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19320" windowHeight="9975" tabRatio="656"/>
  </bookViews>
  <sheets>
    <sheet name="Dominance Scenarios" sheetId="1" r:id="rId1"/>
    <sheet name="SB_Low" sheetId="4" r:id="rId2"/>
    <sheet name="KB_Low" sheetId="5" r:id="rId3"/>
    <sheet name="CO_Low" sheetId="6" r:id="rId4"/>
    <sheet name="RM_Low" sheetId="7" r:id="rId5"/>
    <sheet name="SB_High" sheetId="8" r:id="rId6"/>
    <sheet name="KB_High" sheetId="9" r:id="rId7"/>
    <sheet name="CO_High" sheetId="10" r:id="rId8"/>
    <sheet name="RM_High" sheetId="11" r:id="rId9"/>
  </sheets>
  <calcPr calcId="145621"/>
</workbook>
</file>

<file path=xl/calcChain.xml><?xml version="1.0" encoding="utf-8"?>
<calcChain xmlns="http://schemas.openxmlformats.org/spreadsheetml/2006/main">
  <c r="I6" i="7" l="1"/>
  <c r="I5" i="7"/>
  <c r="I4" i="7"/>
  <c r="I6" i="4"/>
  <c r="I5" i="4"/>
  <c r="I4" i="4"/>
  <c r="I6" i="5"/>
  <c r="I5" i="5"/>
  <c r="I4" i="5"/>
  <c r="I6" i="6"/>
  <c r="I5" i="6"/>
  <c r="I4" i="6"/>
  <c r="N28" i="4" l="1"/>
  <c r="N31" i="7" l="1"/>
  <c r="N30" i="7"/>
  <c r="N29" i="7"/>
  <c r="N28" i="7"/>
  <c r="N31" i="6"/>
  <c r="N30" i="6"/>
  <c r="N29" i="6"/>
  <c r="N28" i="6"/>
  <c r="N31" i="5"/>
  <c r="N30" i="5"/>
  <c r="N29" i="5"/>
  <c r="N28" i="5"/>
  <c r="N31" i="4"/>
  <c r="N30" i="4"/>
  <c r="N29" i="4"/>
  <c r="N31" i="11"/>
  <c r="N30" i="11"/>
  <c r="N29" i="11"/>
  <c r="N28" i="11"/>
  <c r="G4" i="11"/>
  <c r="G4" i="10"/>
  <c r="N31" i="10"/>
  <c r="N30" i="10"/>
  <c r="N29" i="10"/>
  <c r="N28" i="10"/>
  <c r="N31" i="9"/>
  <c r="N30" i="9"/>
  <c r="N29" i="9"/>
  <c r="N28" i="9"/>
  <c r="N31" i="8"/>
  <c r="N30" i="8"/>
  <c r="N29" i="8"/>
  <c r="N28" i="8"/>
  <c r="N42" i="11" l="1"/>
  <c r="N33" i="11"/>
  <c r="N42" i="10"/>
  <c r="N33" i="10"/>
  <c r="N42" i="9"/>
  <c r="N33" i="9"/>
  <c r="N42" i="8"/>
  <c r="N33" i="8"/>
  <c r="N42" i="7"/>
  <c r="N33" i="7"/>
  <c r="N42" i="6"/>
  <c r="N33" i="6"/>
  <c r="N42" i="5"/>
  <c r="N33" i="5"/>
  <c r="N33" i="4"/>
  <c r="N42" i="4"/>
  <c r="H4" i="5"/>
  <c r="H4" i="11"/>
  <c r="F4" i="11"/>
  <c r="G4" i="7"/>
  <c r="B5" i="8" l="1"/>
  <c r="B6" i="8"/>
  <c r="B9" i="8"/>
  <c r="B10" i="8"/>
  <c r="H4" i="10"/>
  <c r="F4" i="10"/>
  <c r="G4" i="6"/>
  <c r="F4" i="6" s="1"/>
  <c r="H6" i="9"/>
  <c r="G6" i="9"/>
  <c r="H5" i="9"/>
  <c r="G5" i="9"/>
  <c r="H4" i="6" l="1"/>
  <c r="H6" i="5"/>
  <c r="G6" i="5"/>
  <c r="G5" i="5"/>
  <c r="H5" i="5"/>
  <c r="G4" i="4"/>
  <c r="F4" i="4"/>
  <c r="G6" i="4"/>
  <c r="F6" i="4"/>
  <c r="F5" i="4"/>
  <c r="G5" i="4"/>
  <c r="F4" i="7"/>
  <c r="H4" i="7" l="1"/>
  <c r="G6" i="8" l="1"/>
  <c r="F6" i="8"/>
  <c r="G5" i="8"/>
  <c r="F5" i="8"/>
  <c r="I14" i="9" l="1"/>
  <c r="I13" i="9"/>
  <c r="I12" i="9"/>
  <c r="G12" i="9" s="1"/>
  <c r="I10" i="9"/>
  <c r="I9" i="9"/>
  <c r="G9" i="9" s="1"/>
  <c r="I8" i="9"/>
  <c r="G8" i="9" s="1"/>
  <c r="I14" i="6"/>
  <c r="I14" i="5"/>
  <c r="G14" i="5" s="1"/>
  <c r="I13" i="6"/>
  <c r="I9" i="5"/>
  <c r="I8" i="5"/>
  <c r="I14" i="4"/>
  <c r="I9" i="4"/>
  <c r="I10" i="7"/>
  <c r="I14" i="11"/>
  <c r="I13" i="11"/>
  <c r="I12" i="11"/>
  <c r="I10" i="11"/>
  <c r="I9" i="11"/>
  <c r="I8" i="11"/>
  <c r="I14" i="10"/>
  <c r="I13" i="10"/>
  <c r="I12" i="10"/>
  <c r="I10" i="10"/>
  <c r="I9" i="10"/>
  <c r="I8" i="10"/>
  <c r="I14" i="8"/>
  <c r="I13" i="8"/>
  <c r="I12" i="8"/>
  <c r="I10" i="8"/>
  <c r="I9" i="8"/>
  <c r="I8" i="8"/>
  <c r="H14" i="8"/>
  <c r="H13" i="8"/>
  <c r="H10" i="8"/>
  <c r="H9" i="8"/>
  <c r="F10" i="8"/>
  <c r="I14" i="7"/>
  <c r="I13" i="7"/>
  <c r="I12" i="7"/>
  <c r="I9" i="7"/>
  <c r="I8" i="7"/>
  <c r="I12" i="6"/>
  <c r="G12" i="6" s="1"/>
  <c r="I8" i="6"/>
  <c r="G8" i="6" s="1"/>
  <c r="I12" i="5"/>
  <c r="I13" i="4"/>
  <c r="G13" i="4" s="1"/>
  <c r="I12" i="4"/>
  <c r="I10" i="4"/>
  <c r="G10" i="4" s="1"/>
  <c r="I8" i="4"/>
  <c r="H12" i="11" l="1"/>
  <c r="G12" i="11"/>
  <c r="F8" i="11"/>
  <c r="G8" i="11"/>
  <c r="F12" i="6"/>
  <c r="H12" i="6"/>
  <c r="G13" i="6"/>
  <c r="G14" i="6"/>
  <c r="F12" i="11"/>
  <c r="F8" i="7"/>
  <c r="G8" i="7"/>
  <c r="H12" i="7"/>
  <c r="G12" i="7"/>
  <c r="F12" i="7"/>
  <c r="H8" i="11"/>
  <c r="F9" i="8"/>
  <c r="G14" i="8"/>
  <c r="F14" i="8"/>
  <c r="F13" i="8"/>
  <c r="G13" i="8"/>
  <c r="I10" i="6"/>
  <c r="G10" i="6" s="1"/>
  <c r="I9" i="6"/>
  <c r="G9" i="6" s="1"/>
  <c r="G5" i="6"/>
  <c r="H8" i="6"/>
  <c r="F8" i="6"/>
  <c r="G6" i="10"/>
  <c r="G5" i="10"/>
  <c r="G6" i="6"/>
  <c r="H6" i="6" s="1"/>
  <c r="I10" i="5"/>
  <c r="H10" i="5" s="1"/>
  <c r="H14" i="5"/>
  <c r="G10" i="5"/>
  <c r="I13" i="5"/>
  <c r="H13" i="5" s="1"/>
  <c r="G9" i="5"/>
  <c r="H9" i="5"/>
  <c r="F14" i="4"/>
  <c r="G14" i="4"/>
  <c r="F10" i="4"/>
  <c r="G9" i="4"/>
  <c r="F9" i="4"/>
  <c r="F13" i="4"/>
  <c r="G10" i="8"/>
  <c r="G9" i="8"/>
  <c r="F13" i="6" l="1"/>
  <c r="F14" i="6"/>
  <c r="H13" i="6"/>
  <c r="H10" i="6"/>
  <c r="H14" i="6"/>
  <c r="H8" i="7"/>
  <c r="F5" i="6"/>
  <c r="N5" i="6" s="1"/>
  <c r="F10" i="6"/>
  <c r="N10" i="6" s="1"/>
  <c r="G13" i="10"/>
  <c r="H13" i="10" s="1"/>
  <c r="P13" i="10" s="1"/>
  <c r="G14" i="10"/>
  <c r="F14" i="10" s="1"/>
  <c r="N14" i="10" s="1"/>
  <c r="F9" i="6"/>
  <c r="N9" i="6" s="1"/>
  <c r="H6" i="10"/>
  <c r="P6" i="10" s="1"/>
  <c r="F6" i="6"/>
  <c r="N6" i="6" s="1"/>
  <c r="H5" i="6"/>
  <c r="P5" i="6" s="1"/>
  <c r="G10" i="10"/>
  <c r="G9" i="10"/>
  <c r="O9" i="10" s="1"/>
  <c r="H9" i="6"/>
  <c r="H8" i="10"/>
  <c r="G13" i="5"/>
  <c r="Q10" i="11"/>
  <c r="Q4" i="11"/>
  <c r="Q8" i="11"/>
  <c r="Q5" i="11"/>
  <c r="Q14" i="11"/>
  <c r="C14" i="11"/>
  <c r="B14" i="11"/>
  <c r="Q13" i="11"/>
  <c r="C13" i="11"/>
  <c r="B13" i="11"/>
  <c r="Q12" i="11"/>
  <c r="C12" i="11"/>
  <c r="B12" i="11"/>
  <c r="C10" i="11"/>
  <c r="B10" i="11"/>
  <c r="Q9" i="11"/>
  <c r="C9" i="11"/>
  <c r="B9" i="11"/>
  <c r="O8" i="11"/>
  <c r="F10" i="11"/>
  <c r="C8" i="11"/>
  <c r="B8" i="11"/>
  <c r="Q6" i="11"/>
  <c r="C6" i="11"/>
  <c r="B6" i="11"/>
  <c r="C5" i="11"/>
  <c r="B5" i="11"/>
  <c r="C4" i="11"/>
  <c r="B4" i="11"/>
  <c r="Q14" i="10"/>
  <c r="Q13" i="10"/>
  <c r="Q12" i="10"/>
  <c r="P12" i="10"/>
  <c r="O12" i="10"/>
  <c r="N12" i="10"/>
  <c r="K12" i="10"/>
  <c r="Q10" i="10"/>
  <c r="O10" i="10"/>
  <c r="C10" i="10"/>
  <c r="B10" i="10"/>
  <c r="Q9" i="10"/>
  <c r="C9" i="10"/>
  <c r="B9" i="10"/>
  <c r="Q8" i="10"/>
  <c r="P8" i="10"/>
  <c r="O8" i="10"/>
  <c r="N8" i="10"/>
  <c r="Q6" i="10"/>
  <c r="O6" i="10"/>
  <c r="Q5" i="10"/>
  <c r="O5" i="10"/>
  <c r="Q4" i="10"/>
  <c r="O4" i="10"/>
  <c r="N4" i="10"/>
  <c r="K4" i="10"/>
  <c r="H14" i="9"/>
  <c r="G14" i="9"/>
  <c r="G10" i="9"/>
  <c r="H10" i="9"/>
  <c r="Q14" i="9"/>
  <c r="N14" i="9"/>
  <c r="C14" i="9"/>
  <c r="B14" i="9"/>
  <c r="Q13" i="9"/>
  <c r="N13" i="9"/>
  <c r="H13" i="9"/>
  <c r="G13" i="9"/>
  <c r="C13" i="9"/>
  <c r="B13" i="9"/>
  <c r="Q12" i="9"/>
  <c r="P12" i="9"/>
  <c r="O12" i="9"/>
  <c r="N12" i="9"/>
  <c r="K12" i="9"/>
  <c r="Q10" i="9"/>
  <c r="N10" i="9"/>
  <c r="C10" i="9"/>
  <c r="B10" i="9"/>
  <c r="Q9" i="9"/>
  <c r="N9" i="9"/>
  <c r="H9" i="9"/>
  <c r="C9" i="9"/>
  <c r="B9" i="9"/>
  <c r="Q8" i="9"/>
  <c r="P8" i="9"/>
  <c r="O8" i="9"/>
  <c r="N8" i="9"/>
  <c r="K8" i="9"/>
  <c r="Q6" i="9"/>
  <c r="N6" i="9"/>
  <c r="P6" i="9"/>
  <c r="O6" i="9"/>
  <c r="C6" i="9"/>
  <c r="B6" i="9"/>
  <c r="Q5" i="9"/>
  <c r="N5" i="9"/>
  <c r="P5" i="9"/>
  <c r="O5" i="9"/>
  <c r="C5" i="9"/>
  <c r="B5" i="9"/>
  <c r="Q4" i="9"/>
  <c r="P4" i="9"/>
  <c r="O4" i="9"/>
  <c r="N4" i="9"/>
  <c r="K4" i="9"/>
  <c r="O13" i="8"/>
  <c r="N13" i="8"/>
  <c r="Q14" i="8"/>
  <c r="P14" i="8"/>
  <c r="O14" i="8"/>
  <c r="N14" i="8"/>
  <c r="C14" i="8"/>
  <c r="B14" i="8"/>
  <c r="Q13" i="8"/>
  <c r="P13" i="8"/>
  <c r="C13" i="8"/>
  <c r="B13" i="8"/>
  <c r="Q12" i="8"/>
  <c r="P12" i="8"/>
  <c r="O12" i="8"/>
  <c r="N12" i="8"/>
  <c r="K12" i="8"/>
  <c r="Q10" i="8"/>
  <c r="P10" i="8"/>
  <c r="O10" i="8"/>
  <c r="N10" i="8"/>
  <c r="C10" i="8"/>
  <c r="Q9" i="8"/>
  <c r="P9" i="8"/>
  <c r="O9" i="8"/>
  <c r="N9" i="8"/>
  <c r="C9" i="8"/>
  <c r="Q8" i="8"/>
  <c r="P8" i="8"/>
  <c r="O8" i="8"/>
  <c r="N8" i="8"/>
  <c r="K8" i="8"/>
  <c r="Q6" i="8"/>
  <c r="P6" i="8"/>
  <c r="O6" i="8"/>
  <c r="N6" i="8"/>
  <c r="C6" i="8"/>
  <c r="Q5" i="8"/>
  <c r="P5" i="8"/>
  <c r="O5" i="8"/>
  <c r="N5" i="8"/>
  <c r="C5" i="8"/>
  <c r="Q4" i="8"/>
  <c r="P4" i="8"/>
  <c r="O4" i="8"/>
  <c r="N4" i="8"/>
  <c r="K4" i="8"/>
  <c r="Q14" i="7"/>
  <c r="Q10" i="7"/>
  <c r="N4" i="7"/>
  <c r="Q6" i="7"/>
  <c r="Q5" i="7"/>
  <c r="P4" i="7"/>
  <c r="Q13" i="7"/>
  <c r="Q12" i="7"/>
  <c r="O12" i="7"/>
  <c r="Q9" i="7"/>
  <c r="Q8" i="7"/>
  <c r="Q4" i="7"/>
  <c r="Q14" i="6"/>
  <c r="Q13" i="6"/>
  <c r="Q12" i="6"/>
  <c r="O12" i="6"/>
  <c r="N12" i="6"/>
  <c r="Q10" i="6"/>
  <c r="Q9" i="6"/>
  <c r="Q8" i="6"/>
  <c r="P8" i="6"/>
  <c r="O8" i="6"/>
  <c r="N8" i="6"/>
  <c r="K8" i="6"/>
  <c r="Q6" i="6"/>
  <c r="P6" i="6"/>
  <c r="Q5" i="6"/>
  <c r="O5" i="6"/>
  <c r="Q4" i="6"/>
  <c r="P4" i="6"/>
  <c r="O4" i="6"/>
  <c r="N4" i="6"/>
  <c r="K4" i="6"/>
  <c r="P10" i="9" l="1"/>
  <c r="H9" i="10"/>
  <c r="P9" i="10" s="1"/>
  <c r="O14" i="10"/>
  <c r="Q16" i="6"/>
  <c r="Q18" i="6" s="1"/>
  <c r="N50" i="6" s="1"/>
  <c r="P4" i="10"/>
  <c r="S4" i="10" s="1"/>
  <c r="O13" i="10"/>
  <c r="F13" i="10"/>
  <c r="K13" i="10" s="1"/>
  <c r="Q16" i="9"/>
  <c r="Q18" i="9" s="1"/>
  <c r="N50" i="9" s="1"/>
  <c r="K8" i="10"/>
  <c r="H10" i="10"/>
  <c r="P10" i="10" s="1"/>
  <c r="H5" i="10"/>
  <c r="P5" i="10" s="1"/>
  <c r="F5" i="10"/>
  <c r="N5" i="10" s="1"/>
  <c r="F6" i="10"/>
  <c r="N6" i="10" s="1"/>
  <c r="S6" i="10" s="1"/>
  <c r="F9" i="10"/>
  <c r="K9" i="10" s="1"/>
  <c r="F10" i="10"/>
  <c r="N10" i="10" s="1"/>
  <c r="H14" i="10"/>
  <c r="P14" i="10" s="1"/>
  <c r="S8" i="9"/>
  <c r="S4" i="8"/>
  <c r="P16" i="8"/>
  <c r="P18" i="8" s="1"/>
  <c r="G14" i="7"/>
  <c r="O14" i="7" s="1"/>
  <c r="S4" i="9"/>
  <c r="S12" i="8"/>
  <c r="S14" i="8"/>
  <c r="S6" i="8"/>
  <c r="H10" i="11"/>
  <c r="P10" i="11" s="1"/>
  <c r="Q16" i="11"/>
  <c r="Q18" i="11" s="1"/>
  <c r="N10" i="11"/>
  <c r="O4" i="11"/>
  <c r="N8" i="11"/>
  <c r="P8" i="11"/>
  <c r="G9" i="11"/>
  <c r="O9" i="11" s="1"/>
  <c r="G10" i="11"/>
  <c r="O10" i="11" s="1"/>
  <c r="O12" i="11"/>
  <c r="K8" i="11"/>
  <c r="F9" i="11"/>
  <c r="H9" i="11"/>
  <c r="P9" i="11" s="1"/>
  <c r="S12" i="10"/>
  <c r="Q16" i="10"/>
  <c r="Q18" i="10" s="1"/>
  <c r="N50" i="10" s="1"/>
  <c r="S8" i="10"/>
  <c r="K14" i="10"/>
  <c r="P14" i="9"/>
  <c r="S12" i="9"/>
  <c r="S5" i="9"/>
  <c r="S6" i="9"/>
  <c r="O14" i="9"/>
  <c r="K14" i="9"/>
  <c r="O10" i="9"/>
  <c r="S10" i="9" s="1"/>
  <c r="K10" i="9"/>
  <c r="K5" i="9"/>
  <c r="K6" i="9"/>
  <c r="K9" i="9"/>
  <c r="O9" i="9"/>
  <c r="K13" i="9"/>
  <c r="O13" i="9"/>
  <c r="N16" i="9"/>
  <c r="N18" i="9" s="1"/>
  <c r="P9" i="9"/>
  <c r="P13" i="9"/>
  <c r="S13" i="8"/>
  <c r="O16" i="8"/>
  <c r="O18" i="8" s="1"/>
  <c r="N48" i="8" s="1"/>
  <c r="S8" i="8"/>
  <c r="Q16" i="8"/>
  <c r="Q18" i="8" s="1"/>
  <c r="N50" i="8" s="1"/>
  <c r="S5" i="8"/>
  <c r="S9" i="8"/>
  <c r="S10" i="8"/>
  <c r="K5" i="8"/>
  <c r="K6" i="8"/>
  <c r="K9" i="8"/>
  <c r="K10" i="8"/>
  <c r="K13" i="8"/>
  <c r="K14" i="8"/>
  <c r="N16" i="8"/>
  <c r="N18" i="8" s="1"/>
  <c r="H14" i="7"/>
  <c r="P14" i="7" s="1"/>
  <c r="H13" i="7"/>
  <c r="P13" i="7" s="1"/>
  <c r="G13" i="7"/>
  <c r="O13" i="7" s="1"/>
  <c r="F14" i="7"/>
  <c r="N14" i="7" s="1"/>
  <c r="F13" i="7"/>
  <c r="N13" i="7" s="1"/>
  <c r="G5" i="7"/>
  <c r="O5" i="7" s="1"/>
  <c r="H6" i="7"/>
  <c r="P6" i="7" s="1"/>
  <c r="F6" i="7"/>
  <c r="N6" i="7" s="1"/>
  <c r="F5" i="7"/>
  <c r="N5" i="7" s="1"/>
  <c r="H5" i="7"/>
  <c r="P5" i="7" s="1"/>
  <c r="G6" i="7"/>
  <c r="O6" i="7" s="1"/>
  <c r="N12" i="7"/>
  <c r="K12" i="7"/>
  <c r="P12" i="7"/>
  <c r="P8" i="7"/>
  <c r="O8" i="7"/>
  <c r="K4" i="7"/>
  <c r="O4" i="7"/>
  <c r="S4" i="7" s="1"/>
  <c r="Q16" i="7"/>
  <c r="Q18" i="7" s="1"/>
  <c r="N50" i="7" s="1"/>
  <c r="P10" i="6"/>
  <c r="S8" i="6"/>
  <c r="S4" i="6"/>
  <c r="K6" i="6"/>
  <c r="O10" i="6"/>
  <c r="K10" i="6"/>
  <c r="S5" i="6"/>
  <c r="O14" i="6"/>
  <c r="K5" i="6"/>
  <c r="O6" i="6"/>
  <c r="S6" i="6" s="1"/>
  <c r="K9" i="6"/>
  <c r="O9" i="6"/>
  <c r="O13" i="6"/>
  <c r="P9" i="6"/>
  <c r="P6" i="5"/>
  <c r="P5" i="5"/>
  <c r="O6" i="5"/>
  <c r="O5" i="5"/>
  <c r="B6" i="5"/>
  <c r="B5" i="5"/>
  <c r="G6" i="1"/>
  <c r="G5" i="1"/>
  <c r="O14" i="5"/>
  <c r="N14" i="5"/>
  <c r="N13" i="5"/>
  <c r="N5" i="5"/>
  <c r="Q14" i="5"/>
  <c r="P14" i="5"/>
  <c r="Q13" i="5"/>
  <c r="P13" i="5"/>
  <c r="O13" i="5"/>
  <c r="Q12" i="5"/>
  <c r="P12" i="5"/>
  <c r="O12" i="5"/>
  <c r="N12" i="5"/>
  <c r="K12" i="5"/>
  <c r="Q10" i="5"/>
  <c r="P10" i="5"/>
  <c r="O10" i="5"/>
  <c r="N10" i="5"/>
  <c r="Q9" i="5"/>
  <c r="P9" i="5"/>
  <c r="O9" i="5"/>
  <c r="N9" i="5"/>
  <c r="Q8" i="5"/>
  <c r="P8" i="5"/>
  <c r="O8" i="5"/>
  <c r="N8" i="5"/>
  <c r="K8" i="5"/>
  <c r="Q6" i="5"/>
  <c r="N6" i="5"/>
  <c r="Q5" i="5"/>
  <c r="Q4" i="5"/>
  <c r="P4" i="5"/>
  <c r="O4" i="5"/>
  <c r="N4" i="5"/>
  <c r="K4" i="5"/>
  <c r="N47" i="9" l="1"/>
  <c r="N24" i="9"/>
  <c r="N20" i="9"/>
  <c r="N22" i="9"/>
  <c r="O47" i="9"/>
  <c r="O37" i="9" s="1"/>
  <c r="O28" i="9" s="1"/>
  <c r="Q47" i="9"/>
  <c r="Q37" i="9" s="1"/>
  <c r="Q28" i="9" s="1"/>
  <c r="P47" i="9"/>
  <c r="P37" i="9" s="1"/>
  <c r="P28" i="9" s="1"/>
  <c r="P24" i="8"/>
  <c r="N49" i="8"/>
  <c r="P22" i="8"/>
  <c r="P49" i="8"/>
  <c r="P39" i="8" s="1"/>
  <c r="P30" i="8" s="1"/>
  <c r="Q49" i="8"/>
  <c r="Q39" i="8" s="1"/>
  <c r="Q30" i="8" s="1"/>
  <c r="O49" i="8"/>
  <c r="O39" i="8" s="1"/>
  <c r="O30" i="8" s="1"/>
  <c r="N50" i="11"/>
  <c r="O16" i="10"/>
  <c r="O18" i="10" s="1"/>
  <c r="N48" i="10" s="1"/>
  <c r="N20" i="8"/>
  <c r="O47" i="8" s="1"/>
  <c r="O37" i="8" s="1"/>
  <c r="O28" i="8" s="1"/>
  <c r="N47" i="8"/>
  <c r="N22" i="8"/>
  <c r="P47" i="8" s="1"/>
  <c r="P37" i="8" s="1"/>
  <c r="P28" i="8" s="1"/>
  <c r="N24" i="8"/>
  <c r="S5" i="10"/>
  <c r="S10" i="10"/>
  <c r="K10" i="10"/>
  <c r="N13" i="10"/>
  <c r="S13" i="10" s="1"/>
  <c r="K6" i="10"/>
  <c r="S14" i="10"/>
  <c r="P16" i="10"/>
  <c r="P18" i="10" s="1"/>
  <c r="S14" i="9"/>
  <c r="P20" i="8"/>
  <c r="Q47" i="8"/>
  <c r="Q37" i="8" s="1"/>
  <c r="Q28" i="8" s="1"/>
  <c r="N9" i="10"/>
  <c r="S9" i="10" s="1"/>
  <c r="K5" i="10"/>
  <c r="Q16" i="5"/>
  <c r="Q18" i="5" s="1"/>
  <c r="N50" i="5" s="1"/>
  <c r="S4" i="5"/>
  <c r="S12" i="7"/>
  <c r="S8" i="11"/>
  <c r="K10" i="11"/>
  <c r="P12" i="11"/>
  <c r="H14" i="11"/>
  <c r="P14" i="11" s="1"/>
  <c r="H13" i="11"/>
  <c r="P13" i="11" s="1"/>
  <c r="P4" i="11"/>
  <c r="H6" i="11"/>
  <c r="P6" i="11" s="1"/>
  <c r="H5" i="11"/>
  <c r="P5" i="11" s="1"/>
  <c r="G13" i="11"/>
  <c r="O13" i="11" s="1"/>
  <c r="N12" i="11"/>
  <c r="F14" i="11"/>
  <c r="F13" i="11"/>
  <c r="K12" i="11"/>
  <c r="K9" i="11"/>
  <c r="N9" i="11"/>
  <c r="S9" i="11" s="1"/>
  <c r="G5" i="11"/>
  <c r="O5" i="11" s="1"/>
  <c r="N4" i="11"/>
  <c r="F6" i="11"/>
  <c r="F5" i="11"/>
  <c r="K4" i="11"/>
  <c r="S10" i="11"/>
  <c r="G6" i="11"/>
  <c r="O6" i="11" s="1"/>
  <c r="G14" i="11"/>
  <c r="O14" i="11" s="1"/>
  <c r="P16" i="9"/>
  <c r="P18" i="9" s="1"/>
  <c r="N49" i="9" s="1"/>
  <c r="S13" i="9"/>
  <c r="O16" i="9"/>
  <c r="O18" i="9" s="1"/>
  <c r="N48" i="9" s="1"/>
  <c r="S9" i="9"/>
  <c r="S18" i="8"/>
  <c r="K13" i="7"/>
  <c r="H9" i="7"/>
  <c r="P9" i="7" s="1"/>
  <c r="F10" i="7"/>
  <c r="G9" i="7"/>
  <c r="O9" i="7" s="1"/>
  <c r="G10" i="7"/>
  <c r="O10" i="7" s="1"/>
  <c r="F9" i="7"/>
  <c r="H10" i="7"/>
  <c r="P10" i="7" s="1"/>
  <c r="S6" i="7"/>
  <c r="S14" i="7"/>
  <c r="S13" i="7"/>
  <c r="K8" i="7"/>
  <c r="N8" i="7"/>
  <c r="K5" i="7"/>
  <c r="K14" i="7"/>
  <c r="K6" i="7"/>
  <c r="S5" i="7"/>
  <c r="S10" i="6"/>
  <c r="S9" i="6"/>
  <c r="O16" i="6"/>
  <c r="O18" i="6" s="1"/>
  <c r="N48" i="6" s="1"/>
  <c r="P16" i="5"/>
  <c r="P18" i="5" s="1"/>
  <c r="N49" i="5" s="1"/>
  <c r="S14" i="5"/>
  <c r="S13" i="5"/>
  <c r="S12" i="5"/>
  <c r="S10" i="5"/>
  <c r="S9" i="5"/>
  <c r="S6" i="5"/>
  <c r="S5" i="5"/>
  <c r="O16" i="5"/>
  <c r="O18" i="5" s="1"/>
  <c r="N48" i="5" s="1"/>
  <c r="S8" i="5"/>
  <c r="K5" i="5"/>
  <c r="K13" i="5"/>
  <c r="K14" i="5"/>
  <c r="N16" i="5"/>
  <c r="N18" i="5" s="1"/>
  <c r="K6" i="5"/>
  <c r="K9" i="5"/>
  <c r="K10" i="5"/>
  <c r="Q14" i="4"/>
  <c r="P14" i="4"/>
  <c r="Q13" i="4"/>
  <c r="P13" i="4"/>
  <c r="Q12" i="4"/>
  <c r="P12" i="4"/>
  <c r="O12" i="4"/>
  <c r="N12" i="4"/>
  <c r="Q10" i="4"/>
  <c r="P10" i="4"/>
  <c r="N10" i="4"/>
  <c r="Q9" i="4"/>
  <c r="P9" i="4"/>
  <c r="N9" i="4"/>
  <c r="Q8" i="4"/>
  <c r="P8" i="4"/>
  <c r="O8" i="4"/>
  <c r="N8" i="4"/>
  <c r="Q6" i="4"/>
  <c r="P6" i="4"/>
  <c r="Q5" i="4"/>
  <c r="P5" i="4"/>
  <c r="Q4" i="4"/>
  <c r="P4" i="4"/>
  <c r="O4" i="4"/>
  <c r="N4" i="4"/>
  <c r="O14" i="4"/>
  <c r="O6" i="4"/>
  <c r="O5" i="4"/>
  <c r="K12" i="4"/>
  <c r="K10" i="4"/>
  <c r="K9" i="4"/>
  <c r="K8" i="4"/>
  <c r="K4" i="4"/>
  <c r="N14" i="4"/>
  <c r="S14" i="4" s="1"/>
  <c r="O10" i="4"/>
  <c r="O9" i="4"/>
  <c r="O13" i="4"/>
  <c r="N13" i="4"/>
  <c r="N6" i="4"/>
  <c r="C14" i="7"/>
  <c r="B14" i="7"/>
  <c r="C13" i="7"/>
  <c r="B13" i="7"/>
  <c r="C12" i="7"/>
  <c r="B12" i="7"/>
  <c r="C10" i="7"/>
  <c r="B10" i="7"/>
  <c r="C9" i="7"/>
  <c r="B9" i="7"/>
  <c r="C8" i="7"/>
  <c r="B8" i="7"/>
  <c r="C6" i="7"/>
  <c r="B6" i="7"/>
  <c r="C5" i="7"/>
  <c r="B5" i="7"/>
  <c r="C4" i="7"/>
  <c r="B4" i="7"/>
  <c r="C10" i="6"/>
  <c r="B10" i="6"/>
  <c r="C9" i="6"/>
  <c r="B9" i="6"/>
  <c r="C14" i="5"/>
  <c r="B14" i="5"/>
  <c r="C13" i="5"/>
  <c r="B13" i="5"/>
  <c r="C10" i="5"/>
  <c r="B10" i="5"/>
  <c r="C9" i="5"/>
  <c r="B9" i="5"/>
  <c r="C6" i="5"/>
  <c r="C5" i="5"/>
  <c r="C14" i="4"/>
  <c r="B14" i="4"/>
  <c r="C13" i="4"/>
  <c r="B13" i="4"/>
  <c r="C10" i="4"/>
  <c r="B10" i="4"/>
  <c r="C9" i="4"/>
  <c r="B9" i="4"/>
  <c r="B6" i="4"/>
  <c r="C6" i="4" s="1"/>
  <c r="B5" i="4"/>
  <c r="C5" i="4" s="1"/>
  <c r="M10" i="1"/>
  <c r="M9" i="1"/>
  <c r="L10" i="1"/>
  <c r="L9" i="1"/>
  <c r="R14" i="1"/>
  <c r="Q14" i="1"/>
  <c r="R13" i="1"/>
  <c r="Q13" i="1"/>
  <c r="R12" i="1"/>
  <c r="Q12" i="1"/>
  <c r="R10" i="1"/>
  <c r="Q10" i="1"/>
  <c r="R9" i="1"/>
  <c r="Q9" i="1"/>
  <c r="R8" i="1"/>
  <c r="Q8" i="1"/>
  <c r="R6" i="1"/>
  <c r="Q6" i="1"/>
  <c r="R5" i="1"/>
  <c r="Q5" i="1"/>
  <c r="R4" i="1"/>
  <c r="Q4" i="1"/>
  <c r="G14" i="1"/>
  <c r="G13" i="1"/>
  <c r="G10" i="1"/>
  <c r="G9" i="1"/>
  <c r="H14" i="1"/>
  <c r="H13" i="1"/>
  <c r="H10" i="1"/>
  <c r="H9" i="1"/>
  <c r="H6" i="1"/>
  <c r="H5" i="1"/>
  <c r="C14" i="1"/>
  <c r="B14" i="1"/>
  <c r="C13" i="1"/>
  <c r="B13" i="1"/>
  <c r="C10" i="1"/>
  <c r="B10" i="1"/>
  <c r="C9" i="1"/>
  <c r="B9" i="1"/>
  <c r="C6" i="1"/>
  <c r="B6" i="1"/>
  <c r="C5" i="1"/>
  <c r="B5" i="1"/>
  <c r="N47" i="5" l="1"/>
  <c r="P24" i="10"/>
  <c r="Q49" i="10" s="1"/>
  <c r="Q39" i="10" s="1"/>
  <c r="Q30" i="10" s="1"/>
  <c r="P22" i="10"/>
  <c r="P49" i="10" s="1"/>
  <c r="P39" i="10" s="1"/>
  <c r="P30" i="10" s="1"/>
  <c r="P20" i="10"/>
  <c r="O49" i="10" s="1"/>
  <c r="O39" i="10" s="1"/>
  <c r="O30" i="10" s="1"/>
  <c r="N49" i="10"/>
  <c r="P24" i="9"/>
  <c r="Q49" i="9" s="1"/>
  <c r="Q39" i="9" s="1"/>
  <c r="Q30" i="9" s="1"/>
  <c r="P22" i="9"/>
  <c r="Q22" i="9" s="1"/>
  <c r="P50" i="9" s="1"/>
  <c r="P40" i="9" s="1"/>
  <c r="P31" i="9" s="1"/>
  <c r="P20" i="9"/>
  <c r="Q20" i="9" s="1"/>
  <c r="O50" i="9" s="1"/>
  <c r="O40" i="9" s="1"/>
  <c r="O31" i="9" s="1"/>
  <c r="P49" i="9"/>
  <c r="P39" i="9" s="1"/>
  <c r="P30" i="9" s="1"/>
  <c r="O49" i="9"/>
  <c r="O39" i="9" s="1"/>
  <c r="O30" i="9" s="1"/>
  <c r="O22" i="9"/>
  <c r="P48" i="9" s="1"/>
  <c r="P38" i="9" s="1"/>
  <c r="P29" i="9" s="1"/>
  <c r="N16" i="10"/>
  <c r="N18" i="10" s="1"/>
  <c r="S18" i="10" s="1"/>
  <c r="N24" i="5"/>
  <c r="Q47" i="5" s="1"/>
  <c r="Q37" i="5" s="1"/>
  <c r="N20" i="5"/>
  <c r="O47" i="5" s="1"/>
  <c r="O37" i="5" s="1"/>
  <c r="N22" i="5"/>
  <c r="P47" i="5" s="1"/>
  <c r="P37" i="5" s="1"/>
  <c r="P24" i="5"/>
  <c r="Q49" i="5" s="1"/>
  <c r="Q39" i="5" s="1"/>
  <c r="Q30" i="5" s="1"/>
  <c r="P22" i="5"/>
  <c r="Q22" i="5" s="1"/>
  <c r="P50" i="5" s="1"/>
  <c r="P40" i="5" s="1"/>
  <c r="P31" i="5" s="1"/>
  <c r="P20" i="5"/>
  <c r="Q20" i="5" s="1"/>
  <c r="O50" i="5" s="1"/>
  <c r="O40" i="5" s="1"/>
  <c r="O31" i="5" s="1"/>
  <c r="S18" i="9"/>
  <c r="S12" i="4"/>
  <c r="S8" i="4"/>
  <c r="O20" i="8"/>
  <c r="O48" i="8" s="1"/>
  <c r="O38" i="8" s="1"/>
  <c r="O29" i="8" s="1"/>
  <c r="O22" i="8"/>
  <c r="P48" i="8" s="1"/>
  <c r="P38" i="8" s="1"/>
  <c r="P29" i="8" s="1"/>
  <c r="O24" i="8"/>
  <c r="Q48" i="8" s="1"/>
  <c r="Q38" i="8" s="1"/>
  <c r="Q29" i="8" s="1"/>
  <c r="Q22" i="8"/>
  <c r="P50" i="8" s="1"/>
  <c r="P40" i="8" s="1"/>
  <c r="P31" i="8" s="1"/>
  <c r="Q24" i="8"/>
  <c r="Q50" i="8" s="1"/>
  <c r="Q40" i="8" s="1"/>
  <c r="Q31" i="8" s="1"/>
  <c r="Q33" i="8" s="1"/>
  <c r="Q20" i="8"/>
  <c r="O50" i="8" s="1"/>
  <c r="O40" i="8" s="1"/>
  <c r="O31" i="8" s="1"/>
  <c r="S13" i="4"/>
  <c r="S10" i="4"/>
  <c r="S4" i="4"/>
  <c r="Q16" i="4"/>
  <c r="Q18" i="4" s="1"/>
  <c r="N50" i="4" s="1"/>
  <c r="O16" i="11"/>
  <c r="O18" i="11" s="1"/>
  <c r="S4" i="11"/>
  <c r="N6" i="11"/>
  <c r="S6" i="11" s="1"/>
  <c r="K6" i="11"/>
  <c r="N13" i="11"/>
  <c r="S13" i="11" s="1"/>
  <c r="K13" i="11"/>
  <c r="S12" i="11"/>
  <c r="P16" i="11"/>
  <c r="P18" i="11" s="1"/>
  <c r="N5" i="11"/>
  <c r="S5" i="11" s="1"/>
  <c r="K5" i="11"/>
  <c r="N14" i="11"/>
  <c r="S14" i="11" s="1"/>
  <c r="K14" i="11"/>
  <c r="O16" i="7"/>
  <c r="O18" i="7" s="1"/>
  <c r="N48" i="7" s="1"/>
  <c r="P16" i="7"/>
  <c r="P18" i="7" s="1"/>
  <c r="N49" i="7" s="1"/>
  <c r="S8" i="7"/>
  <c r="K9" i="7"/>
  <c r="N9" i="7"/>
  <c r="S9" i="7" s="1"/>
  <c r="N10" i="7"/>
  <c r="S10" i="7" s="1"/>
  <c r="K10" i="7"/>
  <c r="S18" i="5"/>
  <c r="K6" i="4"/>
  <c r="S6" i="4"/>
  <c r="K5" i="4"/>
  <c r="N5" i="4"/>
  <c r="S5" i="4" s="1"/>
  <c r="K13" i="4"/>
  <c r="K14" i="4"/>
  <c r="O16" i="4"/>
  <c r="O18" i="4" s="1"/>
  <c r="N48" i="4" s="1"/>
  <c r="P16" i="4"/>
  <c r="P18" i="4" s="1"/>
  <c r="N49" i="4" s="1"/>
  <c r="S9" i="4"/>
  <c r="N48" i="11" l="1"/>
  <c r="P24" i="11"/>
  <c r="Q49" i="11" s="1"/>
  <c r="Q39" i="11" s="1"/>
  <c r="Q30" i="11" s="1"/>
  <c r="P22" i="11"/>
  <c r="P49" i="11" s="1"/>
  <c r="P39" i="11" s="1"/>
  <c r="P30" i="11" s="1"/>
  <c r="P20" i="11"/>
  <c r="N49" i="11"/>
  <c r="O33" i="8"/>
  <c r="P49" i="5"/>
  <c r="P39" i="5" s="1"/>
  <c r="P30" i="5" s="1"/>
  <c r="O49" i="5"/>
  <c r="O39" i="5" s="1"/>
  <c r="N24" i="10"/>
  <c r="O24" i="10" s="1"/>
  <c r="Q48" i="10" s="1"/>
  <c r="Q38" i="10" s="1"/>
  <c r="Q29" i="10" s="1"/>
  <c r="N22" i="10"/>
  <c r="N20" i="10"/>
  <c r="O47" i="10" s="1"/>
  <c r="O37" i="10" s="1"/>
  <c r="N47" i="10"/>
  <c r="Q24" i="10"/>
  <c r="O22" i="10"/>
  <c r="O20" i="10"/>
  <c r="Q22" i="10"/>
  <c r="O20" i="9"/>
  <c r="O48" i="9" s="1"/>
  <c r="O38" i="9" s="1"/>
  <c r="P33" i="9"/>
  <c r="P42" i="9"/>
  <c r="O24" i="9"/>
  <c r="Q48" i="9" s="1"/>
  <c r="Q38" i="9" s="1"/>
  <c r="Q29" i="9" s="1"/>
  <c r="Q24" i="9"/>
  <c r="Q50" i="9" s="1"/>
  <c r="Q40" i="9" s="1"/>
  <c r="Q31" i="9" s="1"/>
  <c r="Q42" i="8"/>
  <c r="O42" i="8"/>
  <c r="P42" i="8"/>
  <c r="P33" i="8"/>
  <c r="O49" i="11"/>
  <c r="O39" i="11" s="1"/>
  <c r="O30" i="11" s="1"/>
  <c r="S24" i="8"/>
  <c r="N16" i="4"/>
  <c r="N18" i="4" s="1"/>
  <c r="N47" i="4" s="1"/>
  <c r="P22" i="7"/>
  <c r="P49" i="7" s="1"/>
  <c r="P39" i="7" s="1"/>
  <c r="P30" i="7" s="1"/>
  <c r="P24" i="7"/>
  <c r="Q49" i="7" s="1"/>
  <c r="Q39" i="7" s="1"/>
  <c r="Q30" i="7" s="1"/>
  <c r="P20" i="7"/>
  <c r="O49" i="7" s="1"/>
  <c r="O39" i="7" s="1"/>
  <c r="O30" i="7" s="1"/>
  <c r="P48" i="10"/>
  <c r="P38" i="10" s="1"/>
  <c r="P29" i="10" s="1"/>
  <c r="Q24" i="5"/>
  <c r="Q50" i="5" s="1"/>
  <c r="Q40" i="5" s="1"/>
  <c r="Q31" i="5" s="1"/>
  <c r="O22" i="5"/>
  <c r="O20" i="5"/>
  <c r="O24" i="5"/>
  <c r="Q48" i="5" s="1"/>
  <c r="Q38" i="5" s="1"/>
  <c r="S22" i="9"/>
  <c r="P22" i="4"/>
  <c r="P49" i="4" s="1"/>
  <c r="P39" i="4" s="1"/>
  <c r="P30" i="4" s="1"/>
  <c r="P20" i="4"/>
  <c r="O49" i="4" s="1"/>
  <c r="O39" i="4" s="1"/>
  <c r="O30" i="4" s="1"/>
  <c r="P24" i="4"/>
  <c r="Q49" i="4" s="1"/>
  <c r="Q39" i="4" s="1"/>
  <c r="Q30" i="4" s="1"/>
  <c r="S20" i="8"/>
  <c r="N16" i="11"/>
  <c r="N18" i="11" s="1"/>
  <c r="S22" i="8"/>
  <c r="N16" i="7"/>
  <c r="N18" i="7" s="1"/>
  <c r="N47" i="7" s="1"/>
  <c r="N24" i="11" l="1"/>
  <c r="O24" i="11" s="1"/>
  <c r="N22" i="11"/>
  <c r="N20" i="11"/>
  <c r="Q20" i="11" s="1"/>
  <c r="N47" i="11"/>
  <c r="Q22" i="11"/>
  <c r="O22" i="11"/>
  <c r="Q29" i="5"/>
  <c r="Q33" i="5" s="1"/>
  <c r="Q42" i="5"/>
  <c r="O29" i="9"/>
  <c r="O33" i="9" s="1"/>
  <c r="S20" i="5"/>
  <c r="O48" i="5"/>
  <c r="O38" i="5" s="1"/>
  <c r="S22" i="5"/>
  <c r="P48" i="5"/>
  <c r="P38" i="5" s="1"/>
  <c r="Q47" i="10"/>
  <c r="Q37" i="10" s="1"/>
  <c r="Q28" i="10" s="1"/>
  <c r="Q20" i="10"/>
  <c r="S20" i="10" s="1"/>
  <c r="O42" i="9"/>
  <c r="S20" i="9"/>
  <c r="S24" i="9"/>
  <c r="Q33" i="9"/>
  <c r="Q42" i="9"/>
  <c r="P47" i="11"/>
  <c r="P37" i="11" s="1"/>
  <c r="O28" i="10"/>
  <c r="O50" i="10"/>
  <c r="O40" i="10" s="1"/>
  <c r="O31" i="10" s="1"/>
  <c r="O48" i="10"/>
  <c r="O38" i="10" s="1"/>
  <c r="O29" i="10" s="1"/>
  <c r="P47" i="10"/>
  <c r="P37" i="10" s="1"/>
  <c r="P28" i="10" s="1"/>
  <c r="P50" i="10"/>
  <c r="P40" i="10" s="1"/>
  <c r="P31" i="10" s="1"/>
  <c r="N20" i="4"/>
  <c r="O47" i="4" s="1"/>
  <c r="O37" i="4" s="1"/>
  <c r="O28" i="4" s="1"/>
  <c r="N22" i="4"/>
  <c r="Q22" i="4" s="1"/>
  <c r="P50" i="4" s="1"/>
  <c r="P40" i="4" s="1"/>
  <c r="P31" i="4" s="1"/>
  <c r="S18" i="4"/>
  <c r="N24" i="4"/>
  <c r="O24" i="4" s="1"/>
  <c r="Q48" i="4" s="1"/>
  <c r="Q38" i="4" s="1"/>
  <c r="N22" i="7"/>
  <c r="O22" i="7" s="1"/>
  <c r="P48" i="7" s="1"/>
  <c r="P38" i="7" s="1"/>
  <c r="P29" i="7" s="1"/>
  <c r="N24" i="7"/>
  <c r="O24" i="7" s="1"/>
  <c r="Q48" i="7" s="1"/>
  <c r="Q38" i="7" s="1"/>
  <c r="N20" i="7"/>
  <c r="Q20" i="7" s="1"/>
  <c r="O50" i="7" s="1"/>
  <c r="O40" i="7" s="1"/>
  <c r="O31" i="7" s="1"/>
  <c r="S24" i="5"/>
  <c r="S18" i="11"/>
  <c r="S18" i="7"/>
  <c r="O20" i="4" l="1"/>
  <c r="O48" i="4" s="1"/>
  <c r="O38" i="4" s="1"/>
  <c r="O20" i="11"/>
  <c r="O48" i="11" s="1"/>
  <c r="O38" i="11" s="1"/>
  <c r="O29" i="11" s="1"/>
  <c r="P47" i="7"/>
  <c r="P37" i="7" s="1"/>
  <c r="P28" i="7" s="1"/>
  <c r="Q24" i="11"/>
  <c r="Q50" i="11" s="1"/>
  <c r="Q40" i="11" s="1"/>
  <c r="Q31" i="11" s="1"/>
  <c r="O47" i="7"/>
  <c r="O37" i="7" s="1"/>
  <c r="Q47" i="7"/>
  <c r="Q37" i="7" s="1"/>
  <c r="Q28" i="7" s="1"/>
  <c r="P29" i="5"/>
  <c r="P33" i="5" s="1"/>
  <c r="P42" i="5"/>
  <c r="O29" i="5"/>
  <c r="O33" i="5" s="1"/>
  <c r="O42" i="5"/>
  <c r="O42" i="10"/>
  <c r="P33" i="10"/>
  <c r="O47" i="11"/>
  <c r="O37" i="11" s="1"/>
  <c r="P28" i="11"/>
  <c r="Q47" i="11"/>
  <c r="Q37" i="11" s="1"/>
  <c r="P42" i="10"/>
  <c r="S22" i="10"/>
  <c r="S24" i="10"/>
  <c r="Q50" i="10"/>
  <c r="Q40" i="10" s="1"/>
  <c r="Q31" i="10" s="1"/>
  <c r="O33" i="10"/>
  <c r="P47" i="4"/>
  <c r="P37" i="4" s="1"/>
  <c r="P28" i="4" s="1"/>
  <c r="Q20" i="4"/>
  <c r="O50" i="4" s="1"/>
  <c r="O40" i="4" s="1"/>
  <c r="O31" i="4" s="1"/>
  <c r="Q47" i="4"/>
  <c r="Q37" i="4" s="1"/>
  <c r="Q28" i="4" s="1"/>
  <c r="O22" i="4"/>
  <c r="P48" i="4" s="1"/>
  <c r="P38" i="4" s="1"/>
  <c r="P29" i="4" s="1"/>
  <c r="Q22" i="7"/>
  <c r="O20" i="7"/>
  <c r="O48" i="7" s="1"/>
  <c r="O38" i="7" s="1"/>
  <c r="O29" i="7" s="1"/>
  <c r="Q24" i="7"/>
  <c r="Q48" i="11"/>
  <c r="Q38" i="11" s="1"/>
  <c r="Q29" i="11" s="1"/>
  <c r="P48" i="11"/>
  <c r="P38" i="11" s="1"/>
  <c r="P29" i="11" s="1"/>
  <c r="P50" i="11"/>
  <c r="P40" i="11" s="1"/>
  <c r="P31" i="11" s="1"/>
  <c r="Q24" i="4"/>
  <c r="S24" i="11"/>
  <c r="S20" i="7" l="1"/>
  <c r="S24" i="7"/>
  <c r="Q50" i="7"/>
  <c r="Q40" i="7" s="1"/>
  <c r="Q31" i="7" s="1"/>
  <c r="O42" i="7"/>
  <c r="O28" i="7"/>
  <c r="O33" i="7" s="1"/>
  <c r="S22" i="7"/>
  <c r="P50" i="7"/>
  <c r="P40" i="7" s="1"/>
  <c r="P31" i="7" s="1"/>
  <c r="S22" i="4"/>
  <c r="O28" i="11"/>
  <c r="S20" i="11"/>
  <c r="O50" i="11"/>
  <c r="O40" i="11" s="1"/>
  <c r="O31" i="11" s="1"/>
  <c r="P33" i="11"/>
  <c r="Q42" i="11"/>
  <c r="Q28" i="11"/>
  <c r="Q33" i="11" s="1"/>
  <c r="P42" i="11"/>
  <c r="Q33" i="10"/>
  <c r="Q42" i="10"/>
  <c r="O42" i="4"/>
  <c r="O33" i="4"/>
  <c r="P33" i="4"/>
  <c r="S20" i="4"/>
  <c r="S24" i="4"/>
  <c r="Q50" i="4"/>
  <c r="Q40" i="4" s="1"/>
  <c r="Q31" i="4" s="1"/>
  <c r="P42" i="4"/>
  <c r="S22" i="11"/>
  <c r="K12" i="6"/>
  <c r="P14" i="6"/>
  <c r="P13" i="6"/>
  <c r="P12" i="6"/>
  <c r="S12" i="6" s="1"/>
  <c r="O42" i="11" l="1"/>
  <c r="Q33" i="7"/>
  <c r="Q42" i="7"/>
  <c r="P33" i="7"/>
  <c r="P42" i="7"/>
  <c r="O33" i="11"/>
  <c r="Q42" i="4"/>
  <c r="Q33" i="4"/>
  <c r="K13" i="6"/>
  <c r="K14" i="6"/>
  <c r="P16" i="6"/>
  <c r="P18" i="6" s="1"/>
  <c r="N49" i="6" s="1"/>
  <c r="N14" i="6"/>
  <c r="S14" i="6" s="1"/>
  <c r="N13" i="6"/>
  <c r="P22" i="6" l="1"/>
  <c r="P49" i="6" s="1"/>
  <c r="P39" i="6" s="1"/>
  <c r="P30" i="6" s="1"/>
  <c r="P20" i="6"/>
  <c r="O49" i="6" s="1"/>
  <c r="O39" i="6" s="1"/>
  <c r="O30" i="6" s="1"/>
  <c r="P24" i="6"/>
  <c r="Q49" i="6" s="1"/>
  <c r="Q39" i="6" s="1"/>
  <c r="Q30" i="6" s="1"/>
  <c r="S13" i="6"/>
  <c r="N16" i="6"/>
  <c r="N18" i="6" s="1"/>
  <c r="N47" i="6" s="1"/>
  <c r="N22" i="6" l="1"/>
  <c r="O22" i="6" s="1"/>
  <c r="P48" i="6" s="1"/>
  <c r="P38" i="6" s="1"/>
  <c r="N20" i="6"/>
  <c r="Q20" i="6" s="1"/>
  <c r="O50" i="6" s="1"/>
  <c r="O40" i="6" s="1"/>
  <c r="O31" i="6" s="1"/>
  <c r="N24" i="6"/>
  <c r="O24" i="6" s="1"/>
  <c r="Q48" i="6" s="1"/>
  <c r="Q38" i="6" s="1"/>
  <c r="Q29" i="6" s="1"/>
  <c r="S18" i="6"/>
  <c r="Q47" i="6" l="1"/>
  <c r="Q37" i="6" s="1"/>
  <c r="Q28" i="6" s="1"/>
  <c r="P47" i="6"/>
  <c r="P37" i="6" s="1"/>
  <c r="O47" i="6"/>
  <c r="O37" i="6" s="1"/>
  <c r="O20" i="6"/>
  <c r="Q22" i="6"/>
  <c r="P50" i="6" s="1"/>
  <c r="P40" i="6" s="1"/>
  <c r="P31" i="6" s="1"/>
  <c r="Q24" i="6"/>
  <c r="S22" i="6"/>
  <c r="O28" i="6" l="1"/>
  <c r="P33" i="6"/>
  <c r="S24" i="6"/>
  <c r="Q50" i="6"/>
  <c r="Q40" i="6" s="1"/>
  <c r="Q31" i="6" s="1"/>
  <c r="S20" i="6"/>
  <c r="O48" i="6"/>
  <c r="O38" i="6" s="1"/>
  <c r="O29" i="6" s="1"/>
  <c r="P42" i="6"/>
  <c r="O42" i="6" l="1"/>
  <c r="Q33" i="6"/>
  <c r="Q42" i="6"/>
  <c r="O33" i="6"/>
</calcChain>
</file>

<file path=xl/comments1.xml><?xml version="1.0" encoding="utf-8"?>
<comments xmlns="http://schemas.openxmlformats.org/spreadsheetml/2006/main">
  <authors>
    <author>Jill Gannon</author>
  </authors>
  <commentList>
    <comment ref="B23" authorId="0">
      <text>
        <r>
          <rPr>
            <b/>
            <sz val="8"/>
            <color indexed="81"/>
            <rFont val="Tahoma"/>
            <family val="2"/>
          </rPr>
          <t>Jill Gannon:</t>
        </r>
        <r>
          <rPr>
            <sz val="8"/>
            <color indexed="81"/>
            <rFont val="Tahoma"/>
            <family val="2"/>
          </rPr>
          <t xml:space="preserve">
</t>
        </r>
        <r>
          <rPr>
            <sz val="10"/>
            <color indexed="81"/>
            <rFont val="Tahoma"/>
            <family val="2"/>
          </rPr>
          <t xml:space="preserve">For the case of SB Dominance, we have created 9 different scenarios that are all categorized as SB dominant, but are different the following ways.  There is Low (67), Medium (85), and High (95) percentages of SB relative to KB.  Within each SB amount, there is a Low (0), Medium (30), and High (60) percentage of RM.  
For the case of KB Dominance, we have created 9 different scenarios that are all categorized as KB dominant, but are different the following ways.  There is Low (67), Medium (85), and High (95) percentages of KB relative to SB.  Within each KB amount, there is a Low (0), Medium (30), and High (60) percentage of RM.  
For the case of SB|KB CO-Dominance, we have created 9 different scenarios that are all categorized as co-dominant, but are different in the following ways.  There is an equal proportion of SB and KB (50:50), a higher proportion of SB than KB (66:34), and a lower proportion of SB than KB (34:66).  Within each SB|KB amount, there is a Low (0), Medium (30), and High (60) percentage of RM.  
For the case of RM Dominance, we have created 9 different scenarios that are all categorized as RM dominant, but are different in the following ways.  There is Low (67), Medium (85), and High (95) percentages of RM.  Within each RM amount, there is an equal proportion of SB and KB (50:50), a higher proportion of SB than KB (75:25), and a lower proportion of SB than KB (25:75). </t>
        </r>
      </text>
    </comment>
  </commentList>
</comments>
</file>

<file path=xl/comments2.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the High Defoliation Level.  This is based on the values in the upper portion of the model elicitation spreadsheet.
For High Level, RM dom, Rest: the above|below split is 85|15 (average of 80NP 90|10 and 20NP 80|20).
For Low Level, RM dom, Rest:  the above|below spit is 45|55 (average of 80NP 50|50 and 20NP 40|60).
So, under a Low Level there is 3.67x the probability of NP decreasing (55% as opposed to 15%).  We assume this decrease is due to increases in SB and KB, which are more aggressive under the Low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80, CO 20 values come from the upper portion of the model elicitation spreadsheet for SB dominance under a Low Defoliation Level and Rest.  There is a 20|80 split in the values (above|below).  This means there is a 80% probability that NP will decrease (and we'll assume this means there is a 80% probability that SB will increase).  For this scenario, SB needs only to drop 1% for this to switch from SB dom to CO dom.  Since there is a 80% probability that SB will increase, we say that there is a 80% probability that SB will remain dominant.  Because there is a 20% probability that SB will decrease, we say that there is a 20% probability that dominance will shift from SB dom to CO dom.  
The values in the color-filled cells below are estimates based on these original 80, 20 probabilities.  The idea is that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will increase from 23% to 47%.</t>
        </r>
      </text>
    </comment>
    <comment ref="I5" authorId="0">
      <text>
        <r>
          <rPr>
            <b/>
            <sz val="8"/>
            <color indexed="81"/>
            <rFont val="Tahoma"/>
            <family val="2"/>
          </rPr>
          <t>Jill Gannon:</t>
        </r>
        <r>
          <rPr>
            <sz val="8"/>
            <color indexed="81"/>
            <rFont val="Tahoma"/>
            <family val="2"/>
          </rPr>
          <t xml:space="preserve">
Probability RM will increase from 30% to 67%.</t>
        </r>
      </text>
    </comment>
    <comment ref="H6" authorId="0">
      <text>
        <r>
          <rPr>
            <b/>
            <sz val="8"/>
            <color indexed="81"/>
            <rFont val="Tahoma"/>
            <family val="2"/>
          </rPr>
          <t>Jill Gannon:</t>
        </r>
        <r>
          <rPr>
            <sz val="8"/>
            <color indexed="81"/>
            <rFont val="Tahoma"/>
            <family val="2"/>
          </rPr>
          <t xml:space="preserve">
Prob KB will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Low Level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3.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the High Defoliation Level.  This is based on the values in the upper portion of the model elicitation spreadsheet.
For High Level, RM dom, Rest: the above|below split is 85|15 (average of 80NP 90|10 and 20NP 80|20).
For Low Level, RM dom, Rest:  the above|below spit is 45|55 (average of 80NP 50|50 and 20NP 40|60).
So, under a Low Level there is 3.67x the probability of NP decreasing (55% as opposed to 15%).  We assume this decrease is due to increases in SB and KB, which are more aggressive under the Low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70, CO 25 values come from the upper portion of the model elicitation spreadsheet for KB dominance under a Low Defoliation Level and Rest.  There is a 30|70 split in the values (above|below).  This means there is a 70% probability that NP will decrease (and we'll assume this means there is a 70% probability that KB will increase).  For this scenario, KB needs only to drop 1% for this to switch from KB dom to CO dom.  Since there is a 70% probability that KB will increase, we say that there is a 70% probability that KB will remain dominant.  Because there is a 30% probability that KB will decrease, we say that there is a 30% probability that dominance will shift from KB dom to CO dom and SB dom.  
The values in the color-filled cells below are guesses based on these original 70, 25 probabilities.  The idea is that with increased amount of KB, there is less chance of it switching dominance, even if it decreases some.</t>
        </r>
      </text>
    </comment>
    <comment ref="I4" authorId="0">
      <text>
        <r>
          <rPr>
            <b/>
            <sz val="8"/>
            <color indexed="81"/>
            <rFont val="Tahoma"/>
            <family val="2"/>
          </rPr>
          <t>Jill Gannon:</t>
        </r>
        <r>
          <rPr>
            <sz val="8"/>
            <color indexed="81"/>
            <rFont val="Tahoma"/>
            <family val="2"/>
          </rPr>
          <t xml:space="preserve">
Probability RM will increase from 0% to 67%.</t>
        </r>
      </text>
    </comment>
    <comment ref="F5" authorId="0">
      <text>
        <r>
          <rPr>
            <b/>
            <sz val="8"/>
            <color indexed="81"/>
            <rFont val="Tahoma"/>
            <family val="2"/>
          </rPr>
          <t>Jill Gannon:</t>
        </r>
        <r>
          <rPr>
            <sz val="8"/>
            <color indexed="81"/>
            <rFont val="Tahoma"/>
            <family val="2"/>
          </rPr>
          <t xml:space="preserve">
Prob SB increase from 23% to 47%.</t>
        </r>
      </text>
    </comment>
    <comment ref="I5" authorId="0">
      <text>
        <r>
          <rPr>
            <b/>
            <sz val="8"/>
            <color indexed="81"/>
            <rFont val="Tahoma"/>
            <family val="2"/>
          </rPr>
          <t>Jill Gannon:</t>
        </r>
        <r>
          <rPr>
            <sz val="8"/>
            <color indexed="81"/>
            <rFont val="Tahoma"/>
            <family val="2"/>
          </rPr>
          <t xml:space="preserve">
Probability RM will increase from 30% to 67%.</t>
        </r>
      </text>
    </comment>
    <comment ref="F6" authorId="0">
      <text>
        <r>
          <rPr>
            <b/>
            <sz val="8"/>
            <color indexed="81"/>
            <rFont val="Tahoma"/>
            <family val="2"/>
          </rPr>
          <t>Jill Gannon:</t>
        </r>
        <r>
          <rPr>
            <sz val="8"/>
            <color indexed="81"/>
            <rFont val="Tahoma"/>
            <family val="2"/>
          </rPr>
          <t xml:space="preserve">
Prob SB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F8" authorId="0">
      <text>
        <r>
          <rPr>
            <b/>
            <sz val="8"/>
            <color indexed="81"/>
            <rFont val="Tahoma"/>
            <family val="2"/>
          </rPr>
          <t>Jill Gannon:</t>
        </r>
        <r>
          <rPr>
            <sz val="8"/>
            <color indexed="81"/>
            <rFont val="Tahoma"/>
            <family val="2"/>
          </rPr>
          <t xml:space="preserve">
Prob SB increase from 15% to 67%.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Low Level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4.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 1/3.67 of the values used under the High Defolation Level.  This is based on the values in the upper portion of the model elicitation spreadsheet.
For High Defolation Level, RM dom, Rest: the above|below split is 85|15 (average of 80NP 90|10 and 20NP 80|20).
For Low Defoliation Level, RM dom, Rest:  the above|below spit is 45|55 (average of 80NP 50|50 and 20NP 40|60).
So, under a Low Level there is 3.67x the probability of NP decreasing (55% as opposed to 15%).  We assume this decrease is due to increases in SB and KB, which are more aggressive under the Low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Defolation Level and Rest.  There is a 25|75 split in the values (above|below).  This means there is a 25% probability that NP will stay the same and a 75% probability that NP will decrease due to an increase in SB and/or KB.   For this scenario, either SB or KB needs to increase from 50% to 67% for there to be a shift in dominance.  Since there is a 25% probability that no big changes in NP are occurring (and thus no big increase in SB or KB), then we'll assume there is a 25% probability of remaining CO dom.  Since there is a 75% probability that NP will decrease because of an increase in SB and or KB, we split that 75% up between the two species.  We give 55% of the 75% to SB and 45% of the 75%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I4" authorId="0">
      <text>
        <r>
          <rPr>
            <b/>
            <sz val="8"/>
            <color indexed="81"/>
            <rFont val="Tahoma"/>
            <family val="2"/>
          </rPr>
          <t>Jill Gannon:</t>
        </r>
        <r>
          <rPr>
            <sz val="8"/>
            <color indexed="81"/>
            <rFont val="Tahoma"/>
            <family val="2"/>
          </rPr>
          <t xml:space="preserve">
Probability RM will increase from 0% to 67%.</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I5" authorId="0">
      <text>
        <r>
          <rPr>
            <b/>
            <sz val="8"/>
            <color indexed="81"/>
            <rFont val="Tahoma"/>
            <family val="2"/>
          </rPr>
          <t>Jill Gannon:</t>
        </r>
        <r>
          <rPr>
            <sz val="8"/>
            <color indexed="81"/>
            <rFont val="Tahoma"/>
            <family val="2"/>
          </rPr>
          <t xml:space="preserve">
Probability RM will increase from 30% to 67%.</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I6" authorId="0">
      <text>
        <r>
          <rPr>
            <b/>
            <sz val="8"/>
            <color indexed="81"/>
            <rFont val="Tahoma"/>
            <family val="2"/>
          </rPr>
          <t>Jill Gannon:</t>
        </r>
        <r>
          <rPr>
            <sz val="8"/>
            <color indexed="81"/>
            <rFont val="Tahoma"/>
            <family val="2"/>
          </rPr>
          <t xml:space="preserve">
Probability RM will increase from 60% to 67%.</t>
        </r>
      </text>
    </comment>
    <comment ref="F8" authorId="0">
      <text>
        <r>
          <rPr>
            <b/>
            <sz val="8"/>
            <color indexed="81"/>
            <rFont val="Tahoma"/>
            <family val="2"/>
          </rPr>
          <t>Jill Gannon:</t>
        </r>
        <r>
          <rPr>
            <sz val="8"/>
            <color indexed="81"/>
            <rFont val="Tahoma"/>
            <family val="2"/>
          </rPr>
          <t xml:space="preserve">
Probability SB increases from 66% to 67% or higher.</t>
        </r>
      </text>
    </comment>
    <comment ref="G8" authorId="0">
      <text>
        <r>
          <rPr>
            <b/>
            <sz val="8"/>
            <color indexed="81"/>
            <rFont val="Tahoma"/>
            <family val="2"/>
          </rPr>
          <t>Jill Gannon:</t>
        </r>
        <r>
          <rPr>
            <sz val="8"/>
            <color indexed="81"/>
            <rFont val="Tahoma"/>
            <family val="2"/>
          </rPr>
          <t xml:space="preserve">
Probability that SB will not increase from 66% to 67% or higher.  And KB will not increase from 34% to 67% or higher.
The 20 CO, 80 SB values come from the SB_Low spreadsheet for the first scenario.  The explanation of these values is explained on that spreadsheet.</t>
        </r>
      </text>
    </comment>
    <comment ref="H8" authorId="0">
      <text>
        <r>
          <rPr>
            <b/>
            <sz val="8"/>
            <color indexed="81"/>
            <rFont val="Tahoma"/>
            <family val="2"/>
          </rPr>
          <t>Jill Gannon:</t>
        </r>
        <r>
          <rPr>
            <sz val="8"/>
            <color indexed="81"/>
            <rFont val="Tahoma"/>
            <family val="2"/>
          </rPr>
          <t xml:space="preserve">
Probability KB increases from 34% to 67% or higher.</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F12" authorId="0">
      <text>
        <r>
          <rPr>
            <b/>
            <sz val="8"/>
            <color indexed="81"/>
            <rFont val="Tahoma"/>
            <family val="2"/>
          </rPr>
          <t>Jill Gannon:</t>
        </r>
        <r>
          <rPr>
            <sz val="8"/>
            <color indexed="81"/>
            <rFont val="Tahoma"/>
            <family val="2"/>
          </rPr>
          <t xml:space="preserve">
Probability SB increases from 34% to 67% or higher.</t>
        </r>
      </text>
    </comment>
    <comment ref="G12" authorId="0">
      <text>
        <r>
          <rPr>
            <b/>
            <sz val="8"/>
            <color indexed="81"/>
            <rFont val="Tahoma"/>
            <family val="2"/>
          </rPr>
          <t>Jill Gannon:</t>
        </r>
        <r>
          <rPr>
            <sz val="8"/>
            <color indexed="81"/>
            <rFont val="Tahoma"/>
            <family val="2"/>
          </rPr>
          <t xml:space="preserve">
Probability that SB does not increase from 34% to 67% and KB does not increase from 66% to 67% or higher.
The 25 CO, 70 KB values come from the KB_Low spreadsheet for the first scenario.  The explanation of these values is explained on that spreadsheet.</t>
        </r>
      </text>
    </comment>
    <comment ref="H12" authorId="0">
      <text>
        <r>
          <rPr>
            <b/>
            <sz val="8"/>
            <color indexed="81"/>
            <rFont val="Tahoma"/>
            <family val="2"/>
          </rPr>
          <t>Jill Gannon:</t>
        </r>
        <r>
          <rPr>
            <sz val="8"/>
            <color indexed="81"/>
            <rFont val="Tahoma"/>
            <family val="2"/>
          </rPr>
          <t xml:space="preserve">
Probability KB increases from 66% to 67% or higher.</t>
        </r>
      </text>
    </comment>
    <comment ref="F13" authorId="0">
      <text>
        <r>
          <rPr>
            <b/>
            <sz val="8"/>
            <color indexed="81"/>
            <rFont val="Tahoma"/>
            <family val="2"/>
          </rPr>
          <t>Jill Gannon:</t>
        </r>
        <r>
          <rPr>
            <sz val="8"/>
            <color indexed="81"/>
            <rFont val="Tahoma"/>
            <family val="2"/>
          </rPr>
          <t xml:space="preserve">
Probability SB increases from 46% to 47% or higher.</t>
        </r>
      </text>
    </comment>
    <comment ref="G13"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13" authorId="0">
      <text>
        <r>
          <rPr>
            <b/>
            <sz val="8"/>
            <color indexed="81"/>
            <rFont val="Tahoma"/>
            <family val="2"/>
          </rPr>
          <t>Jill Gannon:</t>
        </r>
        <r>
          <rPr>
            <sz val="8"/>
            <color indexed="81"/>
            <rFont val="Tahoma"/>
            <family val="2"/>
          </rPr>
          <t xml:space="preserve">
Probability KB increases from 24% to 47% or higher.</t>
        </r>
      </text>
    </comment>
    <comment ref="F14" authorId="0">
      <text>
        <r>
          <rPr>
            <b/>
            <sz val="8"/>
            <color indexed="81"/>
            <rFont val="Tahoma"/>
            <family val="2"/>
          </rPr>
          <t>Jill Gannon:</t>
        </r>
        <r>
          <rPr>
            <sz val="8"/>
            <color indexed="81"/>
            <rFont val="Tahoma"/>
            <family val="2"/>
          </rPr>
          <t xml:space="preserve">
Probability SB increases from 26% to 27% or higher.</t>
        </r>
      </text>
    </comment>
    <comment ref="G14"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4" authorId="0">
      <text>
        <r>
          <rPr>
            <b/>
            <sz val="8"/>
            <color indexed="81"/>
            <rFont val="Tahoma"/>
            <family val="2"/>
          </rPr>
          <t>Jill Gannon:</t>
        </r>
        <r>
          <rPr>
            <sz val="8"/>
            <color indexed="81"/>
            <rFont val="Tahoma"/>
            <family val="2"/>
          </rPr>
          <t xml:space="preserve">
Probabililty KB increases from 14%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Low Level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5.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values are1/3.67 of the values used under the High Defoliation.  This is based on the values in the upper portion of the model elicitation spreadsheet.
For High Level, RM dom, Rest: the above|below split is 85|15 (average of 80NP 90|10 and 20NP 80|20).
For Low Level, RM dom, Rest:  the above|below spit is 45|55 (average of 80NP 50|50 and 20NP 40|60).
So, under a Low Level there is 3.67x the probability of NP decreasing (55% as opposed to 15%).  We assume this decrease is due to increases in SB and KB, which are more aggressive under the Low Level.  So we expect the probability of remaining RM dom to decline, and we  use the described relationship to decrease the probabilty by 1/3.67.</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Level and Rest.  There is a 25|75 split in the values (above|below).  This means there is a 25% probability that NP will stay the same and a 75% probability that NP will decrease due to an increase in SB and/or KB.  
We've already set the probability of remaining RM dom.  We need to split the remaining probabilty among the other dominance states.  We use the same probabilities as used under CO_Low (that is, 25% to CO, 55% of the remaining to SB, and 45% of the remaining to KB - see CO_Low for an explanation of these values).</t>
        </r>
      </text>
    </comment>
    <comment ref="I4" authorId="0">
      <text>
        <r>
          <rPr>
            <b/>
            <sz val="8"/>
            <color indexed="81"/>
            <rFont val="Tahoma"/>
            <family val="2"/>
          </rPr>
          <t>Jill Gannon:</t>
        </r>
        <r>
          <rPr>
            <sz val="8"/>
            <color indexed="81"/>
            <rFont val="Tahoma"/>
            <family val="2"/>
          </rPr>
          <t xml:space="preserve">
Probability RM does not decrease from 67% to anything lower.
</t>
        </r>
      </text>
    </comment>
    <comment ref="I5" authorId="0">
      <text>
        <r>
          <rPr>
            <b/>
            <sz val="8"/>
            <color indexed="81"/>
            <rFont val="Tahoma"/>
            <family val="2"/>
          </rPr>
          <t>Jill Gannon:</t>
        </r>
        <r>
          <rPr>
            <sz val="8"/>
            <color indexed="81"/>
            <rFont val="Tahoma"/>
            <family val="2"/>
          </rPr>
          <t xml:space="preserve">
Probability RM does not decrease from 85% to 66% or lower.</t>
        </r>
      </text>
    </comment>
    <comment ref="I6" authorId="0">
      <text>
        <r>
          <rPr>
            <b/>
            <sz val="8"/>
            <color indexed="81"/>
            <rFont val="Tahoma"/>
            <family val="2"/>
          </rPr>
          <t>Jill Gannon:</t>
        </r>
        <r>
          <rPr>
            <sz val="8"/>
            <color indexed="81"/>
            <rFont val="Tahoma"/>
            <family val="2"/>
          </rPr>
          <t xml:space="preserve">
Probability RM does not decrease from 95% to 66% or lower.</t>
        </r>
      </text>
    </comment>
    <comment ref="F8" authorId="0">
      <text>
        <r>
          <rPr>
            <b/>
            <sz val="8"/>
            <color indexed="81"/>
            <rFont val="Tahoma"/>
            <family val="2"/>
          </rPr>
          <t>Jill Gannon:</t>
        </r>
        <r>
          <rPr>
            <sz val="8"/>
            <color indexed="81"/>
            <rFont val="Tahoma"/>
            <family val="2"/>
          </rPr>
          <t xml:space="preserve">
If RM drops below 67%, probability SB does not drop below 23%</t>
        </r>
      </text>
    </comment>
    <comment ref="G8" authorId="0">
      <text>
        <r>
          <rPr>
            <b/>
            <sz val="8"/>
            <color indexed="81"/>
            <rFont val="Tahoma"/>
            <family val="2"/>
          </rPr>
          <t>Jill Gannon:</t>
        </r>
        <r>
          <rPr>
            <sz val="8"/>
            <color indexed="81"/>
            <rFont val="Tahoma"/>
            <family val="2"/>
          </rPr>
          <t xml:space="preserve">
0.15 comes from SB_Low; it is the interpolated value for CO for the interpolated scenario of 75% SB which is between the 20 and the 10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0.23 comes from KB_Low; it is the interpolated value for CO for the interpolated scenario of 75% KB which is between the 25 and the 20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Low Level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6.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7.5% and 0% for the 30 and 0 RM scenarios are simply based on this 15% anchor and an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20, CO 80 values come from the upper portion of the model elicitation spreadsheet for SB dominance under a High Defoliation Level and Rest.  There is a 80|20 split in the values (above|below).  This means there is a 20% probability that NP will decrease (and we'll assume this means there is a 20% probability that SB will increase).  For this scenario, SB needs only to drop 1% for this to switch from SB dom to Co dom.  Since there is a 20% probability that SB will increase, we say that there is a 20% probability that SB will remain dominant.  Because there is a 80% probability that SB will decrease, we say that there is a 80% probability that dominance will shift from SB dom to CO dom.  
The values in the color-filled cells below are estimates based on these original 20, 80 probabilities.  The idea is that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H5" authorId="0">
      <text>
        <r>
          <rPr>
            <b/>
            <sz val="8"/>
            <color indexed="81"/>
            <rFont val="Tahoma"/>
            <family val="2"/>
          </rPr>
          <t>Jill Gannon:</t>
        </r>
        <r>
          <rPr>
            <sz val="8"/>
            <color indexed="81"/>
            <rFont val="Tahoma"/>
            <family val="2"/>
          </rPr>
          <t xml:space="preserve">
Probability KB increase from 23% to 47%.</t>
        </r>
      </text>
    </comment>
    <comment ref="H6" authorId="0">
      <text>
        <r>
          <rPr>
            <b/>
            <sz val="8"/>
            <color indexed="81"/>
            <rFont val="Tahoma"/>
            <family val="2"/>
          </rPr>
          <t>Jill Gannon:</t>
        </r>
        <r>
          <rPr>
            <sz val="8"/>
            <color indexed="81"/>
            <rFont val="Tahoma"/>
            <family val="2"/>
          </rPr>
          <t xml:space="preserve">
Probability KB increase from 13% to 27%.</t>
        </r>
      </text>
    </comment>
    <comment ref="H8" authorId="0">
      <text>
        <r>
          <rPr>
            <b/>
            <sz val="8"/>
            <color indexed="81"/>
            <rFont val="Tahoma"/>
            <family val="2"/>
          </rPr>
          <t>Jill Gannon:</t>
        </r>
        <r>
          <rPr>
            <sz val="8"/>
            <color indexed="81"/>
            <rFont val="Tahoma"/>
            <family val="2"/>
          </rPr>
          <t xml:space="preserve">
Prob KB increase from 15% to 67%.</t>
        </r>
      </text>
    </comment>
    <comment ref="H9" authorId="0">
      <text>
        <r>
          <rPr>
            <b/>
            <sz val="8"/>
            <color indexed="81"/>
            <rFont val="Tahoma"/>
            <family val="2"/>
          </rPr>
          <t>Jill Gannon:</t>
        </r>
        <r>
          <rPr>
            <sz val="8"/>
            <color indexed="81"/>
            <rFont val="Tahoma"/>
            <family val="2"/>
          </rPr>
          <t xml:space="preserve">
Prob KB increase from 11% to 47%</t>
        </r>
      </text>
    </comment>
    <comment ref="H10" authorId="0">
      <text>
        <r>
          <rPr>
            <b/>
            <sz val="8"/>
            <color indexed="81"/>
            <rFont val="Tahoma"/>
            <family val="2"/>
          </rPr>
          <t>Jill Gannon:</t>
        </r>
        <r>
          <rPr>
            <sz val="8"/>
            <color indexed="81"/>
            <rFont val="Tahoma"/>
            <family val="2"/>
          </rPr>
          <t xml:space="preserve">
Prob KB increase from 6%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High Level (used an average of the 80% and 20% scenario).  
Graze decreases SB by 10%, KB by 0%.
Burn decreases SB by 0%, KB by 0%.
BG decreases SB by 10%,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7.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7.5% and 0% for the 30 and 0 RM scenarios are simply based on this 15% anchor and an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10, CO 90 values come from the upper portion of the model elicitation spreadsheet for KB dominance under a High Defolation Level and Rest.  There is a 90|10 split in the values (above|below).  This means there is a 10% probability that NP will decrease (and we'll assume this means there is a 10% probability that KB will increase).  For this scenario, KB needs only to drop 1% for this to switch from KB dom to CO dom.  Since there is a 10% probability that KB will increase, we say that there is a 10% probability that KB will remain dominant.  Because there is a 90% probability that KB will decrease, we say that there is a 90% probability that dominance will shift from KB dom to CO dom.  
The values in the color-filled cells below are estimates based on these original 10, 90 probabilities.  The ideas is that with increased amount of KB, there is less chance of it switching dominance, even if it decreases some.</t>
        </r>
      </text>
    </comment>
    <comment ref="F5" authorId="0">
      <text>
        <r>
          <rPr>
            <b/>
            <sz val="8"/>
            <color indexed="81"/>
            <rFont val="Tahoma"/>
            <family val="2"/>
          </rPr>
          <t>Jill Gannon:</t>
        </r>
        <r>
          <rPr>
            <sz val="8"/>
            <color indexed="81"/>
            <rFont val="Tahoma"/>
            <family val="2"/>
          </rPr>
          <t xml:space="preserve">
prob SB increase from 23% to 47%</t>
        </r>
      </text>
    </comment>
    <comment ref="F6" authorId="0">
      <text>
        <r>
          <rPr>
            <b/>
            <sz val="8"/>
            <color indexed="81"/>
            <rFont val="Tahoma"/>
            <family val="2"/>
          </rPr>
          <t>Jill Gannon:</t>
        </r>
        <r>
          <rPr>
            <sz val="8"/>
            <color indexed="81"/>
            <rFont val="Tahoma"/>
            <family val="2"/>
          </rPr>
          <t xml:space="preserve">
Prob SB increase from 13%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Hight Level (used an average of the 80% and 20% scenario).   
Graze decreases SB by 10%, KB by 0%.
Burn decreases SB by 0%, KB by 0%.
BG decreases SB by 10%,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8.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7.5% and 0% for the 30 and 0 RM scenarios are simply based on this 15% anchor and an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85 value comes from the upper portion of the model elicitation spreadsheet for CO dominance under a High Defoliation Level and Rest.  There is a 85|15 split in the values (above|below).  This means there is a 85% probability that NP will stay the same and a 15% probability that NP will decrease due to an increase in SB and/or KB.   For this scenario, either SB or KB needs to increase from 50% to 67% for there to be a shift in dominance.  Since there is a 85% probability that no big changes in NP are occurring (and thus no big increase in SB or KB), then we'll assume there is a 85% probability of remaining CO dom.  Since there is a 15% probability that NP will decrease because of an increase in SB and or KB, we split that 15% up between the two species.  We give 55% of the 15% to SB and 45% of the 15%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G8" authorId="0">
      <text>
        <r>
          <rPr>
            <b/>
            <sz val="8"/>
            <color indexed="81"/>
            <rFont val="Tahoma"/>
            <family val="2"/>
          </rPr>
          <t>Jill Gannon:</t>
        </r>
        <r>
          <rPr>
            <sz val="8"/>
            <color indexed="81"/>
            <rFont val="Tahoma"/>
            <family val="2"/>
          </rPr>
          <t xml:space="preserve">
The 80 CO, 20 SB values come from the SB_High spreadsheet for the first scenario.  The explanation of these values is explained on that spreadsheet.</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G12" authorId="0">
      <text>
        <r>
          <rPr>
            <b/>
            <sz val="8"/>
            <color indexed="81"/>
            <rFont val="Tahoma"/>
            <family val="2"/>
          </rPr>
          <t>Jill Gannon:</t>
        </r>
        <r>
          <rPr>
            <sz val="8"/>
            <color indexed="81"/>
            <rFont val="Tahoma"/>
            <family val="2"/>
          </rPr>
          <t xml:space="preserve">
The 90 CO, 10 KB values come from the KB_High spreadsheet for the first scenario.  The explanation of these values is explained on that spreadsheet.</t>
        </r>
      </text>
    </comment>
    <comment ref="F13" authorId="0">
      <text>
        <r>
          <rPr>
            <b/>
            <sz val="8"/>
            <color indexed="81"/>
            <rFont val="Tahoma"/>
            <family val="2"/>
          </rPr>
          <t>Jill Gannon:</t>
        </r>
        <r>
          <rPr>
            <sz val="8"/>
            <color indexed="81"/>
            <rFont val="Tahoma"/>
            <family val="2"/>
          </rPr>
          <t xml:space="preserve">
Probability SB increases from 24% to 47% or higher.</t>
        </r>
      </text>
    </comment>
    <comment ref="G13" authorId="0">
      <text>
        <r>
          <rPr>
            <b/>
            <sz val="8"/>
            <color indexed="81"/>
            <rFont val="Tahoma"/>
            <family val="2"/>
          </rPr>
          <t>Jill Gannon:</t>
        </r>
        <r>
          <rPr>
            <sz val="8"/>
            <color indexed="81"/>
            <rFont val="Tahoma"/>
            <family val="2"/>
          </rPr>
          <t xml:space="preserve">
Probability SB does not increase from 24% to 47% or higher and KB does not increase from 46% to 47% or higher.</t>
        </r>
      </text>
    </comment>
    <comment ref="H13" authorId="0">
      <text>
        <r>
          <rPr>
            <b/>
            <sz val="8"/>
            <color indexed="81"/>
            <rFont val="Tahoma"/>
            <family val="2"/>
          </rPr>
          <t>Jill Gannon:</t>
        </r>
        <r>
          <rPr>
            <sz val="8"/>
            <color indexed="81"/>
            <rFont val="Tahoma"/>
            <family val="2"/>
          </rPr>
          <t xml:space="preserve">
Probability KB increases from 46% to 47% or higher.</t>
        </r>
      </text>
    </comment>
    <comment ref="F14" authorId="0">
      <text>
        <r>
          <rPr>
            <b/>
            <sz val="8"/>
            <color indexed="81"/>
            <rFont val="Tahoma"/>
            <family val="2"/>
          </rPr>
          <t>Jill Gannon:</t>
        </r>
        <r>
          <rPr>
            <sz val="8"/>
            <color indexed="81"/>
            <rFont val="Tahoma"/>
            <family val="2"/>
          </rPr>
          <t xml:space="preserve">
Probability SB increases from 14% to 27% or higher.</t>
        </r>
      </text>
    </comment>
    <comment ref="G14" authorId="0">
      <text>
        <r>
          <rPr>
            <b/>
            <sz val="8"/>
            <color indexed="81"/>
            <rFont val="Tahoma"/>
            <family val="2"/>
          </rPr>
          <t>Jill Gannon:</t>
        </r>
        <r>
          <rPr>
            <sz val="8"/>
            <color indexed="81"/>
            <rFont val="Tahoma"/>
            <family val="2"/>
          </rPr>
          <t xml:space="preserve">
Probability SB does not increase from 14% to 27% or higher and KB does not increase from 26% to 27% or higher.</t>
        </r>
      </text>
    </comment>
    <comment ref="H14" authorId="0">
      <text>
        <r>
          <rPr>
            <b/>
            <sz val="8"/>
            <color indexed="81"/>
            <rFont val="Tahoma"/>
            <family val="2"/>
          </rPr>
          <t>Jill Gannon:</t>
        </r>
        <r>
          <rPr>
            <sz val="8"/>
            <color indexed="81"/>
            <rFont val="Tahoma"/>
            <family val="2"/>
          </rPr>
          <t xml:space="preserve">
Probabililty KB increases from 26%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High Level (used an average of the 80% and 20% scenario).   
Graze decreases SB by 10%, KB by 0%.
Burn decreases SB by 0%, KB by 0%.
BG decreases SB by 10%, KB by 0%.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9.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15 for the scenario of 67% RM, comes from the upper portion of the model elicitation spreadsheet, High Level, RM dom, and Rest.  The above|below split for this situation is 90|10 at 80NP and 80|20 at 20NP for an average of 85|15.  This means there is 15% probability that NP will decrease.  We will thus assume this is a 15% probability that RM will increase. In this scenario, RM needs to maintain its 67% to remain dominant.  So we give it a 15% that this will happen.  
The other probabilities of 30% and 35% for the 85 and 95 RM scenarios are simply based on this 15% anchor and an estimate.  The more RM there is, then the more likely it will remain dominant, even with some decreases in its amount.</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value comes from the upper portion of the model elicitation spreadsheet for CO dominance under a High Defoliation Level and Rest.  There is a 85|15 split in the values (above|below).  This means there is a 85% probability that NP will stay the same and a 15% probability that NP will decrease due to an increase in SB and/or KB.  
We've already set the probability of remaining RM dom.  We need to split the remaining probabilty among the other dominance states.  We use the same probabilities as used under CO_High (that is, 85% of the remaining to CO, and then 55% of the remaining 15% to SB, and 45% of the remaining 15% to KB - see CO_High for an explanation of these values).</t>
        </r>
      </text>
    </comment>
    <comment ref="G8" authorId="0">
      <text>
        <r>
          <rPr>
            <b/>
            <sz val="8"/>
            <color indexed="81"/>
            <rFont val="Tahoma"/>
            <family val="2"/>
          </rPr>
          <t>Jill Gannon:</t>
        </r>
        <r>
          <rPr>
            <sz val="8"/>
            <color indexed="81"/>
            <rFont val="Tahoma"/>
            <family val="2"/>
          </rPr>
          <t xml:space="preserve">
0.71 comes from SB_High; it is the interpolated value for CO for the interpolated scenario of 75% SB which is between the 80 and the 60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0.83 comes from KB_High; it is the interpolated value for CO for the interpolated scenario of 75% KB which is between the 90 and the 75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for High Level (used an average of the 80% and 20% scenario).   
Graze decreases SB by 10%, KB by 0%.
Burn decreases SB by 0%, KB by 0%.
BG decreases SB by 10%, KB by 0%.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sharedStrings.xml><?xml version="1.0" encoding="utf-8"?>
<sst xmlns="http://schemas.openxmlformats.org/spreadsheetml/2006/main" count="448" uniqueCount="34">
  <si>
    <t>Dominant SB</t>
  </si>
  <si>
    <t>SB</t>
  </si>
  <si>
    <t>KB</t>
  </si>
  <si>
    <t>RM</t>
  </si>
  <si>
    <t>Low</t>
  </si>
  <si>
    <t>Med</t>
  </si>
  <si>
    <t>High</t>
  </si>
  <si>
    <t>Dominant KB</t>
  </si>
  <si>
    <t>Dominant RM</t>
  </si>
  <si>
    <t>50:50</t>
  </si>
  <si>
    <t>75:25</t>
  </si>
  <si>
    <t>25:75</t>
  </si>
  <si>
    <t>66:34</t>
  </si>
  <si>
    <t>34:66</t>
  </si>
  <si>
    <t>CO</t>
  </si>
  <si>
    <t>sum</t>
  </si>
  <si>
    <t>Rest</t>
  </si>
  <si>
    <t>Burn</t>
  </si>
  <si>
    <t>Graze</t>
  </si>
  <si>
    <t>Probability of becoming Dominant</t>
  </si>
  <si>
    <t>Number of instances of becoming Dominant</t>
  </si>
  <si>
    <t>For SB to be dominant, SB/(SB + KB) &gt;= 0.67</t>
  </si>
  <si>
    <t>For KB to be dominant, KB/(SB + KB) &gt;= 0.67</t>
  </si>
  <si>
    <t>For RM to be dominant, RM/(SB + KB + RM) &gt;=0.67</t>
  </si>
  <si>
    <t>The Rules of Dominance:</t>
  </si>
  <si>
    <t>BG</t>
  </si>
  <si>
    <t>R</t>
  </si>
  <si>
    <t>G</t>
  </si>
  <si>
    <t>B</t>
  </si>
  <si>
    <t>Differences</t>
  </si>
  <si>
    <t>Rounded Rest, Unrounded Treatments</t>
  </si>
  <si>
    <t>Dominant CO</t>
  </si>
  <si>
    <t>All other situations are categorized as SB|KB CO-dominant</t>
  </si>
  <si>
    <t>Final Dominance Values Copied to the Lower Section of the Elicitaiton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</si>
</sst>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10"/>
      <color indexed="81"/>
      <name val="Tahoma"/>
      <family val="2"/>
    </font>
    <font>
      <b/>
      <sz val="10"/>
      <color indexed="81"/>
      <name val="Tahoma"/>
      <family val="2"/>
    </font>
  </fonts>
  <fills count="12">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8">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center" vertical="center"/>
    </xf>
    <xf numFmtId="2" fontId="0" fillId="0" borderId="0" xfId="0" applyNumberFormat="1"/>
    <xf numFmtId="0" fontId="0" fillId="0" borderId="0" xfId="0" applyAlignment="1">
      <alignment horizontal="center" vertical="center"/>
    </xf>
    <xf numFmtId="0" fontId="1" fillId="0" borderId="0" xfId="0" applyFont="1" applyAlignment="1">
      <alignment horizontal="center"/>
    </xf>
    <xf numFmtId="0" fontId="1" fillId="0" borderId="0" xfId="0" applyFont="1"/>
    <xf numFmtId="2" fontId="1" fillId="0" borderId="0" xfId="0" applyNumberFormat="1" applyFont="1"/>
    <xf numFmtId="0" fontId="0" fillId="0" borderId="0" xfId="0" applyAlignment="1">
      <alignment horizontal="right"/>
    </xf>
    <xf numFmtId="2" fontId="1" fillId="0" borderId="0" xfId="0" applyNumberFormat="1" applyFont="1" applyAlignment="1">
      <alignment horizontal="center"/>
    </xf>
    <xf numFmtId="0" fontId="0" fillId="0" borderId="0" xfId="0" applyAlignment="1">
      <alignment horizontal="center" vertical="center"/>
    </xf>
    <xf numFmtId="1" fontId="0" fillId="0" borderId="0" xfId="0" applyNumberFormat="1" applyBorder="1"/>
    <xf numFmtId="0" fontId="0" fillId="0" borderId="0" xfId="0" applyBorder="1"/>
    <xf numFmtId="0" fontId="0" fillId="6" borderId="0" xfId="0" applyFill="1" applyBorder="1"/>
    <xf numFmtId="1" fontId="0" fillId="0" borderId="0" xfId="0" applyNumberFormat="1" applyFill="1" applyBorder="1"/>
    <xf numFmtId="0" fontId="0" fillId="0" borderId="0" xfId="0" applyFill="1" applyBorder="1"/>
    <xf numFmtId="0" fontId="0" fillId="0" borderId="4" xfId="0" applyBorder="1"/>
    <xf numFmtId="0" fontId="0" fillId="0" borderId="5" xfId="0" applyBorder="1"/>
    <xf numFmtId="0" fontId="0" fillId="6" borderId="4" xfId="0" applyFill="1" applyBorder="1"/>
    <xf numFmtId="1" fontId="0" fillId="0" borderId="4" xfId="0" applyNumberFormat="1" applyFill="1" applyBorder="1"/>
    <xf numFmtId="1" fontId="0" fillId="0" borderId="4" xfId="0" applyNumberFormat="1" applyBorder="1"/>
    <xf numFmtId="1" fontId="0" fillId="0" borderId="6" xfId="0" applyNumberFormat="1" applyFill="1" applyBorder="1"/>
    <xf numFmtId="1" fontId="0" fillId="0" borderId="7" xfId="0" applyNumberFormat="1" applyFill="1" applyBorder="1"/>
    <xf numFmtId="0" fontId="0" fillId="6" borderId="7" xfId="0" applyFill="1" applyBorder="1"/>
    <xf numFmtId="0" fontId="0" fillId="0" borderId="8" xfId="0" applyBorder="1"/>
    <xf numFmtId="0" fontId="0" fillId="6" borderId="1" xfId="0" applyFill="1" applyBorder="1"/>
    <xf numFmtId="0" fontId="0" fillId="6" borderId="2" xfId="0" applyFill="1" applyBorder="1"/>
    <xf numFmtId="0" fontId="0" fillId="6" borderId="3" xfId="0" applyFill="1" applyBorder="1"/>
    <xf numFmtId="0" fontId="0" fillId="6" borderId="5" xfId="0" applyFill="1" applyBorder="1"/>
    <xf numFmtId="0" fontId="0" fillId="0" borderId="5" xfId="0" applyFill="1" applyBorder="1"/>
    <xf numFmtId="1" fontId="0" fillId="0" borderId="6" xfId="0" applyNumberFormat="1" applyBorder="1"/>
    <xf numFmtId="1" fontId="0" fillId="0" borderId="7" xfId="0" applyNumberFormat="1" applyBorder="1"/>
    <xf numFmtId="1" fontId="0" fillId="9" borderId="4" xfId="0" applyNumberFormat="1" applyFill="1" applyBorder="1"/>
    <xf numFmtId="0" fontId="0" fillId="9" borderId="0" xfId="0" applyFill="1" applyBorder="1"/>
    <xf numFmtId="1" fontId="0" fillId="9" borderId="6" xfId="0" applyNumberFormat="1" applyFill="1" applyBorder="1"/>
    <xf numFmtId="0" fontId="0" fillId="9" borderId="1" xfId="0" applyFill="1" applyBorder="1"/>
    <xf numFmtId="0" fontId="0" fillId="9" borderId="2" xfId="0" applyFill="1" applyBorder="1"/>
    <xf numFmtId="0" fontId="0" fillId="9" borderId="3" xfId="0" applyFill="1" applyBorder="1"/>
    <xf numFmtId="0" fontId="0" fillId="10" borderId="3" xfId="0" applyFill="1" applyBorder="1"/>
    <xf numFmtId="0" fontId="0" fillId="10" borderId="5" xfId="0" applyFill="1" applyBorder="1"/>
    <xf numFmtId="1" fontId="0" fillId="10" borderId="4" xfId="0" applyNumberFormat="1" applyFill="1" applyBorder="1"/>
    <xf numFmtId="1" fontId="0" fillId="10" borderId="0" xfId="0" applyNumberFormat="1" applyFill="1" applyBorder="1"/>
    <xf numFmtId="1" fontId="0" fillId="10" borderId="1" xfId="0" applyNumberFormat="1" applyFill="1" applyBorder="1"/>
    <xf numFmtId="1" fontId="0" fillId="10" borderId="2" xfId="0" applyNumberFormat="1" applyFill="1" applyBorder="1"/>
    <xf numFmtId="1" fontId="0" fillId="11" borderId="1" xfId="0" applyNumberFormat="1" applyFill="1" applyBorder="1"/>
    <xf numFmtId="1" fontId="0" fillId="11" borderId="2" xfId="0" applyNumberFormat="1" applyFill="1" applyBorder="1"/>
    <xf numFmtId="1" fontId="0" fillId="11" borderId="3" xfId="0" applyNumberFormat="1" applyFill="1" applyBorder="1"/>
    <xf numFmtId="1" fontId="0" fillId="11" borderId="5" xfId="0" applyNumberFormat="1" applyFill="1" applyBorder="1"/>
    <xf numFmtId="1" fontId="0" fillId="0" borderId="5" xfId="0" applyNumberFormat="1" applyBorder="1"/>
    <xf numFmtId="1" fontId="0" fillId="11" borderId="4" xfId="0" applyNumberFormat="1" applyFill="1" applyBorder="1"/>
    <xf numFmtId="1" fontId="0" fillId="11" borderId="0" xfId="0" applyNumberFormat="1" applyFill="1" applyBorder="1"/>
    <xf numFmtId="1" fontId="0" fillId="0" borderId="8" xfId="0" applyNumberFormat="1" applyBorder="1"/>
    <xf numFmtId="0" fontId="0" fillId="8" borderId="3" xfId="0" applyFill="1" applyBorder="1"/>
    <xf numFmtId="0" fontId="0" fillId="8" borderId="5" xfId="0" applyFill="1" applyBorder="1"/>
    <xf numFmtId="1" fontId="0" fillId="11" borderId="0" xfId="0" applyNumberFormat="1" applyFill="1"/>
    <xf numFmtId="0" fontId="1" fillId="0" borderId="0" xfId="0" applyFont="1" applyAlignment="1">
      <alignment horizontal="center"/>
    </xf>
    <xf numFmtId="0" fontId="0" fillId="0" borderId="0" xfId="0" applyAlignment="1">
      <alignment horizontal="center"/>
    </xf>
    <xf numFmtId="0" fontId="0" fillId="8" borderId="1" xfId="0" applyFill="1" applyBorder="1"/>
    <xf numFmtId="0" fontId="0" fillId="8" borderId="2" xfId="0" applyFill="1" applyBorder="1"/>
    <xf numFmtId="1" fontId="0" fillId="8" borderId="4" xfId="0" applyNumberFormat="1" applyFill="1" applyBorder="1"/>
    <xf numFmtId="0" fontId="0" fillId="8" borderId="0" xfId="0" applyFill="1" applyBorder="1"/>
    <xf numFmtId="1" fontId="0" fillId="8" borderId="6" xfId="0" applyNumberFormat="1" applyFill="1" applyBorder="1"/>
    <xf numFmtId="164" fontId="0" fillId="6" borderId="5" xfId="0" applyNumberFormat="1" applyFill="1" applyBorder="1"/>
    <xf numFmtId="164" fontId="0" fillId="0" borderId="8" xfId="0" applyNumberFormat="1" applyFill="1" applyBorder="1"/>
    <xf numFmtId="164" fontId="0" fillId="0" borderId="5" xfId="0" applyNumberFormat="1" applyFill="1" applyBorder="1"/>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164" fontId="0" fillId="10" borderId="5" xfId="0" applyNumberFormat="1" applyFill="1" applyBorder="1"/>
    <xf numFmtId="164" fontId="0" fillId="9" borderId="5" xfId="0" applyNumberFormat="1" applyFill="1" applyBorder="1"/>
    <xf numFmtId="0" fontId="0" fillId="0" borderId="0" xfId="0" applyAlignment="1">
      <alignment horizontal="center" vertical="center"/>
    </xf>
    <xf numFmtId="0" fontId="0" fillId="2" borderId="0" xfId="0" applyFill="1" applyAlignment="1">
      <alignment horizontal="center"/>
    </xf>
    <xf numFmtId="0" fontId="0" fillId="3" borderId="0" xfId="0" applyFill="1" applyAlignment="1">
      <alignment horizontal="center"/>
    </xf>
    <xf numFmtId="0" fontId="0" fillId="0" borderId="0" xfId="0" applyAlignment="1">
      <alignment vertical="top" wrapText="1"/>
    </xf>
    <xf numFmtId="0" fontId="0" fillId="4" borderId="0" xfId="0" applyFill="1" applyAlignment="1">
      <alignment horizontal="center"/>
    </xf>
    <xf numFmtId="46" fontId="0" fillId="0" borderId="0" xfId="0" quotePrefix="1" applyNumberFormat="1" applyAlignment="1">
      <alignment horizontal="center" vertical="center"/>
    </xf>
    <xf numFmtId="0" fontId="0" fillId="0" borderId="0" xfId="0" quotePrefix="1" applyAlignment="1">
      <alignment horizontal="center" vertical="center"/>
    </xf>
    <xf numFmtId="0" fontId="0" fillId="5" borderId="0" xfId="0" applyFill="1" applyAlignment="1">
      <alignment horizontal="center"/>
    </xf>
    <xf numFmtId="0" fontId="1"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1" fillId="7"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abSelected="1" workbookViewId="0"/>
  </sheetViews>
  <sheetFormatPr defaultRowHeight="15" x14ac:dyDescent="0.25"/>
  <sheetData>
    <row r="1" spans="1:19" x14ac:dyDescent="0.25">
      <c r="B1" s="74" t="s">
        <v>0</v>
      </c>
      <c r="C1" s="74"/>
      <c r="D1" s="74"/>
      <c r="G1" s="75" t="s">
        <v>7</v>
      </c>
      <c r="H1" s="75"/>
      <c r="I1" s="75"/>
      <c r="L1" s="77" t="s">
        <v>31</v>
      </c>
      <c r="M1" s="77"/>
      <c r="N1" s="77"/>
      <c r="Q1" s="80" t="s">
        <v>8</v>
      </c>
      <c r="R1" s="80"/>
      <c r="S1" s="80"/>
    </row>
    <row r="3" spans="1:19" x14ac:dyDescent="0.25">
      <c r="B3" s="2" t="s">
        <v>1</v>
      </c>
      <c r="C3" s="2" t="s">
        <v>2</v>
      </c>
      <c r="D3" s="2" t="s">
        <v>3</v>
      </c>
      <c r="G3" s="2" t="s">
        <v>1</v>
      </c>
      <c r="H3" s="2" t="s">
        <v>2</v>
      </c>
      <c r="I3" s="2" t="s">
        <v>3</v>
      </c>
      <c r="L3" s="2" t="s">
        <v>1</v>
      </c>
      <c r="M3" s="2" t="s">
        <v>2</v>
      </c>
      <c r="N3" s="2" t="s">
        <v>3</v>
      </c>
      <c r="Q3" s="2" t="s">
        <v>1</v>
      </c>
      <c r="R3" s="2" t="s">
        <v>2</v>
      </c>
      <c r="S3" s="2" t="s">
        <v>3</v>
      </c>
    </row>
    <row r="4" spans="1:19" ht="15" customHeight="1" x14ac:dyDescent="0.25">
      <c r="A4" s="73" t="s">
        <v>4</v>
      </c>
      <c r="B4">
        <v>67</v>
      </c>
      <c r="C4">
        <v>33</v>
      </c>
      <c r="D4">
        <v>0</v>
      </c>
      <c r="F4" s="73" t="s">
        <v>4</v>
      </c>
      <c r="G4">
        <v>33</v>
      </c>
      <c r="H4">
        <v>67</v>
      </c>
      <c r="I4">
        <v>0</v>
      </c>
      <c r="K4" s="78" t="s">
        <v>9</v>
      </c>
      <c r="L4">
        <v>50</v>
      </c>
      <c r="M4">
        <v>50</v>
      </c>
      <c r="N4">
        <v>0</v>
      </c>
      <c r="P4" s="78" t="s">
        <v>9</v>
      </c>
      <c r="Q4" s="1">
        <f>0.5*(100-S4)</f>
        <v>16.5</v>
      </c>
      <c r="R4" s="1">
        <f>0.5*(100-S4)</f>
        <v>16.5</v>
      </c>
      <c r="S4">
        <v>67</v>
      </c>
    </row>
    <row r="5" spans="1:19" x14ac:dyDescent="0.25">
      <c r="A5" s="73"/>
      <c r="B5" s="1">
        <f>0.67*70</f>
        <v>46.900000000000006</v>
      </c>
      <c r="C5" s="1">
        <f>100-B5-D5</f>
        <v>23.099999999999994</v>
      </c>
      <c r="D5">
        <v>30</v>
      </c>
      <c r="F5" s="73"/>
      <c r="G5" s="1">
        <f>0.33*70</f>
        <v>23.1</v>
      </c>
      <c r="H5" s="1">
        <f>0.67*70</f>
        <v>46.900000000000006</v>
      </c>
      <c r="I5">
        <v>30</v>
      </c>
      <c r="K5" s="73"/>
      <c r="L5" s="1">
        <v>35</v>
      </c>
      <c r="M5" s="1">
        <v>35</v>
      </c>
      <c r="N5">
        <v>30</v>
      </c>
      <c r="P5" s="73"/>
      <c r="Q5" s="1">
        <f>0.5*(100-S5)</f>
        <v>7.5</v>
      </c>
      <c r="R5" s="1">
        <f>0.5*(100-S5)</f>
        <v>7.5</v>
      </c>
      <c r="S5">
        <v>85</v>
      </c>
    </row>
    <row r="6" spans="1:19" x14ac:dyDescent="0.25">
      <c r="A6" s="73"/>
      <c r="B6" s="1">
        <f>0.67*40</f>
        <v>26.8</v>
      </c>
      <c r="C6" s="1">
        <f>100-B6-D6</f>
        <v>13.200000000000003</v>
      </c>
      <c r="D6">
        <v>60</v>
      </c>
      <c r="F6" s="73"/>
      <c r="G6" s="1">
        <f>0.33*40</f>
        <v>13.200000000000001</v>
      </c>
      <c r="H6" s="1">
        <f>0.67*40</f>
        <v>26.8</v>
      </c>
      <c r="I6">
        <v>60</v>
      </c>
      <c r="K6" s="73"/>
      <c r="L6" s="1">
        <v>20</v>
      </c>
      <c r="M6" s="1">
        <v>20</v>
      </c>
      <c r="N6">
        <v>60</v>
      </c>
      <c r="P6" s="73"/>
      <c r="Q6" s="1">
        <f>0.5*(100-S6)</f>
        <v>2.5</v>
      </c>
      <c r="R6" s="1">
        <f>0.5*(100-S6)</f>
        <v>2.5</v>
      </c>
      <c r="S6">
        <v>95</v>
      </c>
    </row>
    <row r="7" spans="1:19" x14ac:dyDescent="0.25">
      <c r="A7" s="3"/>
      <c r="F7" s="11"/>
      <c r="K7" s="3"/>
      <c r="P7" s="3"/>
      <c r="Q7" s="1"/>
      <c r="R7" s="1"/>
    </row>
    <row r="8" spans="1:19" ht="15" customHeight="1" x14ac:dyDescent="0.25">
      <c r="A8" s="73" t="s">
        <v>5</v>
      </c>
      <c r="B8">
        <v>85</v>
      </c>
      <c r="C8">
        <v>15</v>
      </c>
      <c r="D8">
        <v>0</v>
      </c>
      <c r="F8" s="73" t="s">
        <v>5</v>
      </c>
      <c r="G8">
        <v>15</v>
      </c>
      <c r="H8">
        <v>85</v>
      </c>
      <c r="I8">
        <v>0</v>
      </c>
      <c r="K8" s="78" t="s">
        <v>12</v>
      </c>
      <c r="L8">
        <v>66</v>
      </c>
      <c r="M8">
        <v>34</v>
      </c>
      <c r="N8">
        <v>0</v>
      </c>
      <c r="P8" s="79" t="s">
        <v>10</v>
      </c>
      <c r="Q8" s="1">
        <f>0.75*(100-S8)</f>
        <v>24.75</v>
      </c>
      <c r="R8" s="1">
        <f>0.25*(100-S8)</f>
        <v>8.25</v>
      </c>
      <c r="S8">
        <v>67</v>
      </c>
    </row>
    <row r="9" spans="1:19" x14ac:dyDescent="0.25">
      <c r="A9" s="73"/>
      <c r="B9" s="1">
        <f>0.85*70</f>
        <v>59.5</v>
      </c>
      <c r="C9" s="1">
        <f>0.15*70</f>
        <v>10.5</v>
      </c>
      <c r="D9">
        <v>30</v>
      </c>
      <c r="F9" s="73"/>
      <c r="G9" s="1">
        <f>0.15*70</f>
        <v>10.5</v>
      </c>
      <c r="H9" s="1">
        <f>0.85*70</f>
        <v>59.5</v>
      </c>
      <c r="I9">
        <v>30</v>
      </c>
      <c r="K9" s="73"/>
      <c r="L9" s="1">
        <f>0.66*70</f>
        <v>46.2</v>
      </c>
      <c r="M9" s="1">
        <f>0.34*70</f>
        <v>23.8</v>
      </c>
      <c r="N9">
        <v>30</v>
      </c>
      <c r="P9" s="73"/>
      <c r="Q9" s="1">
        <f>0.75*(100-S9)</f>
        <v>11.25</v>
      </c>
      <c r="R9" s="1">
        <f>0.25*(100-S9)</f>
        <v>3.75</v>
      </c>
      <c r="S9">
        <v>85</v>
      </c>
    </row>
    <row r="10" spans="1:19" x14ac:dyDescent="0.25">
      <c r="A10" s="73"/>
      <c r="B10" s="1">
        <f>0.85*40</f>
        <v>34</v>
      </c>
      <c r="C10" s="1">
        <f>0.15*40</f>
        <v>6</v>
      </c>
      <c r="D10">
        <v>60</v>
      </c>
      <c r="F10" s="73"/>
      <c r="G10" s="1">
        <f>0.15*40</f>
        <v>6</v>
      </c>
      <c r="H10" s="1">
        <f>0.85*40</f>
        <v>34</v>
      </c>
      <c r="I10">
        <v>60</v>
      </c>
      <c r="K10" s="73"/>
      <c r="L10" s="1">
        <f>0.66*40</f>
        <v>26.400000000000002</v>
      </c>
      <c r="M10" s="1">
        <f>0.34*40</f>
        <v>13.600000000000001</v>
      </c>
      <c r="N10">
        <v>60</v>
      </c>
      <c r="P10" s="73"/>
      <c r="Q10" s="1">
        <f>0.75*(100-S10)</f>
        <v>3.75</v>
      </c>
      <c r="R10" s="1">
        <f>0.25*(100-S10)</f>
        <v>1.25</v>
      </c>
      <c r="S10">
        <v>95</v>
      </c>
    </row>
    <row r="11" spans="1:19" x14ac:dyDescent="0.25">
      <c r="A11" s="3"/>
      <c r="F11" s="11"/>
      <c r="K11" s="3"/>
      <c r="P11" s="3"/>
      <c r="Q11" s="1"/>
      <c r="R11" s="1"/>
    </row>
    <row r="12" spans="1:19" ht="15" customHeight="1" x14ac:dyDescent="0.25">
      <c r="A12" s="73" t="s">
        <v>6</v>
      </c>
      <c r="B12">
        <v>95</v>
      </c>
      <c r="C12">
        <v>5</v>
      </c>
      <c r="D12">
        <v>0</v>
      </c>
      <c r="F12" s="73" t="s">
        <v>6</v>
      </c>
      <c r="G12">
        <v>5</v>
      </c>
      <c r="H12">
        <v>95</v>
      </c>
      <c r="I12">
        <v>0</v>
      </c>
      <c r="K12" s="79" t="s">
        <v>13</v>
      </c>
      <c r="L12" s="1">
        <v>34</v>
      </c>
      <c r="M12" s="1">
        <v>66</v>
      </c>
      <c r="N12">
        <v>0</v>
      </c>
      <c r="P12" s="79" t="s">
        <v>11</v>
      </c>
      <c r="Q12" s="1">
        <f>0.25*(100-S12)</f>
        <v>8.25</v>
      </c>
      <c r="R12" s="1">
        <f>0.75*(100-S12)</f>
        <v>24.75</v>
      </c>
      <c r="S12">
        <v>67</v>
      </c>
    </row>
    <row r="13" spans="1:19" x14ac:dyDescent="0.25">
      <c r="A13" s="73"/>
      <c r="B13" s="1">
        <f>0.95*70</f>
        <v>66.5</v>
      </c>
      <c r="C13" s="1">
        <f>0.05*70</f>
        <v>3.5</v>
      </c>
      <c r="D13">
        <v>30</v>
      </c>
      <c r="F13" s="73"/>
      <c r="G13" s="1">
        <f>0.05*70</f>
        <v>3.5</v>
      </c>
      <c r="H13" s="1">
        <f>0.95*70</f>
        <v>66.5</v>
      </c>
      <c r="I13">
        <v>30</v>
      </c>
      <c r="K13" s="73"/>
      <c r="L13" s="1">
        <v>24</v>
      </c>
      <c r="M13" s="1">
        <v>46</v>
      </c>
      <c r="N13">
        <v>30</v>
      </c>
      <c r="P13" s="73"/>
      <c r="Q13" s="1">
        <f>0.25*(100-S13)</f>
        <v>3.75</v>
      </c>
      <c r="R13" s="1">
        <f>0.75*(100-S13)</f>
        <v>11.25</v>
      </c>
      <c r="S13">
        <v>85</v>
      </c>
    </row>
    <row r="14" spans="1:19" x14ac:dyDescent="0.25">
      <c r="A14" s="73"/>
      <c r="B14" s="1">
        <f>0.95*40</f>
        <v>38</v>
      </c>
      <c r="C14" s="1">
        <f>0.05*40</f>
        <v>2</v>
      </c>
      <c r="D14">
        <v>60</v>
      </c>
      <c r="F14" s="73"/>
      <c r="G14" s="1">
        <f>0.05*40</f>
        <v>2</v>
      </c>
      <c r="H14" s="1">
        <f>0.95*40</f>
        <v>38</v>
      </c>
      <c r="I14">
        <v>60</v>
      </c>
      <c r="K14" s="73"/>
      <c r="L14">
        <v>14</v>
      </c>
      <c r="M14">
        <v>26</v>
      </c>
      <c r="N14">
        <v>60</v>
      </c>
      <c r="P14" s="73"/>
      <c r="Q14" s="1">
        <f>0.25*(100-S14)</f>
        <v>1.25</v>
      </c>
      <c r="R14" s="1">
        <f>0.75*(100-S14)</f>
        <v>3.75</v>
      </c>
      <c r="S14">
        <v>95</v>
      </c>
    </row>
    <row r="15" spans="1:19" x14ac:dyDescent="0.25">
      <c r="A15" s="5"/>
      <c r="B15" s="1"/>
      <c r="C15" s="1"/>
      <c r="F15" s="5"/>
      <c r="G15" s="1"/>
      <c r="H15" s="1"/>
      <c r="K15" s="5"/>
      <c r="P15" s="5"/>
      <c r="Q15" s="1"/>
      <c r="R15" s="1"/>
    </row>
    <row r="17" spans="2:19" x14ac:dyDescent="0.25">
      <c r="B17" s="7" t="s">
        <v>24</v>
      </c>
      <c r="C17" s="7"/>
      <c r="D17" s="7"/>
    </row>
    <row r="18" spans="2:19" x14ac:dyDescent="0.25">
      <c r="B18" t="s">
        <v>23</v>
      </c>
      <c r="C18" s="7"/>
      <c r="D18" s="7"/>
    </row>
    <row r="19" spans="2:19" x14ac:dyDescent="0.25">
      <c r="B19" t="s">
        <v>21</v>
      </c>
    </row>
    <row r="20" spans="2:19" x14ac:dyDescent="0.25">
      <c r="B20" t="s">
        <v>22</v>
      </c>
    </row>
    <row r="21" spans="2:19" x14ac:dyDescent="0.25">
      <c r="B21" t="s">
        <v>32</v>
      </c>
    </row>
    <row r="23" spans="2:19" x14ac:dyDescent="0.25">
      <c r="B23" s="76"/>
      <c r="C23" s="76"/>
      <c r="D23" s="76"/>
      <c r="E23" s="76"/>
      <c r="F23" s="76"/>
      <c r="G23" s="76"/>
      <c r="H23" s="76"/>
      <c r="I23" s="76"/>
      <c r="J23" s="76"/>
      <c r="K23" s="76"/>
      <c r="L23" s="76"/>
      <c r="M23" s="76"/>
      <c r="N23" s="76"/>
      <c r="O23" s="76"/>
      <c r="P23" s="76"/>
      <c r="Q23" s="76"/>
      <c r="R23" s="76"/>
      <c r="S23" s="76"/>
    </row>
    <row r="24" spans="2:19" x14ac:dyDescent="0.25">
      <c r="B24" s="76"/>
      <c r="C24" s="76"/>
      <c r="D24" s="76"/>
      <c r="E24" s="76"/>
      <c r="F24" s="76"/>
      <c r="G24" s="76"/>
      <c r="H24" s="76"/>
      <c r="I24" s="76"/>
      <c r="J24" s="76"/>
      <c r="K24" s="76"/>
      <c r="L24" s="76"/>
      <c r="M24" s="76"/>
      <c r="N24" s="76"/>
      <c r="O24" s="76"/>
      <c r="P24" s="76"/>
      <c r="Q24" s="76"/>
      <c r="R24" s="76"/>
      <c r="S24" s="76"/>
    </row>
    <row r="25" spans="2:19" x14ac:dyDescent="0.25">
      <c r="B25" s="76"/>
      <c r="C25" s="76"/>
      <c r="D25" s="76"/>
      <c r="E25" s="76"/>
      <c r="F25" s="76"/>
      <c r="G25" s="76"/>
      <c r="H25" s="76"/>
      <c r="I25" s="76"/>
      <c r="J25" s="76"/>
      <c r="K25" s="76"/>
      <c r="L25" s="76"/>
      <c r="M25" s="76"/>
      <c r="N25" s="76"/>
      <c r="O25" s="76"/>
      <c r="P25" s="76"/>
      <c r="Q25" s="76"/>
      <c r="R25" s="76"/>
      <c r="S25" s="76"/>
    </row>
    <row r="26" spans="2:19" x14ac:dyDescent="0.25">
      <c r="B26" s="76"/>
      <c r="C26" s="76"/>
      <c r="D26" s="76"/>
      <c r="E26" s="76"/>
      <c r="F26" s="76"/>
      <c r="G26" s="76"/>
      <c r="H26" s="76"/>
      <c r="I26" s="76"/>
      <c r="J26" s="76"/>
      <c r="K26" s="76"/>
      <c r="L26" s="76"/>
      <c r="M26" s="76"/>
      <c r="N26" s="76"/>
      <c r="O26" s="76"/>
      <c r="P26" s="76"/>
      <c r="Q26" s="76"/>
      <c r="R26" s="76"/>
      <c r="S26" s="76"/>
    </row>
    <row r="27" spans="2:19" x14ac:dyDescent="0.25">
      <c r="B27" s="76"/>
      <c r="C27" s="76"/>
      <c r="D27" s="76"/>
      <c r="E27" s="76"/>
      <c r="F27" s="76"/>
      <c r="G27" s="76"/>
      <c r="H27" s="76"/>
      <c r="I27" s="76"/>
      <c r="J27" s="76"/>
      <c r="K27" s="76"/>
      <c r="L27" s="76"/>
      <c r="M27" s="76"/>
      <c r="N27" s="76"/>
      <c r="O27" s="76"/>
      <c r="P27" s="76"/>
      <c r="Q27" s="76"/>
      <c r="R27" s="76"/>
      <c r="S27" s="76"/>
    </row>
    <row r="28" spans="2:19" x14ac:dyDescent="0.25">
      <c r="B28" s="76"/>
      <c r="C28" s="76"/>
      <c r="D28" s="76"/>
      <c r="E28" s="76"/>
      <c r="F28" s="76"/>
      <c r="G28" s="76"/>
      <c r="H28" s="76"/>
      <c r="I28" s="76"/>
      <c r="J28" s="76"/>
      <c r="K28" s="76"/>
      <c r="L28" s="76"/>
      <c r="M28" s="76"/>
      <c r="N28" s="76"/>
      <c r="O28" s="76"/>
      <c r="P28" s="76"/>
      <c r="Q28" s="76"/>
      <c r="R28" s="76"/>
      <c r="S28" s="76"/>
    </row>
    <row r="29" spans="2:19" x14ac:dyDescent="0.25">
      <c r="B29" s="76"/>
      <c r="C29" s="76"/>
      <c r="D29" s="76"/>
      <c r="E29" s="76"/>
      <c r="F29" s="76"/>
      <c r="G29" s="76"/>
      <c r="H29" s="76"/>
      <c r="I29" s="76"/>
      <c r="J29" s="76"/>
      <c r="K29" s="76"/>
      <c r="L29" s="76"/>
      <c r="M29" s="76"/>
      <c r="N29" s="76"/>
      <c r="O29" s="76"/>
      <c r="P29" s="76"/>
      <c r="Q29" s="76"/>
      <c r="R29" s="76"/>
      <c r="S29" s="76"/>
    </row>
    <row r="30" spans="2:19" x14ac:dyDescent="0.25">
      <c r="B30" s="76"/>
      <c r="C30" s="76"/>
      <c r="D30" s="76"/>
      <c r="E30" s="76"/>
      <c r="F30" s="76"/>
      <c r="G30" s="76"/>
      <c r="H30" s="76"/>
      <c r="I30" s="76"/>
      <c r="J30" s="76"/>
      <c r="K30" s="76"/>
      <c r="L30" s="76"/>
      <c r="M30" s="76"/>
      <c r="N30" s="76"/>
      <c r="O30" s="76"/>
      <c r="P30" s="76"/>
      <c r="Q30" s="76"/>
      <c r="R30" s="76"/>
      <c r="S30" s="76"/>
    </row>
    <row r="31" spans="2:19" x14ac:dyDescent="0.25">
      <c r="B31" s="76"/>
      <c r="C31" s="76"/>
      <c r="D31" s="76"/>
      <c r="E31" s="76"/>
      <c r="F31" s="76"/>
      <c r="G31" s="76"/>
      <c r="H31" s="76"/>
      <c r="I31" s="76"/>
      <c r="J31" s="76"/>
      <c r="K31" s="76"/>
      <c r="L31" s="76"/>
      <c r="M31" s="76"/>
      <c r="N31" s="76"/>
      <c r="O31" s="76"/>
      <c r="P31" s="76"/>
      <c r="Q31" s="76"/>
      <c r="R31" s="76"/>
      <c r="S31" s="76"/>
    </row>
    <row r="32" spans="2:19" x14ac:dyDescent="0.25">
      <c r="B32" s="76"/>
      <c r="C32" s="76"/>
      <c r="D32" s="76"/>
      <c r="E32" s="76"/>
      <c r="F32" s="76"/>
      <c r="G32" s="76"/>
      <c r="H32" s="76"/>
      <c r="I32" s="76"/>
      <c r="J32" s="76"/>
      <c r="K32" s="76"/>
      <c r="L32" s="76"/>
      <c r="M32" s="76"/>
      <c r="N32" s="76"/>
      <c r="O32" s="76"/>
      <c r="P32" s="76"/>
      <c r="Q32" s="76"/>
      <c r="R32" s="76"/>
      <c r="S32" s="76"/>
    </row>
    <row r="33" spans="2:19" x14ac:dyDescent="0.25">
      <c r="B33" s="76"/>
      <c r="C33" s="76"/>
      <c r="D33" s="76"/>
      <c r="E33" s="76"/>
      <c r="F33" s="76"/>
      <c r="G33" s="76"/>
      <c r="H33" s="76"/>
      <c r="I33" s="76"/>
      <c r="J33" s="76"/>
      <c r="K33" s="76"/>
      <c r="L33" s="76"/>
      <c r="M33" s="76"/>
      <c r="N33" s="76"/>
      <c r="O33" s="76"/>
      <c r="P33" s="76"/>
      <c r="Q33" s="76"/>
      <c r="R33" s="76"/>
      <c r="S33" s="76"/>
    </row>
    <row r="34" spans="2:19" x14ac:dyDescent="0.25">
      <c r="B34" s="76"/>
      <c r="C34" s="76"/>
      <c r="D34" s="76"/>
      <c r="E34" s="76"/>
      <c r="F34" s="76"/>
      <c r="G34" s="76"/>
      <c r="H34" s="76"/>
      <c r="I34" s="76"/>
      <c r="J34" s="76"/>
      <c r="K34" s="76"/>
      <c r="L34" s="76"/>
      <c r="M34" s="76"/>
      <c r="N34" s="76"/>
      <c r="O34" s="76"/>
      <c r="P34" s="76"/>
      <c r="Q34" s="76"/>
      <c r="R34" s="76"/>
      <c r="S34" s="76"/>
    </row>
    <row r="35" spans="2:19" x14ac:dyDescent="0.25">
      <c r="B35" s="76"/>
      <c r="C35" s="76"/>
      <c r="D35" s="76"/>
      <c r="E35" s="76"/>
      <c r="F35" s="76"/>
      <c r="G35" s="76"/>
      <c r="H35" s="76"/>
      <c r="I35" s="76"/>
      <c r="J35" s="76"/>
      <c r="K35" s="76"/>
      <c r="L35" s="76"/>
      <c r="M35" s="76"/>
      <c r="N35" s="76"/>
      <c r="O35" s="76"/>
      <c r="P35" s="76"/>
      <c r="Q35" s="76"/>
      <c r="R35" s="76"/>
      <c r="S35" s="76"/>
    </row>
    <row r="36" spans="2:19" x14ac:dyDescent="0.25">
      <c r="B36" s="76"/>
      <c r="C36" s="76"/>
      <c r="D36" s="76"/>
      <c r="E36" s="76"/>
      <c r="F36" s="76"/>
      <c r="G36" s="76"/>
      <c r="H36" s="76"/>
      <c r="I36" s="76"/>
      <c r="J36" s="76"/>
      <c r="K36" s="76"/>
      <c r="L36" s="76"/>
      <c r="M36" s="76"/>
      <c r="N36" s="76"/>
      <c r="O36" s="76"/>
      <c r="P36" s="76"/>
      <c r="Q36" s="76"/>
      <c r="R36" s="76"/>
      <c r="S36" s="76"/>
    </row>
  </sheetData>
  <mergeCells count="17">
    <mergeCell ref="B23:S36"/>
    <mergeCell ref="L1:N1"/>
    <mergeCell ref="K4:K6"/>
    <mergeCell ref="K8:K10"/>
    <mergeCell ref="K12:K14"/>
    <mergeCell ref="Q1:S1"/>
    <mergeCell ref="P4:P6"/>
    <mergeCell ref="P8:P10"/>
    <mergeCell ref="P12:P14"/>
    <mergeCell ref="A4:A6"/>
    <mergeCell ref="A8:A10"/>
    <mergeCell ref="A12:A14"/>
    <mergeCell ref="B1:D1"/>
    <mergeCell ref="G1:I1"/>
    <mergeCell ref="F4:F6"/>
    <mergeCell ref="F8:F10"/>
    <mergeCell ref="F12:F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K3" sqref="K3"/>
    </sheetView>
  </sheetViews>
  <sheetFormatPr defaultRowHeight="15" x14ac:dyDescent="0.25"/>
  <cols>
    <col min="10" max="10" width="2.7109375" customWidth="1"/>
    <col min="11" max="11" width="4.7109375" customWidth="1"/>
    <col min="12" max="13" width="9.28515625" customWidth="1"/>
    <col min="18" max="18" width="2.85546875" customWidth="1"/>
    <col min="19" max="19" width="6.28515625" customWidth="1"/>
  </cols>
  <sheetData>
    <row r="1" spans="1:19" x14ac:dyDescent="0.25">
      <c r="B1" s="83" t="s">
        <v>0</v>
      </c>
      <c r="C1" s="83"/>
      <c r="D1" s="83"/>
      <c r="F1" s="83" t="s">
        <v>19</v>
      </c>
      <c r="G1" s="83"/>
      <c r="H1" s="83"/>
      <c r="I1" s="83"/>
      <c r="J1" s="83"/>
      <c r="K1" s="83"/>
      <c r="N1" s="81" t="s">
        <v>20</v>
      </c>
      <c r="O1" s="81"/>
      <c r="P1" s="81"/>
      <c r="Q1" s="81"/>
      <c r="R1" s="81"/>
      <c r="S1" s="81"/>
    </row>
    <row r="3" spans="1:19" ht="15.75" thickBot="1" x14ac:dyDescent="0.3">
      <c r="B3" s="2" t="s">
        <v>1</v>
      </c>
      <c r="C3" s="2" t="s">
        <v>2</v>
      </c>
      <c r="D3" s="2" t="s">
        <v>3</v>
      </c>
      <c r="F3" s="2" t="s">
        <v>1</v>
      </c>
      <c r="G3" s="2" t="s">
        <v>14</v>
      </c>
      <c r="H3" s="2" t="s">
        <v>2</v>
      </c>
      <c r="I3" s="68" t="s">
        <v>3</v>
      </c>
      <c r="K3" s="2" t="s">
        <v>15</v>
      </c>
      <c r="L3" s="2"/>
      <c r="N3" s="2" t="s">
        <v>1</v>
      </c>
      <c r="O3" s="2" t="s">
        <v>14</v>
      </c>
      <c r="P3" s="2" t="s">
        <v>2</v>
      </c>
      <c r="Q3" s="2" t="s">
        <v>3</v>
      </c>
      <c r="S3" s="2" t="s">
        <v>15</v>
      </c>
    </row>
    <row r="4" spans="1:19" x14ac:dyDescent="0.25">
      <c r="A4" s="73" t="s">
        <v>4</v>
      </c>
      <c r="B4">
        <v>67</v>
      </c>
      <c r="C4">
        <v>33</v>
      </c>
      <c r="D4">
        <v>0</v>
      </c>
      <c r="F4" s="26">
        <f>0.8*(100-I4)</f>
        <v>80</v>
      </c>
      <c r="G4" s="27">
        <f>0.2*(100-I4)</f>
        <v>20</v>
      </c>
      <c r="H4" s="27">
        <v>0</v>
      </c>
      <c r="I4" s="28">
        <f>(1/3.67)*SB_High!I4</f>
        <v>0</v>
      </c>
      <c r="K4">
        <f>SUM(F4:I4)</f>
        <v>100</v>
      </c>
      <c r="N4">
        <f t="shared" ref="N4:Q6" si="0">(100/9)*F4/100</f>
        <v>8.8888888888888893</v>
      </c>
      <c r="O4">
        <f t="shared" si="0"/>
        <v>2.2222222222222223</v>
      </c>
      <c r="P4">
        <f t="shared" si="0"/>
        <v>0</v>
      </c>
      <c r="Q4">
        <f t="shared" si="0"/>
        <v>0</v>
      </c>
      <c r="S4">
        <f>SUM(N4:Q4)</f>
        <v>11.111111111111111</v>
      </c>
    </row>
    <row r="5" spans="1:19" x14ac:dyDescent="0.25">
      <c r="A5" s="73"/>
      <c r="B5" s="1">
        <f>0.67*70</f>
        <v>46.900000000000006</v>
      </c>
      <c r="C5" s="1">
        <f>100-B5-D5</f>
        <v>23.099999999999994</v>
      </c>
      <c r="D5">
        <v>30</v>
      </c>
      <c r="F5" s="21">
        <f>0.8*(100-I5)</f>
        <v>78.365122615803827</v>
      </c>
      <c r="G5" s="12">
        <f>0.2*(100-I5)</f>
        <v>19.591280653950957</v>
      </c>
      <c r="H5" s="14">
        <v>0</v>
      </c>
      <c r="I5" s="63">
        <f>(1/3.67)*SB_High!I5</f>
        <v>2.0435967302452318</v>
      </c>
      <c r="K5">
        <f>SUM(F5:I5)</f>
        <v>100.00000000000001</v>
      </c>
      <c r="N5">
        <f t="shared" si="0"/>
        <v>8.707235846200426</v>
      </c>
      <c r="O5">
        <f t="shared" si="0"/>
        <v>2.1768089615501065</v>
      </c>
      <c r="P5">
        <f t="shared" si="0"/>
        <v>0</v>
      </c>
      <c r="Q5">
        <f t="shared" si="0"/>
        <v>0.22706630336058128</v>
      </c>
      <c r="S5">
        <f>SUM(N5:Q5)</f>
        <v>11.111111111111114</v>
      </c>
    </row>
    <row r="6" spans="1:19" x14ac:dyDescent="0.25">
      <c r="A6" s="73"/>
      <c r="B6" s="1">
        <f>0.67*40</f>
        <v>26.8</v>
      </c>
      <c r="C6" s="1">
        <f>100-B6-D6</f>
        <v>13.200000000000003</v>
      </c>
      <c r="D6">
        <v>60</v>
      </c>
      <c r="F6" s="21">
        <f>0.8*(100-I6)</f>
        <v>76.730245231607626</v>
      </c>
      <c r="G6" s="12">
        <f>0.2*(100-I6)</f>
        <v>19.182561307901906</v>
      </c>
      <c r="H6" s="14">
        <v>0</v>
      </c>
      <c r="I6" s="63">
        <f>(1/3.67)*SB_High!I6</f>
        <v>4.0871934604904636</v>
      </c>
      <c r="K6">
        <f>SUM(F6:I6)</f>
        <v>100</v>
      </c>
      <c r="N6">
        <f t="shared" si="0"/>
        <v>8.5255828035119574</v>
      </c>
      <c r="O6">
        <f t="shared" si="0"/>
        <v>2.1313957008779894</v>
      </c>
      <c r="P6">
        <f t="shared" si="0"/>
        <v>0</v>
      </c>
      <c r="Q6">
        <f t="shared" si="0"/>
        <v>0.45413260672116257</v>
      </c>
      <c r="S6">
        <f>SUM(N6:Q6)</f>
        <v>11.111111111111109</v>
      </c>
    </row>
    <row r="7" spans="1:19" x14ac:dyDescent="0.25">
      <c r="A7" s="3"/>
      <c r="F7" s="21"/>
      <c r="G7" s="12"/>
      <c r="H7" s="13"/>
      <c r="I7" s="18"/>
    </row>
    <row r="8" spans="1:19" x14ac:dyDescent="0.25">
      <c r="A8" s="73" t="s">
        <v>5</v>
      </c>
      <c r="B8">
        <v>85</v>
      </c>
      <c r="C8">
        <v>15</v>
      </c>
      <c r="D8">
        <v>0</v>
      </c>
      <c r="F8" s="19">
        <v>90</v>
      </c>
      <c r="G8" s="14">
        <v>10</v>
      </c>
      <c r="H8" s="14">
        <v>0</v>
      </c>
      <c r="I8" s="30">
        <f>I4</f>
        <v>0</v>
      </c>
      <c r="K8">
        <f>SUM(F8:I8)</f>
        <v>100</v>
      </c>
      <c r="N8">
        <f t="shared" ref="N8:Q10" si="1">(100/9)*F8/100</f>
        <v>10</v>
      </c>
      <c r="O8">
        <f t="shared" si="1"/>
        <v>1.1111111111111112</v>
      </c>
      <c r="P8">
        <f t="shared" si="1"/>
        <v>0</v>
      </c>
      <c r="Q8">
        <f t="shared" si="1"/>
        <v>0</v>
      </c>
      <c r="S8">
        <f>SUM(N8:Q8)</f>
        <v>11.111111111111111</v>
      </c>
    </row>
    <row r="9" spans="1:19" x14ac:dyDescent="0.25">
      <c r="A9" s="73"/>
      <c r="B9" s="1">
        <f>0.85*70</f>
        <v>59.5</v>
      </c>
      <c r="C9" s="1">
        <f>0.15*70</f>
        <v>10.5</v>
      </c>
      <c r="D9">
        <v>30</v>
      </c>
      <c r="F9" s="20">
        <f>F8/100*(100-H9-I9)</f>
        <v>88.1607629427793</v>
      </c>
      <c r="G9" s="15">
        <f>G8/100*(100-H9-I9)</f>
        <v>9.7956403269754784</v>
      </c>
      <c r="H9" s="14">
        <v>0</v>
      </c>
      <c r="I9" s="65">
        <f>I5</f>
        <v>2.0435967302452318</v>
      </c>
      <c r="K9">
        <f>SUM(F9:I9)</f>
        <v>100</v>
      </c>
      <c r="N9">
        <f t="shared" si="1"/>
        <v>9.7956403269754784</v>
      </c>
      <c r="O9">
        <f t="shared" si="1"/>
        <v>1.0884044807750533</v>
      </c>
      <c r="P9">
        <f t="shared" si="1"/>
        <v>0</v>
      </c>
      <c r="Q9">
        <f t="shared" si="1"/>
        <v>0.22706630336058128</v>
      </c>
      <c r="S9">
        <f>SUM(N9:Q9)</f>
        <v>11.111111111111112</v>
      </c>
    </row>
    <row r="10" spans="1:19" x14ac:dyDescent="0.25">
      <c r="A10" s="73"/>
      <c r="B10" s="1">
        <f>0.85*40</f>
        <v>34</v>
      </c>
      <c r="C10" s="1">
        <f>0.15*40</f>
        <v>6</v>
      </c>
      <c r="D10">
        <v>60</v>
      </c>
      <c r="F10" s="20">
        <f>F8/100*(100-H10-I10)</f>
        <v>86.321525885558586</v>
      </c>
      <c r="G10" s="15">
        <f>G8/100*(100-H10-I10)</f>
        <v>9.5912806539509532</v>
      </c>
      <c r="H10" s="14">
        <v>0</v>
      </c>
      <c r="I10" s="65">
        <f>I6</f>
        <v>4.0871934604904636</v>
      </c>
      <c r="K10">
        <f>SUM(F10:I10)</f>
        <v>100.00000000000001</v>
      </c>
      <c r="N10">
        <f t="shared" si="1"/>
        <v>9.5912806539509532</v>
      </c>
      <c r="O10">
        <f t="shared" si="1"/>
        <v>1.0656978504389947</v>
      </c>
      <c r="P10">
        <f t="shared" si="1"/>
        <v>0</v>
      </c>
      <c r="Q10">
        <f t="shared" si="1"/>
        <v>0.45413260672116257</v>
      </c>
      <c r="S10">
        <f>SUM(N10:Q10)</f>
        <v>11.111111111111109</v>
      </c>
    </row>
    <row r="11" spans="1:19" x14ac:dyDescent="0.25">
      <c r="A11" s="3"/>
      <c r="F11" s="17"/>
      <c r="G11" s="13"/>
      <c r="H11" s="13"/>
      <c r="I11" s="30"/>
    </row>
    <row r="12" spans="1:19" x14ac:dyDescent="0.25">
      <c r="A12" s="73" t="s">
        <v>6</v>
      </c>
      <c r="B12">
        <v>95</v>
      </c>
      <c r="C12">
        <v>5</v>
      </c>
      <c r="D12">
        <v>0</v>
      </c>
      <c r="F12" s="19">
        <v>95</v>
      </c>
      <c r="G12" s="14">
        <v>5</v>
      </c>
      <c r="H12" s="14">
        <v>0</v>
      </c>
      <c r="I12" s="30">
        <f>I4</f>
        <v>0</v>
      </c>
      <c r="K12">
        <f>SUM(F12:I12)</f>
        <v>100</v>
      </c>
      <c r="N12">
        <f t="shared" ref="N12:Q14" si="2">(100/9)*F12/100</f>
        <v>10.555555555555554</v>
      </c>
      <c r="O12">
        <f t="shared" si="2"/>
        <v>0.55555555555555558</v>
      </c>
      <c r="P12">
        <f t="shared" si="2"/>
        <v>0</v>
      </c>
      <c r="Q12">
        <f t="shared" si="2"/>
        <v>0</v>
      </c>
      <c r="S12">
        <f>SUM(N12:Q12)</f>
        <v>11.111111111111109</v>
      </c>
    </row>
    <row r="13" spans="1:19" x14ac:dyDescent="0.25">
      <c r="A13" s="73"/>
      <c r="B13" s="1">
        <f>0.95*70</f>
        <v>66.5</v>
      </c>
      <c r="C13" s="1">
        <f>0.05*70</f>
        <v>3.5</v>
      </c>
      <c r="D13">
        <v>30</v>
      </c>
      <c r="F13" s="20">
        <f>F12/100*(100-H13-I13)</f>
        <v>93.058583106267037</v>
      </c>
      <c r="G13" s="15">
        <f>G12/100*(100-H13-I13)</f>
        <v>4.8978201634877392</v>
      </c>
      <c r="H13" s="14">
        <v>0</v>
      </c>
      <c r="I13" s="65">
        <f>I5</f>
        <v>2.0435967302452318</v>
      </c>
      <c r="K13">
        <f>SUM(F13:I13)</f>
        <v>100</v>
      </c>
      <c r="N13">
        <f t="shared" si="2"/>
        <v>10.339842567363002</v>
      </c>
      <c r="O13">
        <f t="shared" si="2"/>
        <v>0.54420224038752663</v>
      </c>
      <c r="P13">
        <f t="shared" si="2"/>
        <v>0</v>
      </c>
      <c r="Q13">
        <f t="shared" si="2"/>
        <v>0.22706630336058128</v>
      </c>
      <c r="S13">
        <f>SUM(N13:Q13)</f>
        <v>11.111111111111111</v>
      </c>
    </row>
    <row r="14" spans="1:19" ht="15.75" thickBot="1" x14ac:dyDescent="0.3">
      <c r="A14" s="73"/>
      <c r="B14" s="1">
        <f>0.95*40</f>
        <v>38</v>
      </c>
      <c r="C14" s="1">
        <f>0.05*40</f>
        <v>2</v>
      </c>
      <c r="D14">
        <v>60</v>
      </c>
      <c r="F14" s="22">
        <f>F12/100*(100-H14-I14)</f>
        <v>91.117166212534045</v>
      </c>
      <c r="G14" s="23">
        <f>G12/100*(100-H14-I14)</f>
        <v>4.7956403269754766</v>
      </c>
      <c r="H14" s="24">
        <v>0</v>
      </c>
      <c r="I14" s="64">
        <f>I6</f>
        <v>4.0871934604904636</v>
      </c>
      <c r="K14">
        <f>SUM(F14:I14)</f>
        <v>99.999999999999986</v>
      </c>
      <c r="N14">
        <f t="shared" si="2"/>
        <v>10.124129579170448</v>
      </c>
      <c r="O14">
        <f t="shared" si="2"/>
        <v>0.53284892521949734</v>
      </c>
      <c r="P14">
        <f t="shared" si="2"/>
        <v>0</v>
      </c>
      <c r="Q14">
        <f t="shared" si="2"/>
        <v>0.45413260672116257</v>
      </c>
      <c r="S14">
        <f>SUM(N14:Q14)</f>
        <v>11.111111111111107</v>
      </c>
    </row>
    <row r="16" spans="1:19" x14ac:dyDescent="0.25">
      <c r="M16" t="s">
        <v>15</v>
      </c>
      <c r="N16" s="4">
        <f>SUM(N4:N14)</f>
        <v>86.528156221616712</v>
      </c>
      <c r="O16" s="4">
        <f>SUM(O4:O14)</f>
        <v>11.428247048138056</v>
      </c>
      <c r="P16" s="4">
        <f>SUM(P4:P14)</f>
        <v>0</v>
      </c>
      <c r="Q16" s="4">
        <f>SUM(Q4:Q14)</f>
        <v>2.0435967302452314</v>
      </c>
    </row>
    <row r="17" spans="12:19" x14ac:dyDescent="0.25">
      <c r="S17" s="2" t="s">
        <v>15</v>
      </c>
    </row>
    <row r="18" spans="12:19" x14ac:dyDescent="0.25">
      <c r="L18" s="82"/>
      <c r="M18" s="7" t="s">
        <v>16</v>
      </c>
      <c r="N18" s="10">
        <f>N16</f>
        <v>86.528156221616712</v>
      </c>
      <c r="O18" s="10">
        <f>O16</f>
        <v>11.428247048138056</v>
      </c>
      <c r="P18" s="10">
        <f>P16</f>
        <v>0</v>
      </c>
      <c r="Q18" s="10">
        <f>Q16</f>
        <v>2.0435967302452314</v>
      </c>
      <c r="S18">
        <f>SUM(N18:Q18)</f>
        <v>100</v>
      </c>
    </row>
    <row r="19" spans="12:19" x14ac:dyDescent="0.25">
      <c r="L19" s="82"/>
      <c r="M19" s="7"/>
      <c r="N19" s="10"/>
      <c r="O19" s="10"/>
      <c r="P19" s="10"/>
      <c r="Q19" s="10"/>
    </row>
    <row r="20" spans="12:19" x14ac:dyDescent="0.25">
      <c r="L20" s="82"/>
      <c r="M20" s="7" t="s">
        <v>18</v>
      </c>
      <c r="N20" s="10">
        <f>N$18-(0.65*N$18)</f>
        <v>30.284854677565846</v>
      </c>
      <c r="O20" s="10">
        <f>O$18+(O$18/($O$18+$Q$18))*(($N$18-$N20)+($P$18-$P20))</f>
        <v>59.1397819665955</v>
      </c>
      <c r="P20" s="10">
        <f>P$18-(0.225*P$18)</f>
        <v>0</v>
      </c>
      <c r="Q20" s="10">
        <f>Q$18+(Q$18/($O$18+$Q$18))*(($N$18-$N20)+($P$18-$P20))</f>
        <v>10.575363355838654</v>
      </c>
      <c r="S20">
        <f>SUM(N20:Q20)</f>
        <v>100</v>
      </c>
    </row>
    <row r="21" spans="12:19" x14ac:dyDescent="0.25">
      <c r="L21" s="82"/>
      <c r="M21" s="7"/>
      <c r="N21" s="10"/>
      <c r="O21" s="10"/>
      <c r="P21" s="10"/>
      <c r="Q21" s="10"/>
    </row>
    <row r="22" spans="12:19" x14ac:dyDescent="0.25">
      <c r="L22" s="82"/>
      <c r="M22" s="7" t="s">
        <v>17</v>
      </c>
      <c r="N22" s="10">
        <f>N$18-(0.425*N$18)</f>
        <v>49.753689827429611</v>
      </c>
      <c r="O22" s="10">
        <f>O$18+(O$18/($O$18+$Q$18))*(($N$18-$N22)+($P$18-$P22))</f>
        <v>42.624250648667918</v>
      </c>
      <c r="P22" s="10">
        <f>P$18-(0.55*P$18)</f>
        <v>0</v>
      </c>
      <c r="Q22" s="10">
        <f>Q$18+(Q$18/($O$18+$Q$18))*(($N$18-$N22)+($P$18-$P22))</f>
        <v>7.6220595239024691</v>
      </c>
      <c r="S22">
        <f>SUM(N22:Q22)</f>
        <v>100</v>
      </c>
    </row>
    <row r="23" spans="12:19" x14ac:dyDescent="0.25">
      <c r="L23" s="82"/>
      <c r="M23" s="7"/>
      <c r="N23" s="10"/>
      <c r="O23" s="10"/>
      <c r="P23" s="10"/>
      <c r="Q23" s="10"/>
    </row>
    <row r="24" spans="12:19" x14ac:dyDescent="0.25">
      <c r="L24" s="82"/>
      <c r="M24" s="7" t="s">
        <v>25</v>
      </c>
      <c r="N24" s="10">
        <f>N$18-(0.65*N$18)</f>
        <v>30.284854677565846</v>
      </c>
      <c r="O24" s="10">
        <f>O$18+(O$18/($O$18+$Q$18))*(($N$18-$N24)+($P$18-$P24))</f>
        <v>59.1397819665955</v>
      </c>
      <c r="P24" s="10">
        <f>P$18-(0.55*P$18)</f>
        <v>0</v>
      </c>
      <c r="Q24" s="10">
        <f>Q$18+(Q$18/($O$18+$Q$18))*(($N$18-$N24)+($P$18-$P24))</f>
        <v>10.575363355838654</v>
      </c>
      <c r="S24">
        <f>SUM(N24:Q24)</f>
        <v>100</v>
      </c>
    </row>
    <row r="26" spans="12:19" x14ac:dyDescent="0.25">
      <c r="M26" t="s">
        <v>33</v>
      </c>
    </row>
    <row r="27" spans="12:19" x14ac:dyDescent="0.25">
      <c r="N27" s="57" t="s">
        <v>26</v>
      </c>
      <c r="O27" s="57" t="s">
        <v>27</v>
      </c>
      <c r="P27" s="57" t="s">
        <v>28</v>
      </c>
      <c r="Q27" s="57" t="s">
        <v>25</v>
      </c>
    </row>
    <row r="28" spans="12:19" x14ac:dyDescent="0.25">
      <c r="M28" t="s">
        <v>1</v>
      </c>
      <c r="N28" s="66">
        <f>N37</f>
        <v>90</v>
      </c>
      <c r="O28" s="66">
        <f t="shared" ref="O28" si="3">MROUND(O37,5)</f>
        <v>35</v>
      </c>
      <c r="P28" s="66">
        <f t="shared" ref="P28:Q28" si="4">MROUND(P37,5)</f>
        <v>55</v>
      </c>
      <c r="Q28" s="66">
        <f t="shared" si="4"/>
        <v>35</v>
      </c>
    </row>
    <row r="29" spans="12:19" x14ac:dyDescent="0.25">
      <c r="M29" t="s">
        <v>14</v>
      </c>
      <c r="N29" s="66">
        <f>N38</f>
        <v>10</v>
      </c>
      <c r="O29" s="66">
        <v>55</v>
      </c>
      <c r="P29" s="66">
        <f t="shared" ref="P29" si="5">MROUND(P38,5)</f>
        <v>40</v>
      </c>
      <c r="Q29" s="66">
        <v>55</v>
      </c>
    </row>
    <row r="30" spans="12:19" x14ac:dyDescent="0.25">
      <c r="M30" t="s">
        <v>2</v>
      </c>
      <c r="N30" s="66">
        <f>N39</f>
        <v>0</v>
      </c>
      <c r="O30" s="66">
        <f t="shared" ref="O30:Q30" si="6">MROUND(O39,5)</f>
        <v>0</v>
      </c>
      <c r="P30" s="66">
        <f t="shared" si="6"/>
        <v>0</v>
      </c>
      <c r="Q30" s="66">
        <f t="shared" si="6"/>
        <v>0</v>
      </c>
    </row>
    <row r="31" spans="12:19" x14ac:dyDescent="0.25">
      <c r="M31" t="s">
        <v>3</v>
      </c>
      <c r="N31" s="66">
        <f>N40</f>
        <v>0</v>
      </c>
      <c r="O31" s="66">
        <f t="shared" ref="O31:Q31" si="7">MROUND(O40,5)</f>
        <v>10</v>
      </c>
      <c r="P31" s="66">
        <f t="shared" si="7"/>
        <v>5</v>
      </c>
      <c r="Q31" s="66">
        <f t="shared" si="7"/>
        <v>10</v>
      </c>
    </row>
    <row r="32" spans="12:19" x14ac:dyDescent="0.25">
      <c r="N32" s="4"/>
      <c r="O32" s="4"/>
    </row>
    <row r="33" spans="13:17" x14ac:dyDescent="0.25">
      <c r="N33" s="66">
        <f>SUM(N28:N31)</f>
        <v>100</v>
      </c>
      <c r="O33" s="66">
        <f t="shared" ref="O33:Q33" si="8">SUM(O28:O31)</f>
        <v>100</v>
      </c>
      <c r="P33" s="66">
        <f t="shared" si="8"/>
        <v>100</v>
      </c>
      <c r="Q33" s="66">
        <f t="shared" si="8"/>
        <v>100</v>
      </c>
    </row>
    <row r="35" spans="13:17" x14ac:dyDescent="0.25">
      <c r="M35" t="s">
        <v>30</v>
      </c>
    </row>
    <row r="36" spans="13:17" x14ac:dyDescent="0.25">
      <c r="N36" s="57" t="s">
        <v>26</v>
      </c>
      <c r="O36" s="57" t="s">
        <v>27</v>
      </c>
      <c r="P36" s="57" t="s">
        <v>28</v>
      </c>
      <c r="Q36" s="57" t="s">
        <v>25</v>
      </c>
    </row>
    <row r="37" spans="13:17" x14ac:dyDescent="0.25">
      <c r="M37" t="s">
        <v>1</v>
      </c>
      <c r="N37" s="66">
        <v>90</v>
      </c>
      <c r="O37" s="66">
        <f>N37-O47</f>
        <v>33.756698455949135</v>
      </c>
      <c r="P37" s="66">
        <f>N37-P47</f>
        <v>53.225533605812899</v>
      </c>
      <c r="Q37" s="66">
        <f>N37-Q47</f>
        <v>33.756698455949135</v>
      </c>
    </row>
    <row r="38" spans="13:17" x14ac:dyDescent="0.25">
      <c r="M38" t="s">
        <v>14</v>
      </c>
      <c r="N38" s="66">
        <v>10</v>
      </c>
      <c r="O38" s="66">
        <f>N38-O48</f>
        <v>57.711534918457446</v>
      </c>
      <c r="P38" s="66">
        <f>N38-P48</f>
        <v>41.196003600529863</v>
      </c>
      <c r="Q38" s="66">
        <f>N38-Q48</f>
        <v>57.711534918457446</v>
      </c>
    </row>
    <row r="39" spans="13:17" x14ac:dyDescent="0.25">
      <c r="M39" t="s">
        <v>2</v>
      </c>
      <c r="N39" s="66">
        <v>0</v>
      </c>
      <c r="O39" s="66">
        <f>N39-O49</f>
        <v>0</v>
      </c>
      <c r="P39" s="66">
        <f>N39-P49</f>
        <v>0</v>
      </c>
      <c r="Q39" s="66">
        <f>N39-Q49</f>
        <v>0</v>
      </c>
    </row>
    <row r="40" spans="13:17" x14ac:dyDescent="0.25">
      <c r="M40" t="s">
        <v>3</v>
      </c>
      <c r="N40" s="66">
        <v>0</v>
      </c>
      <c r="O40" s="66">
        <f>N40-O50</f>
        <v>8.5317666255934235</v>
      </c>
      <c r="P40" s="66">
        <f>N40-P50</f>
        <v>5.5784627936572377</v>
      </c>
      <c r="Q40" s="66">
        <f>N40-Q50</f>
        <v>8.5317666255934235</v>
      </c>
    </row>
    <row r="41" spans="13:17" x14ac:dyDescent="0.25">
      <c r="N41" s="4"/>
      <c r="O41" s="4"/>
    </row>
    <row r="42" spans="13:17" x14ac:dyDescent="0.25">
      <c r="N42" s="66">
        <f>SUM(N37:N40)</f>
        <v>100</v>
      </c>
      <c r="O42" s="66">
        <f t="shared" ref="O42:Q42" si="9">SUM(O37:O40)</f>
        <v>100</v>
      </c>
      <c r="P42" s="66">
        <f t="shared" si="9"/>
        <v>100</v>
      </c>
      <c r="Q42" s="66">
        <f t="shared" si="9"/>
        <v>100</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86.528156221616712</v>
      </c>
      <c r="O47" s="67">
        <f>N18-N20</f>
        <v>56.243301544050865</v>
      </c>
      <c r="P47" s="67">
        <f>N18-N22</f>
        <v>36.774466394187101</v>
      </c>
      <c r="Q47" s="67">
        <f>N18-N24</f>
        <v>56.243301544050865</v>
      </c>
    </row>
    <row r="48" spans="13:17" x14ac:dyDescent="0.25">
      <c r="M48" t="s">
        <v>14</v>
      </c>
      <c r="N48" s="67">
        <f>O18</f>
        <v>11.428247048138056</v>
      </c>
      <c r="O48" s="67">
        <f>O18-O20</f>
        <v>-47.711534918457446</v>
      </c>
      <c r="P48" s="67">
        <f>O18-O22</f>
        <v>-31.196003600529863</v>
      </c>
      <c r="Q48" s="67">
        <f>O18-O24</f>
        <v>-47.711534918457446</v>
      </c>
    </row>
    <row r="49" spans="13:17" x14ac:dyDescent="0.25">
      <c r="M49" t="s">
        <v>2</v>
      </c>
      <c r="N49" s="67">
        <f>P18</f>
        <v>0</v>
      </c>
      <c r="O49" s="67">
        <f>P18-P20</f>
        <v>0</v>
      </c>
      <c r="P49" s="67">
        <f>P18-P22</f>
        <v>0</v>
      </c>
      <c r="Q49" s="67">
        <f>P18-P24</f>
        <v>0</v>
      </c>
    </row>
    <row r="50" spans="13:17" x14ac:dyDescent="0.25">
      <c r="M50" t="s">
        <v>3</v>
      </c>
      <c r="N50" s="67">
        <f>Q18</f>
        <v>2.0435967302452314</v>
      </c>
      <c r="O50" s="67">
        <f>Q18-Q20</f>
        <v>-8.5317666255934235</v>
      </c>
      <c r="P50" s="67">
        <f>Q18-Q22</f>
        <v>-5.5784627936572377</v>
      </c>
      <c r="Q50" s="67">
        <f>Q18-Q24</f>
        <v>-8.5317666255934235</v>
      </c>
    </row>
  </sheetData>
  <mergeCells count="7">
    <mergeCell ref="N1:S1"/>
    <mergeCell ref="L18:L24"/>
    <mergeCell ref="A8:A10"/>
    <mergeCell ref="A12:A14"/>
    <mergeCell ref="B1:D1"/>
    <mergeCell ref="A4:A6"/>
    <mergeCell ref="F1:K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topLeftCell="B1" zoomScaleNormal="100" workbookViewId="0">
      <selection activeCell="E24" sqref="E24"/>
    </sheetView>
  </sheetViews>
  <sheetFormatPr defaultRowHeight="15" x14ac:dyDescent="0.25"/>
  <cols>
    <col min="10" max="10" width="3" customWidth="1"/>
    <col min="11" max="11" width="6.7109375" customWidth="1"/>
    <col min="13" max="13" width="10.140625" customWidth="1"/>
    <col min="18" max="18" width="3.85546875" customWidth="1"/>
    <col min="19" max="19" width="8" customWidth="1"/>
  </cols>
  <sheetData>
    <row r="1" spans="1:19" x14ac:dyDescent="0.25">
      <c r="B1" s="87" t="s">
        <v>7</v>
      </c>
      <c r="C1" s="87"/>
      <c r="D1" s="87"/>
      <c r="F1" s="84" t="s">
        <v>19</v>
      </c>
      <c r="G1" s="84"/>
      <c r="H1" s="84"/>
      <c r="I1" s="84"/>
      <c r="J1" s="84"/>
      <c r="K1" s="84"/>
      <c r="L1" s="6"/>
      <c r="N1" s="81" t="s">
        <v>20</v>
      </c>
      <c r="O1" s="81"/>
      <c r="P1" s="81"/>
      <c r="Q1" s="81"/>
      <c r="R1" s="81"/>
      <c r="S1" s="81"/>
    </row>
    <row r="3" spans="1:19" ht="15.75" thickBot="1" x14ac:dyDescent="0.3">
      <c r="B3" s="2" t="s">
        <v>1</v>
      </c>
      <c r="C3" s="2" t="s">
        <v>2</v>
      </c>
      <c r="D3" s="2" t="s">
        <v>3</v>
      </c>
      <c r="F3" s="2" t="s">
        <v>1</v>
      </c>
      <c r="G3" s="2" t="s">
        <v>14</v>
      </c>
      <c r="H3" s="2" t="s">
        <v>2</v>
      </c>
      <c r="I3" s="70" t="s">
        <v>3</v>
      </c>
      <c r="K3" s="70" t="s">
        <v>15</v>
      </c>
      <c r="L3" s="2"/>
      <c r="N3" s="2" t="s">
        <v>1</v>
      </c>
      <c r="O3" s="2" t="s">
        <v>14</v>
      </c>
      <c r="P3" s="2" t="s">
        <v>2</v>
      </c>
      <c r="Q3" s="2" t="s">
        <v>3</v>
      </c>
      <c r="S3" s="2" t="s">
        <v>15</v>
      </c>
    </row>
    <row r="4" spans="1:19" x14ac:dyDescent="0.25">
      <c r="A4" s="73" t="s">
        <v>4</v>
      </c>
      <c r="B4">
        <v>33</v>
      </c>
      <c r="C4">
        <v>67</v>
      </c>
      <c r="D4">
        <v>0</v>
      </c>
      <c r="F4" s="36">
        <v>5</v>
      </c>
      <c r="G4" s="37">
        <v>25</v>
      </c>
      <c r="H4" s="37">
        <f>0.7*(100-I4)</f>
        <v>70</v>
      </c>
      <c r="I4" s="38">
        <f>(1/3.67)*KB_High!I4</f>
        <v>0</v>
      </c>
      <c r="K4">
        <f>SUM(F4:I4)</f>
        <v>100</v>
      </c>
      <c r="N4">
        <f t="shared" ref="N4:Q6" si="0">(100/9)*F4/100</f>
        <v>0.55555555555555558</v>
      </c>
      <c r="O4">
        <f t="shared" si="0"/>
        <v>2.7777777777777777</v>
      </c>
      <c r="P4">
        <f t="shared" si="0"/>
        <v>7.7777777777777768</v>
      </c>
      <c r="Q4">
        <f t="shared" si="0"/>
        <v>0</v>
      </c>
      <c r="S4">
        <f>SUM(N4:Q4)</f>
        <v>11.111111111111111</v>
      </c>
    </row>
    <row r="5" spans="1:19" x14ac:dyDescent="0.25">
      <c r="A5" s="73"/>
      <c r="B5" s="1">
        <f>0.33*70</f>
        <v>23.1</v>
      </c>
      <c r="C5" s="1">
        <f>0.67*70</f>
        <v>46.900000000000006</v>
      </c>
      <c r="D5">
        <v>30</v>
      </c>
      <c r="F5" s="33">
        <v>5</v>
      </c>
      <c r="G5" s="12">
        <f>($G4/(G4+H4))*(100-F5-$I5)</f>
        <v>24.462211386777572</v>
      </c>
      <c r="H5" s="12">
        <f>($H4/(G4+H4))*(100-F5-$I5)</f>
        <v>68.494191882977191</v>
      </c>
      <c r="I5" s="72">
        <f>(1/3.67)*KB_High!I5</f>
        <v>2.0435967302452318</v>
      </c>
      <c r="K5">
        <f>SUM(F5:I5)</f>
        <v>99.999999999999986</v>
      </c>
      <c r="N5">
        <f t="shared" si="0"/>
        <v>0.55555555555555558</v>
      </c>
      <c r="O5">
        <f t="shared" si="0"/>
        <v>2.71802348741973</v>
      </c>
      <c r="P5">
        <f t="shared" si="0"/>
        <v>7.6104657647752436</v>
      </c>
      <c r="Q5">
        <f t="shared" si="0"/>
        <v>0.22706630336058128</v>
      </c>
      <c r="S5">
        <f>SUM(N5:Q5)</f>
        <v>11.111111111111111</v>
      </c>
    </row>
    <row r="6" spans="1:19" x14ac:dyDescent="0.25">
      <c r="A6" s="73"/>
      <c r="B6" s="1">
        <f>0.33*40</f>
        <v>13.200000000000001</v>
      </c>
      <c r="C6" s="1">
        <f>0.67*40</f>
        <v>26.8</v>
      </c>
      <c r="D6">
        <v>60</v>
      </c>
      <c r="F6" s="33">
        <v>5</v>
      </c>
      <c r="G6" s="12">
        <f>($G4/(G4+H4))*(100-F6-$I6)</f>
        <v>23.92442277355514</v>
      </c>
      <c r="H6" s="12">
        <f>($H4/(G4+H4))*(100-F6-$I6)</f>
        <v>66.988383765954381</v>
      </c>
      <c r="I6" s="72">
        <f>(1/3.67)*KB_High!I6</f>
        <v>4.0871934604904636</v>
      </c>
      <c r="K6">
        <f>SUM(F6:I6)</f>
        <v>99.999999999999986</v>
      </c>
      <c r="N6">
        <f t="shared" si="0"/>
        <v>0.55555555555555558</v>
      </c>
      <c r="O6">
        <f t="shared" si="0"/>
        <v>2.6582691970616823</v>
      </c>
      <c r="P6">
        <f t="shared" si="0"/>
        <v>7.4431537517727087</v>
      </c>
      <c r="Q6">
        <f t="shared" si="0"/>
        <v>0.45413260672116257</v>
      </c>
      <c r="S6">
        <f>SUM(N6:Q6)</f>
        <v>11.111111111111109</v>
      </c>
    </row>
    <row r="7" spans="1:19" x14ac:dyDescent="0.25">
      <c r="A7" s="3"/>
      <c r="F7" s="21"/>
      <c r="G7" s="12"/>
      <c r="H7" s="13"/>
      <c r="I7" s="18"/>
    </row>
    <row r="8" spans="1:19" x14ac:dyDescent="0.25">
      <c r="A8" s="73" t="s">
        <v>5</v>
      </c>
      <c r="B8">
        <v>15</v>
      </c>
      <c r="C8">
        <v>85</v>
      </c>
      <c r="D8">
        <v>0</v>
      </c>
      <c r="F8" s="33">
        <v>0</v>
      </c>
      <c r="G8" s="34">
        <v>20</v>
      </c>
      <c r="H8" s="34">
        <v>80</v>
      </c>
      <c r="I8" s="30">
        <f>I4</f>
        <v>0</v>
      </c>
      <c r="K8">
        <f>SUM(F8:I8)</f>
        <v>100</v>
      </c>
      <c r="N8">
        <f t="shared" ref="N8:Q10" si="1">(100/9)*F8/100</f>
        <v>0</v>
      </c>
      <c r="O8">
        <f t="shared" si="1"/>
        <v>2.2222222222222223</v>
      </c>
      <c r="P8">
        <f t="shared" si="1"/>
        <v>8.8888888888888893</v>
      </c>
      <c r="Q8">
        <f t="shared" si="1"/>
        <v>0</v>
      </c>
      <c r="S8">
        <f>SUM(N8:Q8)</f>
        <v>11.111111111111111</v>
      </c>
    </row>
    <row r="9" spans="1:19" x14ac:dyDescent="0.25">
      <c r="A9" s="73"/>
      <c r="B9" s="1">
        <f>0.15*70</f>
        <v>10.5</v>
      </c>
      <c r="C9" s="1">
        <f>0.85*70</f>
        <v>59.5</v>
      </c>
      <c r="D9">
        <v>30</v>
      </c>
      <c r="F9" s="33">
        <v>0</v>
      </c>
      <c r="G9" s="12">
        <f>($G8/(G8+H8))*(100-F9-$I9)</f>
        <v>19.591280653950957</v>
      </c>
      <c r="H9" s="12">
        <f>($H8/(G8+H8))*(100-F9-$I9)</f>
        <v>78.365122615803827</v>
      </c>
      <c r="I9" s="65">
        <f>I5</f>
        <v>2.0435967302452318</v>
      </c>
      <c r="K9">
        <f>SUM(F9:I9)</f>
        <v>100.00000000000001</v>
      </c>
      <c r="N9">
        <f t="shared" si="1"/>
        <v>0</v>
      </c>
      <c r="O9">
        <f t="shared" si="1"/>
        <v>2.1768089615501065</v>
      </c>
      <c r="P9">
        <f t="shared" si="1"/>
        <v>8.707235846200426</v>
      </c>
      <c r="Q9">
        <f t="shared" si="1"/>
        <v>0.22706630336058128</v>
      </c>
      <c r="S9">
        <f>SUM(N9:Q9)</f>
        <v>11.111111111111114</v>
      </c>
    </row>
    <row r="10" spans="1:19" x14ac:dyDescent="0.25">
      <c r="A10" s="73"/>
      <c r="B10" s="1">
        <f>0.15*40</f>
        <v>6</v>
      </c>
      <c r="C10" s="1">
        <f>0.85*40</f>
        <v>34</v>
      </c>
      <c r="D10">
        <v>60</v>
      </c>
      <c r="F10" s="33">
        <v>0</v>
      </c>
      <c r="G10" s="12">
        <f>($G8/(G8+H8))*(100-F10-$I10)</f>
        <v>19.182561307901906</v>
      </c>
      <c r="H10" s="12">
        <f>($H8/(G8+H8))*(100-F10-$I10)</f>
        <v>76.730245231607626</v>
      </c>
      <c r="I10" s="65">
        <f>I6</f>
        <v>4.0871934604904636</v>
      </c>
      <c r="K10">
        <f>SUM(F10:I10)</f>
        <v>100</v>
      </c>
      <c r="N10">
        <f t="shared" si="1"/>
        <v>0</v>
      </c>
      <c r="O10">
        <f t="shared" si="1"/>
        <v>2.1313957008779894</v>
      </c>
      <c r="P10">
        <f t="shared" si="1"/>
        <v>8.5255828035119574</v>
      </c>
      <c r="Q10">
        <f t="shared" si="1"/>
        <v>0.45413260672116257</v>
      </c>
      <c r="S10">
        <f>SUM(N10:Q10)</f>
        <v>11.111111111111109</v>
      </c>
    </row>
    <row r="11" spans="1:19" x14ac:dyDescent="0.25">
      <c r="A11" s="3"/>
      <c r="F11" s="17"/>
      <c r="G11" s="13"/>
      <c r="H11" s="13"/>
      <c r="I11" s="30"/>
    </row>
    <row r="12" spans="1:19" x14ac:dyDescent="0.25">
      <c r="A12" s="73" t="s">
        <v>6</v>
      </c>
      <c r="B12">
        <v>5</v>
      </c>
      <c r="C12">
        <v>95</v>
      </c>
      <c r="D12">
        <v>0</v>
      </c>
      <c r="F12" s="33">
        <v>0</v>
      </c>
      <c r="G12" s="34">
        <v>10</v>
      </c>
      <c r="H12" s="34">
        <v>90</v>
      </c>
      <c r="I12" s="30">
        <f>I4</f>
        <v>0</v>
      </c>
      <c r="K12">
        <f>SUM(F12:I12)</f>
        <v>100</v>
      </c>
      <c r="N12">
        <f t="shared" ref="N12:Q14" si="2">(100/9)*F12/100</f>
        <v>0</v>
      </c>
      <c r="O12">
        <f t="shared" si="2"/>
        <v>1.1111111111111112</v>
      </c>
      <c r="P12">
        <f t="shared" si="2"/>
        <v>10</v>
      </c>
      <c r="Q12">
        <f t="shared" si="2"/>
        <v>0</v>
      </c>
      <c r="S12">
        <f>SUM(N12:Q12)</f>
        <v>11.111111111111111</v>
      </c>
    </row>
    <row r="13" spans="1:19" x14ac:dyDescent="0.25">
      <c r="A13" s="73"/>
      <c r="B13" s="1">
        <f>0.05*70</f>
        <v>3.5</v>
      </c>
      <c r="C13" s="1">
        <f>0.95*70</f>
        <v>66.5</v>
      </c>
      <c r="D13">
        <v>30</v>
      </c>
      <c r="F13" s="33">
        <v>0</v>
      </c>
      <c r="G13" s="12">
        <f>($G12/(G12+H12))*(100-F13-$I13)</f>
        <v>9.7956403269754784</v>
      </c>
      <c r="H13" s="12">
        <f>($H12/(G12+H12))*(100-F13-$I13)</f>
        <v>88.1607629427793</v>
      </c>
      <c r="I13" s="65">
        <f>I5</f>
        <v>2.0435967302452318</v>
      </c>
      <c r="K13">
        <f>SUM(F13:I13)</f>
        <v>100</v>
      </c>
      <c r="N13">
        <f t="shared" si="2"/>
        <v>0</v>
      </c>
      <c r="O13">
        <f t="shared" si="2"/>
        <v>1.0884044807750533</v>
      </c>
      <c r="P13">
        <f t="shared" si="2"/>
        <v>9.7956403269754784</v>
      </c>
      <c r="Q13">
        <f t="shared" si="2"/>
        <v>0.22706630336058128</v>
      </c>
      <c r="S13">
        <f>SUM(N13:Q13)</f>
        <v>11.111111111111112</v>
      </c>
    </row>
    <row r="14" spans="1:19" ht="15.75" thickBot="1" x14ac:dyDescent="0.3">
      <c r="A14" s="73"/>
      <c r="B14" s="1">
        <f>0.05*40</f>
        <v>2</v>
      </c>
      <c r="C14" s="1">
        <f>0.95*40</f>
        <v>38</v>
      </c>
      <c r="D14">
        <v>60</v>
      </c>
      <c r="F14" s="35">
        <v>0</v>
      </c>
      <c r="G14" s="32">
        <f>($G12/(G12+H12))*(100-F14-$I14)</f>
        <v>9.5912806539509532</v>
      </c>
      <c r="H14" s="32">
        <f>($H12/(G12+H12))*(100-F14-$I14)</f>
        <v>86.321525885558586</v>
      </c>
      <c r="I14" s="64">
        <f>I6</f>
        <v>4.0871934604904636</v>
      </c>
      <c r="K14">
        <f>SUM(F14:I14)</f>
        <v>100.00000000000001</v>
      </c>
      <c r="N14">
        <f t="shared" si="2"/>
        <v>0</v>
      </c>
      <c r="O14">
        <f t="shared" si="2"/>
        <v>1.0656978504389947</v>
      </c>
      <c r="P14">
        <f t="shared" si="2"/>
        <v>9.5912806539509532</v>
      </c>
      <c r="Q14">
        <f t="shared" si="2"/>
        <v>0.45413260672116257</v>
      </c>
      <c r="S14">
        <f>SUM(N14:Q14)</f>
        <v>11.111111111111109</v>
      </c>
    </row>
    <row r="16" spans="1:19" x14ac:dyDescent="0.25">
      <c r="M16" t="s">
        <v>15</v>
      </c>
      <c r="N16" s="4">
        <f>SUM(N4:N14)</f>
        <v>1.6666666666666667</v>
      </c>
      <c r="O16" s="4">
        <f>SUM(O4:O14)</f>
        <v>17.949710789234668</v>
      </c>
      <c r="P16" s="4">
        <f>SUM(P4:P14)</f>
        <v>78.34002581385343</v>
      </c>
      <c r="Q16" s="4">
        <f>SUM(Q4:Q14)</f>
        <v>2.0435967302452314</v>
      </c>
    </row>
    <row r="17" spans="12:19" x14ac:dyDescent="0.25">
      <c r="S17" s="2" t="s">
        <v>15</v>
      </c>
    </row>
    <row r="18" spans="12:19" x14ac:dyDescent="0.25">
      <c r="L18" s="82"/>
      <c r="M18" s="7" t="s">
        <v>16</v>
      </c>
      <c r="N18" s="10">
        <f>N16</f>
        <v>1.6666666666666667</v>
      </c>
      <c r="O18" s="10">
        <f>O16</f>
        <v>17.949710789234668</v>
      </c>
      <c r="P18" s="10">
        <f>P16</f>
        <v>78.34002581385343</v>
      </c>
      <c r="Q18" s="10">
        <f>Q16</f>
        <v>2.0435967302452314</v>
      </c>
      <c r="S18">
        <f>SUM(N18:Q18)</f>
        <v>99.999999999999986</v>
      </c>
    </row>
    <row r="19" spans="12:19" x14ac:dyDescent="0.25">
      <c r="L19" s="82"/>
      <c r="M19" s="7"/>
      <c r="N19" s="10"/>
      <c r="O19" s="10"/>
      <c r="P19" s="10"/>
      <c r="Q19" s="10"/>
    </row>
    <row r="20" spans="12:19" x14ac:dyDescent="0.25">
      <c r="L20" s="82"/>
      <c r="M20" s="7" t="s">
        <v>18</v>
      </c>
      <c r="N20" s="10">
        <f>N$18-(0.65*N$18)</f>
        <v>0.58333333333333326</v>
      </c>
      <c r="O20" s="10">
        <f>O$18+(O$18/($O$18+$Q$18))*(($N$18-$N20)+($P$18-$P20))</f>
        <v>34.747141688295486</v>
      </c>
      <c r="P20" s="10">
        <f>P$18-(0.225*P$18)</f>
        <v>60.713520005736406</v>
      </c>
      <c r="Q20" s="10">
        <f>Q$18+(Q$18/($O$18+$Q$18))*(($N$18-$N20)+($P$18-$P20))</f>
        <v>3.9560049726347746</v>
      </c>
      <c r="S20">
        <f>SUM(N20:Q20)</f>
        <v>100</v>
      </c>
    </row>
    <row r="21" spans="12:19" x14ac:dyDescent="0.25">
      <c r="L21" s="82"/>
      <c r="M21" s="7"/>
      <c r="N21" s="10"/>
      <c r="O21" s="10"/>
      <c r="P21" s="10"/>
      <c r="Q21" s="10"/>
    </row>
    <row r="22" spans="12:19" x14ac:dyDescent="0.25">
      <c r="L22" s="82"/>
      <c r="M22" s="7" t="s">
        <v>17</v>
      </c>
      <c r="N22" s="10">
        <f>N$18-(0.425*N$18)</f>
        <v>0.95833333333333337</v>
      </c>
      <c r="O22" s="10">
        <f>O$18+(O$18/($O$18+$Q$18))*(($N$18-$N22)+($P$18-$P22))</f>
        <v>57.268558925227012</v>
      </c>
      <c r="P22" s="10">
        <f>P$18-(0.55*P$18)</f>
        <v>35.253011616234041</v>
      </c>
      <c r="Q22" s="10">
        <f>Q$18+(Q$18/($O$18+$Q$18))*(($N$18-$N22)+($P$18-$P22))</f>
        <v>6.52009612520561</v>
      </c>
      <c r="S22">
        <f>SUM(N22:Q22)</f>
        <v>100</v>
      </c>
    </row>
    <row r="23" spans="12:19" x14ac:dyDescent="0.25">
      <c r="L23" s="82"/>
      <c r="M23" s="7"/>
      <c r="N23" s="10"/>
      <c r="O23" s="10"/>
      <c r="P23" s="10"/>
      <c r="Q23" s="10"/>
    </row>
    <row r="24" spans="12:19" x14ac:dyDescent="0.25">
      <c r="L24" s="82"/>
      <c r="M24" s="7" t="s">
        <v>25</v>
      </c>
      <c r="N24" s="10">
        <f>N$18-(0.65*N$18)</f>
        <v>0.58333333333333326</v>
      </c>
      <c r="O24" s="10">
        <f>O$18+(O$18/($O$18+$Q$18))*(($N$18-$N24)+($P$18-$P24))</f>
        <v>57.605228660307347</v>
      </c>
      <c r="P24" s="10">
        <f>P$18-(0.55*P$18)</f>
        <v>35.253011616234041</v>
      </c>
      <c r="Q24" s="10">
        <f>Q$18+(Q$18/($O$18+$Q$18))*(($N$18-$N24)+($P$18-$P24))</f>
        <v>6.5584263901252733</v>
      </c>
      <c r="S24">
        <f>SUM(N24:Q24)</f>
        <v>100</v>
      </c>
    </row>
    <row r="26" spans="12:19" x14ac:dyDescent="0.25">
      <c r="M26" t="s">
        <v>33</v>
      </c>
    </row>
    <row r="27" spans="12:19" x14ac:dyDescent="0.25">
      <c r="N27" s="57" t="s">
        <v>26</v>
      </c>
      <c r="O27" s="57" t="s">
        <v>27</v>
      </c>
      <c r="P27" s="57" t="s">
        <v>28</v>
      </c>
      <c r="Q27" s="57" t="s">
        <v>25</v>
      </c>
    </row>
    <row r="28" spans="12:19" x14ac:dyDescent="0.25">
      <c r="M28" t="s">
        <v>1</v>
      </c>
      <c r="N28" s="66">
        <f>N37</f>
        <v>0</v>
      </c>
      <c r="O28" s="66">
        <v>0</v>
      </c>
      <c r="P28" s="66">
        <v>0</v>
      </c>
      <c r="Q28" s="66">
        <v>0</v>
      </c>
    </row>
    <row r="29" spans="12:19" x14ac:dyDescent="0.25">
      <c r="M29" t="s">
        <v>14</v>
      </c>
      <c r="N29" s="66">
        <f>N38</f>
        <v>20</v>
      </c>
      <c r="O29" s="66">
        <f t="shared" ref="O29:Q29" si="3">MROUND(O38,5)</f>
        <v>35</v>
      </c>
      <c r="P29" s="66">
        <f t="shared" si="3"/>
        <v>60</v>
      </c>
      <c r="Q29" s="66">
        <f t="shared" si="3"/>
        <v>60</v>
      </c>
    </row>
    <row r="30" spans="12:19" x14ac:dyDescent="0.25">
      <c r="M30" t="s">
        <v>2</v>
      </c>
      <c r="N30" s="66">
        <f>N39</f>
        <v>80</v>
      </c>
      <c r="O30" s="66">
        <v>65</v>
      </c>
      <c r="P30" s="66">
        <f t="shared" ref="P30:Q30" si="4">MROUND(P39,5)</f>
        <v>35</v>
      </c>
      <c r="Q30" s="66">
        <f t="shared" si="4"/>
        <v>35</v>
      </c>
    </row>
    <row r="31" spans="12:19" x14ac:dyDescent="0.25">
      <c r="M31" t="s">
        <v>3</v>
      </c>
      <c r="N31" s="66">
        <f>N40</f>
        <v>0</v>
      </c>
      <c r="O31" s="66">
        <f t="shared" ref="O31:Q31" si="5">MROUND(O40,5)</f>
        <v>0</v>
      </c>
      <c r="P31" s="66">
        <f t="shared" si="5"/>
        <v>5</v>
      </c>
      <c r="Q31" s="66">
        <f t="shared" si="5"/>
        <v>5</v>
      </c>
    </row>
    <row r="32" spans="12:19" x14ac:dyDescent="0.25">
      <c r="N32" s="4"/>
      <c r="O32" s="4"/>
    </row>
    <row r="33" spans="13:17" x14ac:dyDescent="0.25">
      <c r="N33" s="66">
        <f>SUM(N28:N31)</f>
        <v>100</v>
      </c>
      <c r="O33" s="66">
        <f t="shared" ref="O33:Q33" si="6">SUM(O28:O31)</f>
        <v>100</v>
      </c>
      <c r="P33" s="66">
        <f t="shared" si="6"/>
        <v>100</v>
      </c>
      <c r="Q33" s="66">
        <f t="shared" si="6"/>
        <v>100</v>
      </c>
    </row>
    <row r="35" spans="13:17" x14ac:dyDescent="0.25">
      <c r="M35" t="s">
        <v>30</v>
      </c>
    </row>
    <row r="36" spans="13:17" x14ac:dyDescent="0.25">
      <c r="N36" s="57" t="s">
        <v>26</v>
      </c>
      <c r="O36" s="57" t="s">
        <v>27</v>
      </c>
      <c r="P36" s="57" t="s">
        <v>28</v>
      </c>
      <c r="Q36" s="57" t="s">
        <v>25</v>
      </c>
    </row>
    <row r="37" spans="13:17" x14ac:dyDescent="0.25">
      <c r="M37" t="s">
        <v>1</v>
      </c>
      <c r="N37" s="66">
        <v>0</v>
      </c>
      <c r="O37" s="67">
        <f>N37-O47</f>
        <v>-1.0833333333333335</v>
      </c>
      <c r="P37" s="67">
        <f>N37-P47</f>
        <v>-0.70833333333333337</v>
      </c>
      <c r="Q37" s="67">
        <f>N37-Q47</f>
        <v>-1.0833333333333335</v>
      </c>
    </row>
    <row r="38" spans="13:17" x14ac:dyDescent="0.25">
      <c r="M38" t="s">
        <v>14</v>
      </c>
      <c r="N38" s="66">
        <v>20</v>
      </c>
      <c r="O38" s="67">
        <f>N38-O48</f>
        <v>36.797430899060814</v>
      </c>
      <c r="P38" s="67">
        <f>N38-P48</f>
        <v>59.31884813599234</v>
      </c>
      <c r="Q38" s="67">
        <f>N38-Q48</f>
        <v>59.655517871072675</v>
      </c>
    </row>
    <row r="39" spans="13:17" x14ac:dyDescent="0.25">
      <c r="M39" t="s">
        <v>2</v>
      </c>
      <c r="N39" s="66">
        <v>80</v>
      </c>
      <c r="O39" s="67">
        <f>N39-O49</f>
        <v>62.373494191882976</v>
      </c>
      <c r="P39" s="67">
        <f>N39-P49</f>
        <v>36.912985802380611</v>
      </c>
      <c r="Q39" s="67">
        <f>N39-Q49</f>
        <v>36.912985802380611</v>
      </c>
    </row>
    <row r="40" spans="13:17" x14ac:dyDescent="0.25">
      <c r="M40" t="s">
        <v>3</v>
      </c>
      <c r="N40" s="66">
        <v>0</v>
      </c>
      <c r="O40" s="67">
        <f>N40-O50</f>
        <v>1.9124082423895432</v>
      </c>
      <c r="P40" s="67">
        <f>N40-P50</f>
        <v>4.4764993949603786</v>
      </c>
      <c r="Q40" s="67">
        <f>N40-Q50</f>
        <v>4.5148296598800419</v>
      </c>
    </row>
    <row r="41" spans="13:17" x14ac:dyDescent="0.25">
      <c r="N41" s="4"/>
      <c r="O41" s="4"/>
    </row>
    <row r="42" spans="13:17" x14ac:dyDescent="0.25">
      <c r="N42" s="66">
        <f>SUM(N37:N40)</f>
        <v>100</v>
      </c>
      <c r="O42" s="66">
        <f t="shared" ref="O42:Q42" si="7">SUM(O37:O40)</f>
        <v>100</v>
      </c>
      <c r="P42" s="66">
        <f t="shared" si="7"/>
        <v>100</v>
      </c>
      <c r="Q42" s="66">
        <f t="shared" si="7"/>
        <v>99.999999999999986</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1.6666666666666667</v>
      </c>
      <c r="O47" s="67">
        <f>N18-N20</f>
        <v>1.0833333333333335</v>
      </c>
      <c r="P47" s="67">
        <f>N18-N22</f>
        <v>0.70833333333333337</v>
      </c>
      <c r="Q47" s="67">
        <f>N18-N24</f>
        <v>1.0833333333333335</v>
      </c>
    </row>
    <row r="48" spans="13:17" x14ac:dyDescent="0.25">
      <c r="M48" t="s">
        <v>14</v>
      </c>
      <c r="N48" s="67">
        <f>O18</f>
        <v>17.949710789234668</v>
      </c>
      <c r="O48" s="67">
        <f>O18-O20</f>
        <v>-16.797430899060817</v>
      </c>
      <c r="P48" s="67">
        <f>O18-O22</f>
        <v>-39.31884813599234</v>
      </c>
      <c r="Q48" s="67">
        <f>O18-O24</f>
        <v>-39.655517871072675</v>
      </c>
    </row>
    <row r="49" spans="13:17" x14ac:dyDescent="0.25">
      <c r="M49" t="s">
        <v>2</v>
      </c>
      <c r="N49" s="67">
        <f>P18</f>
        <v>78.34002581385343</v>
      </c>
      <c r="O49" s="67">
        <f>P18-P20</f>
        <v>17.626505808117024</v>
      </c>
      <c r="P49" s="67">
        <f>P18-P22</f>
        <v>43.087014197619389</v>
      </c>
      <c r="Q49" s="67">
        <f>P18-P24</f>
        <v>43.087014197619389</v>
      </c>
    </row>
    <row r="50" spans="13:17" x14ac:dyDescent="0.25">
      <c r="M50" t="s">
        <v>3</v>
      </c>
      <c r="N50" s="67">
        <f>Q18</f>
        <v>2.0435967302452314</v>
      </c>
      <c r="O50" s="67">
        <f>Q18-Q20</f>
        <v>-1.9124082423895432</v>
      </c>
      <c r="P50" s="67">
        <f>Q18-Q22</f>
        <v>-4.4764993949603786</v>
      </c>
      <c r="Q50" s="67">
        <f>Q18-Q24</f>
        <v>-4.5148296598800419</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2.5703125" customWidth="1"/>
    <col min="11" max="12" width="6.7109375" customWidth="1"/>
    <col min="18" max="18" width="3.85546875" customWidth="1"/>
    <col min="19" max="19" width="6.28515625" customWidth="1"/>
  </cols>
  <sheetData>
    <row r="1" spans="1:19" x14ac:dyDescent="0.25">
      <c r="B1" s="85" t="s">
        <v>31</v>
      </c>
      <c r="C1" s="85"/>
      <c r="D1" s="85"/>
      <c r="F1" s="85" t="s">
        <v>19</v>
      </c>
      <c r="G1" s="85"/>
      <c r="H1" s="85"/>
      <c r="I1" s="85"/>
      <c r="J1" s="85"/>
      <c r="K1" s="85"/>
      <c r="N1" s="81" t="s">
        <v>20</v>
      </c>
      <c r="O1" s="81"/>
      <c r="P1" s="81"/>
      <c r="Q1" s="81"/>
      <c r="R1" s="81"/>
      <c r="S1" s="81"/>
    </row>
    <row r="3" spans="1:19" ht="15.75" thickBot="1" x14ac:dyDescent="0.3">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8" t="s">
        <v>9</v>
      </c>
      <c r="B4">
        <v>50</v>
      </c>
      <c r="C4">
        <v>50</v>
      </c>
      <c r="D4">
        <v>0</v>
      </c>
      <c r="F4" s="43">
        <f>0.55*(100-G4-I4)</f>
        <v>41.25</v>
      </c>
      <c r="G4" s="44">
        <f>0.25*(100-I4)</f>
        <v>25</v>
      </c>
      <c r="H4" s="44">
        <f>0.45*(100-G4-I4)</f>
        <v>33.75</v>
      </c>
      <c r="I4" s="39">
        <f>(1/3.67)*CO_High!I4</f>
        <v>0</v>
      </c>
      <c r="K4">
        <f>SUM(F4:I4)</f>
        <v>100</v>
      </c>
      <c r="N4">
        <f t="shared" ref="N4:Q6" si="0">(100/9)*F4/100</f>
        <v>4.583333333333333</v>
      </c>
      <c r="O4">
        <f t="shared" si="0"/>
        <v>2.7777777777777777</v>
      </c>
      <c r="P4">
        <f t="shared" si="0"/>
        <v>3.75</v>
      </c>
      <c r="Q4">
        <f t="shared" si="0"/>
        <v>0</v>
      </c>
      <c r="S4">
        <f>SUM(N4:Q4)</f>
        <v>11.111111111111111</v>
      </c>
    </row>
    <row r="5" spans="1:19" x14ac:dyDescent="0.25">
      <c r="A5" s="73"/>
      <c r="B5" s="1">
        <v>35</v>
      </c>
      <c r="C5" s="1">
        <v>35</v>
      </c>
      <c r="D5">
        <v>30</v>
      </c>
      <c r="F5" s="21">
        <f>($F$4/($F$4+$H$4))*(100-G5-I5)</f>
        <v>40.407016348773844</v>
      </c>
      <c r="G5" s="12">
        <f>G4/100*(100-I5)</f>
        <v>24.489100817438693</v>
      </c>
      <c r="H5" s="12">
        <f>($H$4/($F$4+$H$4))*(100-G5-I5)</f>
        <v>33.060286103542232</v>
      </c>
      <c r="I5" s="71">
        <f>(1/3.67)*CO_High!I5</f>
        <v>2.0435967302452318</v>
      </c>
      <c r="K5">
        <f>SUM(F5:I5)</f>
        <v>99.999999999999986</v>
      </c>
      <c r="N5">
        <f t="shared" si="0"/>
        <v>4.4896684831970939</v>
      </c>
      <c r="O5">
        <f t="shared" si="0"/>
        <v>2.7210112019376322</v>
      </c>
      <c r="P5">
        <f t="shared" si="0"/>
        <v>3.6733651226158037</v>
      </c>
      <c r="Q5">
        <f t="shared" si="0"/>
        <v>0.22706630336058128</v>
      </c>
      <c r="S5">
        <f>SUM(N5:Q5)</f>
        <v>11.111111111111112</v>
      </c>
    </row>
    <row r="6" spans="1:19" x14ac:dyDescent="0.25">
      <c r="A6" s="73"/>
      <c r="B6" s="1">
        <v>20</v>
      </c>
      <c r="C6" s="1">
        <v>20</v>
      </c>
      <c r="D6">
        <v>60</v>
      </c>
      <c r="F6" s="21">
        <f>($F$4/($F$4+$H$4))*(100-G6-I6)</f>
        <v>39.564032697547688</v>
      </c>
      <c r="G6" s="12">
        <f>G4/100*(100-I6)</f>
        <v>23.978201634877383</v>
      </c>
      <c r="H6" s="12">
        <f>($H$4/($F$4+$H$4))*(100-G6-I6)</f>
        <v>32.370572207084471</v>
      </c>
      <c r="I6" s="71">
        <f>(1/3.67)*CO_High!I6</f>
        <v>4.0871934604904636</v>
      </c>
      <c r="K6">
        <f>SUM(F6:I6)</f>
        <v>100.00000000000001</v>
      </c>
      <c r="N6">
        <f t="shared" si="0"/>
        <v>4.3960036330608538</v>
      </c>
      <c r="O6">
        <f t="shared" si="0"/>
        <v>2.6642446260974868</v>
      </c>
      <c r="P6">
        <f t="shared" si="0"/>
        <v>3.5967302452316079</v>
      </c>
      <c r="Q6">
        <f t="shared" si="0"/>
        <v>0.45413260672116257</v>
      </c>
      <c r="S6">
        <f>SUM(N6:Q6)</f>
        <v>11.111111111111111</v>
      </c>
    </row>
    <row r="7" spans="1:19" x14ac:dyDescent="0.25">
      <c r="A7" s="3"/>
      <c r="F7" s="21"/>
      <c r="G7" s="12"/>
      <c r="H7" s="12"/>
      <c r="I7" s="18"/>
    </row>
    <row r="8" spans="1:19" x14ac:dyDescent="0.25">
      <c r="A8" s="78" t="s">
        <v>12</v>
      </c>
      <c r="B8">
        <v>66</v>
      </c>
      <c r="C8">
        <v>34</v>
      </c>
      <c r="D8">
        <v>0</v>
      </c>
      <c r="F8" s="41">
        <f>1*(100-G8-I8)</f>
        <v>80</v>
      </c>
      <c r="G8" s="42">
        <f>0.2*(100-I8)</f>
        <v>20</v>
      </c>
      <c r="H8" s="42">
        <f>0*(100-G8-I8)</f>
        <v>0</v>
      </c>
      <c r="I8" s="30">
        <f>I4</f>
        <v>0</v>
      </c>
      <c r="K8">
        <f>SUM(F8:I8)</f>
        <v>100</v>
      </c>
      <c r="N8">
        <f t="shared" ref="N8:Q10" si="1">(100/9)*F8/100</f>
        <v>8.8888888888888893</v>
      </c>
      <c r="O8">
        <f t="shared" si="1"/>
        <v>2.2222222222222223</v>
      </c>
      <c r="P8">
        <f t="shared" si="1"/>
        <v>0</v>
      </c>
      <c r="Q8">
        <f t="shared" si="1"/>
        <v>0</v>
      </c>
      <c r="S8">
        <f>SUM(N8:Q8)</f>
        <v>11.111111111111111</v>
      </c>
    </row>
    <row r="9" spans="1:19" x14ac:dyDescent="0.25">
      <c r="A9" s="73"/>
      <c r="B9" s="1">
        <f>0.66*70</f>
        <v>46.2</v>
      </c>
      <c r="C9" s="1">
        <f>0.34*70</f>
        <v>23.8</v>
      </c>
      <c r="D9">
        <v>30</v>
      </c>
      <c r="F9" s="21">
        <f>(F8/(F8+H8))*(100-G9-I9)</f>
        <v>78.365122615803813</v>
      </c>
      <c r="G9" s="12">
        <f>G8/100*(100-I9)</f>
        <v>19.591280653950957</v>
      </c>
      <c r="H9" s="12">
        <f>(H8/(F8+H8))*(100-G9-I9)</f>
        <v>0</v>
      </c>
      <c r="I9" s="65">
        <f>I5</f>
        <v>2.0435967302452318</v>
      </c>
      <c r="K9">
        <f>SUM(F9:I9)</f>
        <v>100</v>
      </c>
      <c r="N9">
        <f t="shared" si="1"/>
        <v>8.7072358462004225</v>
      </c>
      <c r="O9">
        <f t="shared" si="1"/>
        <v>2.1768089615501065</v>
      </c>
      <c r="P9">
        <f t="shared" si="1"/>
        <v>0</v>
      </c>
      <c r="Q9">
        <f t="shared" si="1"/>
        <v>0.22706630336058128</v>
      </c>
      <c r="S9">
        <f>SUM(N9:Q9)</f>
        <v>11.111111111111111</v>
      </c>
    </row>
    <row r="10" spans="1:19" x14ac:dyDescent="0.25">
      <c r="A10" s="73"/>
      <c r="B10" s="1">
        <f>0.66*40</f>
        <v>26.400000000000002</v>
      </c>
      <c r="C10" s="1">
        <f>0.34*40</f>
        <v>13.600000000000001</v>
      </c>
      <c r="D10">
        <v>60</v>
      </c>
      <c r="F10" s="21">
        <f>(F8/(F8+H8))*(100-G10-I10)</f>
        <v>76.730245231607626</v>
      </c>
      <c r="G10" s="12">
        <f>G8/100*(100-I10)</f>
        <v>19.182561307901906</v>
      </c>
      <c r="H10" s="12">
        <f>(H8/(F8+H8))*(100-G10-I10)</f>
        <v>0</v>
      </c>
      <c r="I10" s="65">
        <f>I6</f>
        <v>4.0871934604904636</v>
      </c>
      <c r="K10">
        <f>SUM(F10:I10)</f>
        <v>100</v>
      </c>
      <c r="N10">
        <f t="shared" si="1"/>
        <v>8.5255828035119574</v>
      </c>
      <c r="O10">
        <f t="shared" si="1"/>
        <v>2.1313957008779894</v>
      </c>
      <c r="P10">
        <f t="shared" si="1"/>
        <v>0</v>
      </c>
      <c r="Q10">
        <f t="shared" si="1"/>
        <v>0.45413260672116257</v>
      </c>
      <c r="S10">
        <f>SUM(N10:Q10)</f>
        <v>11.111111111111109</v>
      </c>
    </row>
    <row r="11" spans="1:19" x14ac:dyDescent="0.25">
      <c r="A11" s="3"/>
      <c r="F11" s="21"/>
      <c r="G11" s="12"/>
      <c r="H11" s="12"/>
      <c r="I11" s="30"/>
    </row>
    <row r="12" spans="1:19" x14ac:dyDescent="0.25">
      <c r="A12" s="79" t="s">
        <v>13</v>
      </c>
      <c r="B12" s="1">
        <v>34</v>
      </c>
      <c r="C12" s="1">
        <v>66</v>
      </c>
      <c r="D12">
        <v>0</v>
      </c>
      <c r="F12" s="41">
        <f>(5/75)*(100-G12-I12)</f>
        <v>5</v>
      </c>
      <c r="G12" s="42">
        <f>0.25*(100-I12)</f>
        <v>25</v>
      </c>
      <c r="H12" s="42">
        <f>(70/75)*(100-G12-I12)</f>
        <v>70</v>
      </c>
      <c r="I12" s="30">
        <f>I4</f>
        <v>0</v>
      </c>
      <c r="K12">
        <f>SUM(F12:I12)</f>
        <v>100</v>
      </c>
      <c r="N12">
        <f t="shared" ref="N12:Q14" si="2">(100/9)*F12/100</f>
        <v>0.55555555555555558</v>
      </c>
      <c r="O12">
        <f t="shared" si="2"/>
        <v>2.7777777777777777</v>
      </c>
      <c r="P12">
        <f t="shared" si="2"/>
        <v>7.7777777777777768</v>
      </c>
      <c r="Q12">
        <f t="shared" si="2"/>
        <v>0</v>
      </c>
      <c r="S12">
        <f>SUM(N12:Q12)</f>
        <v>11.111111111111111</v>
      </c>
    </row>
    <row r="13" spans="1:19" x14ac:dyDescent="0.25">
      <c r="A13" s="73"/>
      <c r="B13" s="1">
        <v>24</v>
      </c>
      <c r="C13" s="1">
        <v>46</v>
      </c>
      <c r="D13">
        <v>30</v>
      </c>
      <c r="F13" s="21">
        <f>(F12/(F12+H12))*(100-G13-I13)</f>
        <v>4.8978201634877383</v>
      </c>
      <c r="G13" s="12">
        <f>G12/100*(100-I13)</f>
        <v>24.489100817438693</v>
      </c>
      <c r="H13" s="12">
        <f>(H12/(F12+H12))*(100-G13-I13)</f>
        <v>68.56948228882834</v>
      </c>
      <c r="I13" s="65">
        <f>I5</f>
        <v>2.0435967302452318</v>
      </c>
      <c r="K13">
        <f>SUM(F13:I13)</f>
        <v>100</v>
      </c>
      <c r="N13">
        <f t="shared" si="2"/>
        <v>0.5442022403875264</v>
      </c>
      <c r="O13">
        <f t="shared" si="2"/>
        <v>2.7210112019376322</v>
      </c>
      <c r="P13">
        <f t="shared" si="2"/>
        <v>7.6188313654253701</v>
      </c>
      <c r="Q13">
        <f t="shared" si="2"/>
        <v>0.22706630336058128</v>
      </c>
      <c r="S13">
        <f>SUM(N13:Q13)</f>
        <v>11.111111111111111</v>
      </c>
    </row>
    <row r="14" spans="1:19" ht="15.75" thickBot="1" x14ac:dyDescent="0.3">
      <c r="A14" s="73"/>
      <c r="B14">
        <v>14</v>
      </c>
      <c r="C14">
        <v>26</v>
      </c>
      <c r="D14">
        <v>60</v>
      </c>
      <c r="F14" s="31">
        <f>(F12/(F12+H12))*(100-G14-I14)</f>
        <v>4.7956403269754766</v>
      </c>
      <c r="G14" s="32">
        <f>G12/100*(100-I14)</f>
        <v>23.978201634877383</v>
      </c>
      <c r="H14" s="32">
        <f>(H12/(F12+H12))*(100-G14-I14)</f>
        <v>67.138964577656679</v>
      </c>
      <c r="I14" s="64">
        <f>I6</f>
        <v>4.0871934604904636</v>
      </c>
      <c r="K14">
        <f>SUM(F14:I14)</f>
        <v>100.00000000000001</v>
      </c>
      <c r="N14">
        <f t="shared" si="2"/>
        <v>0.53284892521949734</v>
      </c>
      <c r="O14">
        <f t="shared" si="2"/>
        <v>2.6642446260974868</v>
      </c>
      <c r="P14">
        <f t="shared" si="2"/>
        <v>7.4598849530729634</v>
      </c>
      <c r="Q14">
        <f t="shared" si="2"/>
        <v>0.45413260672116257</v>
      </c>
      <c r="S14">
        <f>SUM(N14:Q14)</f>
        <v>11.111111111111109</v>
      </c>
    </row>
    <row r="16" spans="1:19" x14ac:dyDescent="0.25">
      <c r="M16" s="9" t="s">
        <v>15</v>
      </c>
      <c r="N16" s="4">
        <f>SUM(N4:N14)</f>
        <v>41.223319709355131</v>
      </c>
      <c r="O16" s="4">
        <f>SUM(O4:O14)</f>
        <v>22.856494096276116</v>
      </c>
      <c r="P16" s="4">
        <f>SUM(P4:P14)</f>
        <v>33.876589464123526</v>
      </c>
      <c r="Q16" s="4">
        <f>SUM(Q4:Q14)</f>
        <v>2.0435967302452314</v>
      </c>
    </row>
    <row r="17" spans="12:19" x14ac:dyDescent="0.25">
      <c r="S17" s="2" t="s">
        <v>15</v>
      </c>
    </row>
    <row r="18" spans="12:19" x14ac:dyDescent="0.25">
      <c r="L18" s="82"/>
      <c r="M18" s="7" t="s">
        <v>16</v>
      </c>
      <c r="N18" s="10">
        <f>N16</f>
        <v>41.223319709355131</v>
      </c>
      <c r="O18" s="10">
        <f>O16</f>
        <v>22.856494096276116</v>
      </c>
      <c r="P18" s="10">
        <f>P16</f>
        <v>33.876589464123526</v>
      </c>
      <c r="Q18" s="10">
        <f>Q16</f>
        <v>2.0435967302452314</v>
      </c>
      <c r="S18">
        <f>SUM(N18:Q18)</f>
        <v>100</v>
      </c>
    </row>
    <row r="19" spans="12:19" x14ac:dyDescent="0.25">
      <c r="L19" s="82"/>
      <c r="M19" s="7"/>
      <c r="N19" s="10"/>
      <c r="O19" s="10"/>
      <c r="P19" s="10"/>
      <c r="Q19" s="10"/>
    </row>
    <row r="20" spans="12:19" x14ac:dyDescent="0.25">
      <c r="L20" s="82"/>
      <c r="M20" s="7" t="s">
        <v>18</v>
      </c>
      <c r="N20" s="10">
        <f>N$18-(0.65*N$18)</f>
        <v>14.428161898274293</v>
      </c>
      <c r="O20" s="10">
        <f>O$18+(O$18/($O$18+$Q$18))*(($N$18-$N20)+($P$18-$P20))</f>
        <v>54.449185339588155</v>
      </c>
      <c r="P20" s="10">
        <f>P$18-(0.225*P$18)</f>
        <v>26.254356834695734</v>
      </c>
      <c r="Q20" s="10">
        <f>Q$18+(Q$18/($O$18+$Q$18))*(($N$18-$N20)+($P$18-$P20))</f>
        <v>4.8682959274418174</v>
      </c>
      <c r="S20">
        <f>SUM(N20:Q20)</f>
        <v>100.00000000000001</v>
      </c>
    </row>
    <row r="21" spans="12:19" x14ac:dyDescent="0.25">
      <c r="L21" s="82"/>
      <c r="M21" s="7"/>
      <c r="N21" s="10"/>
      <c r="O21" s="10"/>
      <c r="P21" s="10"/>
      <c r="Q21" s="10"/>
    </row>
    <row r="22" spans="12:19" x14ac:dyDescent="0.25">
      <c r="L22" s="82"/>
      <c r="M22" s="7" t="s">
        <v>17</v>
      </c>
      <c r="N22" s="10">
        <f>N$18-(0.425*N$18)</f>
        <v>23.703408832879202</v>
      </c>
      <c r="O22" s="10">
        <f>O$18+(O$18/($O$18+$Q$18))*(($N$18-$N22)+($P$18-$P22))</f>
        <v>56.041464471329363</v>
      </c>
      <c r="P22" s="10">
        <f>P$18-(0.55*P$18)</f>
        <v>15.244465258855584</v>
      </c>
      <c r="Q22" s="10">
        <f>Q$18+(Q$18/($O$18+$Q$18))*(($N$18-$N22)+($P$18-$P22))</f>
        <v>5.0106614369358642</v>
      </c>
      <c r="S22">
        <f>SUM(N22:Q22)</f>
        <v>100.00000000000001</v>
      </c>
    </row>
    <row r="23" spans="12:19" x14ac:dyDescent="0.25">
      <c r="L23" s="82"/>
      <c r="M23" s="7"/>
      <c r="N23" s="10"/>
      <c r="O23" s="10"/>
      <c r="P23" s="10"/>
      <c r="Q23" s="10"/>
    </row>
    <row r="24" spans="12:19" x14ac:dyDescent="0.25">
      <c r="L24" s="82"/>
      <c r="M24" s="7" t="s">
        <v>25</v>
      </c>
      <c r="N24" s="10">
        <f>N$18-(0.65*N$18)</f>
        <v>14.428161898274293</v>
      </c>
      <c r="O24" s="10">
        <f>O$18+(O$18/($O$18+$Q$18))*(($N$18-$N24)+($P$18-$P24))</f>
        <v>64.555474652227872</v>
      </c>
      <c r="P24" s="10">
        <f>P$18-(0.55*P$18)</f>
        <v>15.244465258855584</v>
      </c>
      <c r="Q24" s="10">
        <f>Q$18+(Q$18/($O$18+$Q$18))*(($N$18-$N24)+($P$18-$P24))</f>
        <v>5.7718981906422675</v>
      </c>
      <c r="S24">
        <f>SUM(N24:Q24)</f>
        <v>100.00000000000001</v>
      </c>
    </row>
    <row r="26" spans="12:19" x14ac:dyDescent="0.25">
      <c r="M26" t="s">
        <v>33</v>
      </c>
    </row>
    <row r="27" spans="12:19" x14ac:dyDescent="0.25">
      <c r="N27" s="57" t="s">
        <v>26</v>
      </c>
      <c r="O27" s="57" t="s">
        <v>27</v>
      </c>
      <c r="P27" s="57" t="s">
        <v>28</v>
      </c>
      <c r="Q27" s="57" t="s">
        <v>25</v>
      </c>
    </row>
    <row r="28" spans="12:19" x14ac:dyDescent="0.25">
      <c r="M28" t="s">
        <v>1</v>
      </c>
      <c r="N28" s="66">
        <f>N37</f>
        <v>40</v>
      </c>
      <c r="O28" s="66">
        <f>MROUND(O37,5)</f>
        <v>15</v>
      </c>
      <c r="P28" s="66">
        <v>25</v>
      </c>
      <c r="Q28" s="66">
        <f t="shared" ref="Q28" si="3">MROUND(Q37,5)</f>
        <v>15</v>
      </c>
    </row>
    <row r="29" spans="12:19" x14ac:dyDescent="0.25">
      <c r="M29" t="s">
        <v>14</v>
      </c>
      <c r="N29" s="66">
        <f>N38</f>
        <v>25</v>
      </c>
      <c r="O29" s="66">
        <f t="shared" ref="O29:Q31" si="4">MROUND(O38,5)</f>
        <v>55</v>
      </c>
      <c r="P29" s="66">
        <v>55</v>
      </c>
      <c r="Q29" s="66">
        <f t="shared" si="4"/>
        <v>65</v>
      </c>
    </row>
    <row r="30" spans="12:19" x14ac:dyDescent="0.25">
      <c r="M30" t="s">
        <v>2</v>
      </c>
      <c r="N30" s="66">
        <f>N39</f>
        <v>35</v>
      </c>
      <c r="O30" s="66">
        <f t="shared" si="4"/>
        <v>25</v>
      </c>
      <c r="P30" s="66">
        <f t="shared" si="4"/>
        <v>15</v>
      </c>
      <c r="Q30" s="66">
        <f t="shared" si="4"/>
        <v>15</v>
      </c>
    </row>
    <row r="31" spans="12:19" x14ac:dyDescent="0.25">
      <c r="M31" t="s">
        <v>3</v>
      </c>
      <c r="N31" s="66">
        <f>N40</f>
        <v>0</v>
      </c>
      <c r="O31" s="66">
        <f t="shared" si="4"/>
        <v>5</v>
      </c>
      <c r="P31" s="66">
        <f t="shared" si="4"/>
        <v>5</v>
      </c>
      <c r="Q31" s="66">
        <f t="shared" si="4"/>
        <v>5</v>
      </c>
    </row>
    <row r="32" spans="12:19" x14ac:dyDescent="0.25">
      <c r="N32" s="4"/>
      <c r="O32" s="4"/>
    </row>
    <row r="33" spans="13:19" x14ac:dyDescent="0.25">
      <c r="N33" s="66">
        <f>SUM(N28:N31)</f>
        <v>100</v>
      </c>
      <c r="O33" s="66">
        <f t="shared" ref="O33:Q33" si="5">SUM(O28:O31)</f>
        <v>100</v>
      </c>
      <c r="P33" s="66">
        <f t="shared" si="5"/>
        <v>100</v>
      </c>
      <c r="Q33" s="66">
        <f t="shared" si="5"/>
        <v>100</v>
      </c>
    </row>
    <row r="35" spans="13:19" x14ac:dyDescent="0.25">
      <c r="M35" t="s">
        <v>30</v>
      </c>
    </row>
    <row r="36" spans="13:19" x14ac:dyDescent="0.25">
      <c r="N36" s="57" t="s">
        <v>26</v>
      </c>
      <c r="O36" s="57" t="s">
        <v>27</v>
      </c>
      <c r="P36" s="57" t="s">
        <v>28</v>
      </c>
      <c r="Q36" s="57" t="s">
        <v>25</v>
      </c>
    </row>
    <row r="37" spans="13:19" x14ac:dyDescent="0.25">
      <c r="M37" t="s">
        <v>1</v>
      </c>
      <c r="N37" s="66">
        <v>40</v>
      </c>
      <c r="O37" s="67">
        <f>N37-O47</f>
        <v>13.204842188919162</v>
      </c>
      <c r="P37" s="67">
        <f>N37-P47</f>
        <v>22.480089123524071</v>
      </c>
      <c r="Q37" s="67">
        <f>N37-Q47</f>
        <v>13.204842188919162</v>
      </c>
    </row>
    <row r="38" spans="13:19" x14ac:dyDescent="0.25">
      <c r="M38" t="s">
        <v>14</v>
      </c>
      <c r="N38" s="66">
        <v>25</v>
      </c>
      <c r="O38" s="67">
        <f>N38-O48</f>
        <v>56.592691243312039</v>
      </c>
      <c r="P38" s="67">
        <f>N38-P48</f>
        <v>58.184970375053247</v>
      </c>
      <c r="Q38" s="67">
        <f>N38-Q48</f>
        <v>66.698980555951749</v>
      </c>
    </row>
    <row r="39" spans="13:19" x14ac:dyDescent="0.25">
      <c r="M39" t="s">
        <v>2</v>
      </c>
      <c r="N39" s="66">
        <v>35</v>
      </c>
      <c r="O39" s="67">
        <f>N39-O49</f>
        <v>27.377767370572208</v>
      </c>
      <c r="P39" s="67">
        <f>N39-P49</f>
        <v>16.367875794732058</v>
      </c>
      <c r="Q39" s="67">
        <f>N39-Q49</f>
        <v>16.367875794732058</v>
      </c>
    </row>
    <row r="40" spans="13:19" x14ac:dyDescent="0.25">
      <c r="M40" t="s">
        <v>3</v>
      </c>
      <c r="N40" s="66">
        <v>0</v>
      </c>
      <c r="O40" s="67">
        <f>N40-O50</f>
        <v>2.824699197196586</v>
      </c>
      <c r="P40" s="67">
        <f>N40-P50</f>
        <v>2.9670647066906328</v>
      </c>
      <c r="Q40" s="67">
        <f>N40-Q50</f>
        <v>3.7283014603970361</v>
      </c>
    </row>
    <row r="41" spans="13:19" x14ac:dyDescent="0.25">
      <c r="N41" s="4"/>
      <c r="O41" s="4"/>
    </row>
    <row r="42" spans="13:19" x14ac:dyDescent="0.25">
      <c r="N42" s="66">
        <f>SUM(N37:N40)</f>
        <v>100</v>
      </c>
      <c r="O42" s="66">
        <f t="shared" ref="O42:Q42" si="6">SUM(O37:O40)</f>
        <v>99.999999999999986</v>
      </c>
      <c r="P42" s="66">
        <f t="shared" si="6"/>
        <v>100.00000000000001</v>
      </c>
      <c r="Q42" s="66">
        <f t="shared" si="6"/>
        <v>100</v>
      </c>
    </row>
    <row r="43" spans="13:19" x14ac:dyDescent="0.25">
      <c r="N43" s="4"/>
    </row>
    <row r="45" spans="13:19" x14ac:dyDescent="0.25">
      <c r="M45" t="s">
        <v>29</v>
      </c>
      <c r="P45" s="4"/>
    </row>
    <row r="46" spans="13:19" x14ac:dyDescent="0.25">
      <c r="N46" s="57" t="s">
        <v>26</v>
      </c>
      <c r="O46" s="57" t="s">
        <v>27</v>
      </c>
      <c r="P46" s="57" t="s">
        <v>28</v>
      </c>
      <c r="Q46" s="57" t="s">
        <v>25</v>
      </c>
    </row>
    <row r="47" spans="13:19" x14ac:dyDescent="0.25">
      <c r="M47" t="s">
        <v>1</v>
      </c>
      <c r="N47" s="67">
        <f>N18</f>
        <v>41.223319709355131</v>
      </c>
      <c r="O47" s="67">
        <f>N18-N20</f>
        <v>26.795157811080838</v>
      </c>
      <c r="P47" s="67">
        <f>N18-N22</f>
        <v>17.519910876475929</v>
      </c>
      <c r="Q47" s="67">
        <f>N18-N24</f>
        <v>26.795157811080838</v>
      </c>
      <c r="S47" s="66"/>
    </row>
    <row r="48" spans="13:19" x14ac:dyDescent="0.25">
      <c r="M48" t="s">
        <v>14</v>
      </c>
      <c r="N48" s="67">
        <f>O18</f>
        <v>22.856494096276116</v>
      </c>
      <c r="O48" s="67">
        <f>O18-O20</f>
        <v>-31.592691243312039</v>
      </c>
      <c r="P48" s="67">
        <f>O18-O22</f>
        <v>-33.184970375053247</v>
      </c>
      <c r="Q48" s="67">
        <f>O18-O24</f>
        <v>-41.698980555951756</v>
      </c>
      <c r="S48" s="66"/>
    </row>
    <row r="49" spans="13:19" x14ac:dyDescent="0.25">
      <c r="M49" t="s">
        <v>2</v>
      </c>
      <c r="N49" s="67">
        <f>P18</f>
        <v>33.876589464123526</v>
      </c>
      <c r="O49" s="67">
        <f>P18-P20</f>
        <v>7.622232629427792</v>
      </c>
      <c r="P49" s="67">
        <f>P18-P22</f>
        <v>18.632124205267942</v>
      </c>
      <c r="Q49" s="67">
        <f>P18-P24</f>
        <v>18.632124205267942</v>
      </c>
      <c r="S49" s="66"/>
    </row>
    <row r="50" spans="13:19" x14ac:dyDescent="0.25">
      <c r="M50" t="s">
        <v>3</v>
      </c>
      <c r="N50" s="67">
        <f>Q18</f>
        <v>2.0435967302452314</v>
      </c>
      <c r="O50" s="67">
        <f>Q18-Q20</f>
        <v>-2.824699197196586</v>
      </c>
      <c r="P50" s="67">
        <f>Q18-Q22</f>
        <v>-2.9670647066906328</v>
      </c>
      <c r="Q50" s="67">
        <f>Q18-Q24</f>
        <v>-3.7283014603970361</v>
      </c>
      <c r="S50" s="66"/>
    </row>
  </sheetData>
  <mergeCells count="7">
    <mergeCell ref="L18:L24"/>
    <mergeCell ref="F1:K1"/>
    <mergeCell ref="N1:S1"/>
    <mergeCell ref="A8:A10"/>
    <mergeCell ref="A12:A14"/>
    <mergeCell ref="B1:D1"/>
    <mergeCell ref="A4:A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2.140625" customWidth="1"/>
    <col min="11" max="12" width="6.7109375" customWidth="1"/>
    <col min="18" max="18" width="4" customWidth="1"/>
    <col min="19" max="19" width="6.85546875" customWidth="1"/>
  </cols>
  <sheetData>
    <row r="1" spans="1:19" x14ac:dyDescent="0.25">
      <c r="B1" s="86" t="s">
        <v>8</v>
      </c>
      <c r="C1" s="86"/>
      <c r="D1" s="86"/>
      <c r="F1" s="86" t="s">
        <v>19</v>
      </c>
      <c r="G1" s="86"/>
      <c r="H1" s="86"/>
      <c r="I1" s="86"/>
      <c r="J1" s="86"/>
      <c r="K1" s="86"/>
      <c r="N1" s="81" t="s">
        <v>20</v>
      </c>
      <c r="O1" s="81"/>
      <c r="P1" s="81"/>
      <c r="Q1" s="81"/>
      <c r="R1" s="81"/>
      <c r="S1" s="81"/>
    </row>
    <row r="3" spans="1:19" ht="15.75" thickBot="1" x14ac:dyDescent="0.3">
      <c r="B3" s="2" t="s">
        <v>1</v>
      </c>
      <c r="C3" s="2" t="s">
        <v>2</v>
      </c>
      <c r="D3" s="2" t="s">
        <v>3</v>
      </c>
      <c r="F3" s="2" t="s">
        <v>1</v>
      </c>
      <c r="G3" s="2" t="s">
        <v>14</v>
      </c>
      <c r="H3" s="2" t="s">
        <v>2</v>
      </c>
      <c r="I3" s="68" t="s">
        <v>3</v>
      </c>
      <c r="K3" s="70" t="s">
        <v>15</v>
      </c>
      <c r="L3" s="2"/>
      <c r="N3" s="70" t="s">
        <v>1</v>
      </c>
      <c r="O3" s="70" t="s">
        <v>14</v>
      </c>
      <c r="P3" s="70" t="s">
        <v>2</v>
      </c>
      <c r="Q3" s="70" t="s">
        <v>3</v>
      </c>
      <c r="S3" s="70" t="s">
        <v>15</v>
      </c>
    </row>
    <row r="4" spans="1:19" x14ac:dyDescent="0.25">
      <c r="A4" s="78" t="s">
        <v>9</v>
      </c>
      <c r="B4" s="1">
        <f>0.5*(100-D4)</f>
        <v>16.5</v>
      </c>
      <c r="C4" s="1">
        <f>0.5*(100-D4)</f>
        <v>16.5</v>
      </c>
      <c r="D4">
        <v>67</v>
      </c>
      <c r="F4" s="45">
        <f>0.55*(100-G4-I4)</f>
        <v>39.564032697547688</v>
      </c>
      <c r="G4" s="46">
        <f>0.25*(100-I4)</f>
        <v>23.978201634877383</v>
      </c>
      <c r="H4" s="46">
        <f>0.45*(100-I4-G4)</f>
        <v>32.370572207084471</v>
      </c>
      <c r="I4" s="47">
        <f>(1/3.67)*RM_High!I4</f>
        <v>4.0871934604904636</v>
      </c>
      <c r="K4">
        <f>SUM(F4:I4)</f>
        <v>100.00000000000001</v>
      </c>
      <c r="N4">
        <f t="shared" ref="N4:Q6" si="0">(100/9)*F4/100</f>
        <v>4.3960036330608538</v>
      </c>
      <c r="O4">
        <f t="shared" si="0"/>
        <v>2.6642446260974868</v>
      </c>
      <c r="P4">
        <f t="shared" si="0"/>
        <v>3.5967302452316079</v>
      </c>
      <c r="Q4">
        <f t="shared" si="0"/>
        <v>0.45413260672116257</v>
      </c>
      <c r="S4">
        <f>SUM(N4:Q4)</f>
        <v>11.111111111111111</v>
      </c>
    </row>
    <row r="5" spans="1:19" x14ac:dyDescent="0.25">
      <c r="A5" s="73"/>
      <c r="B5" s="1">
        <f>0.5*(100-D5)</f>
        <v>7.5</v>
      </c>
      <c r="C5" s="1">
        <f>0.5*(100-D5)</f>
        <v>7.5</v>
      </c>
      <c r="D5">
        <v>85</v>
      </c>
      <c r="F5" s="21">
        <f>($F$4/($F$4+$G$4+$H$4))*(100-I5)</f>
        <v>37.878065395095369</v>
      </c>
      <c r="G5" s="12">
        <f>($G$4/($F$4+$G$4+$H$4))*(100-I5)</f>
        <v>22.956403269754766</v>
      </c>
      <c r="H5" s="12">
        <f>($H$4/($F$4+$G$4+$H$4))*(100-I5)</f>
        <v>30.991144414168939</v>
      </c>
      <c r="I5" s="48">
        <f>(1/3.67)*RM_High!I5</f>
        <v>8.1743869209809272</v>
      </c>
      <c r="K5">
        <f>SUM(F5:I5)</f>
        <v>100</v>
      </c>
      <c r="N5">
        <f t="shared" si="0"/>
        <v>4.2086739327883746</v>
      </c>
      <c r="O5">
        <f t="shared" si="0"/>
        <v>2.5507114744171959</v>
      </c>
      <c r="P5">
        <f t="shared" si="0"/>
        <v>3.4434604904632153</v>
      </c>
      <c r="Q5">
        <f t="shared" si="0"/>
        <v>0.90826521344232514</v>
      </c>
      <c r="S5">
        <f>SUM(N5:Q5)</f>
        <v>11.111111111111111</v>
      </c>
    </row>
    <row r="6" spans="1:19" x14ac:dyDescent="0.25">
      <c r="A6" s="73"/>
      <c r="B6" s="1">
        <f>0.5*(100-D6)</f>
        <v>2.5</v>
      </c>
      <c r="C6" s="1">
        <f>0.5*(100-D6)</f>
        <v>2.5</v>
      </c>
      <c r="D6">
        <v>95</v>
      </c>
      <c r="F6" s="21">
        <f>($F$4/($F$4+$G$4+$H$4))*(100-I6)</f>
        <v>37.316076294277927</v>
      </c>
      <c r="G6" s="12">
        <f>($G$4/($F$4+$G$4+$H$4))*(100-I6)</f>
        <v>22.615803814713892</v>
      </c>
      <c r="H6" s="12">
        <f>($H$4/($F$4+$G$4+$H$4))*(100-I6)</f>
        <v>30.531335149863761</v>
      </c>
      <c r="I6" s="48">
        <f>(1/3.67)*RM_High!I6</f>
        <v>9.536784741144416</v>
      </c>
      <c r="K6">
        <f>SUM(F6:I6)</f>
        <v>100</v>
      </c>
      <c r="N6">
        <f t="shared" si="0"/>
        <v>4.1462306993642137</v>
      </c>
      <c r="O6">
        <f t="shared" si="0"/>
        <v>2.5128670905237658</v>
      </c>
      <c r="P6">
        <f t="shared" si="0"/>
        <v>3.3923705722070845</v>
      </c>
      <c r="Q6">
        <f t="shared" si="0"/>
        <v>1.0596427490160463</v>
      </c>
      <c r="S6">
        <f>SUM(N6:Q6)</f>
        <v>11.111111111111111</v>
      </c>
    </row>
    <row r="7" spans="1:19" x14ac:dyDescent="0.25">
      <c r="A7" s="3"/>
      <c r="B7" s="1"/>
      <c r="C7" s="1"/>
      <c r="F7" s="21"/>
      <c r="G7" s="12"/>
      <c r="H7" s="12"/>
      <c r="I7" s="49"/>
    </row>
    <row r="8" spans="1:19" x14ac:dyDescent="0.25">
      <c r="A8" s="79" t="s">
        <v>10</v>
      </c>
      <c r="B8" s="1">
        <f>0.75*(100-D8)</f>
        <v>24.75</v>
      </c>
      <c r="C8" s="1">
        <f>0.25*(100-D8)</f>
        <v>8.25</v>
      </c>
      <c r="D8">
        <v>67</v>
      </c>
      <c r="F8" s="50">
        <f>0.85*(100-I8)</f>
        <v>81.525885558583099</v>
      </c>
      <c r="G8" s="51">
        <f>0.15*(100-I8)</f>
        <v>14.38692098092643</v>
      </c>
      <c r="H8" s="51">
        <f>0*(100-I8-G8)</f>
        <v>0</v>
      </c>
      <c r="I8" s="49">
        <f>I4</f>
        <v>4.0871934604904636</v>
      </c>
      <c r="K8">
        <f>SUM(F8:I8)</f>
        <v>100</v>
      </c>
      <c r="N8">
        <f t="shared" ref="N8:Q10" si="1">(100/9)*F8/100</f>
        <v>9.0584317287314544</v>
      </c>
      <c r="O8">
        <f t="shared" si="1"/>
        <v>1.5985467756584921</v>
      </c>
      <c r="P8">
        <f t="shared" si="1"/>
        <v>0</v>
      </c>
      <c r="Q8">
        <f t="shared" si="1"/>
        <v>0.45413260672116257</v>
      </c>
      <c r="S8">
        <f>SUM(N8:Q8)</f>
        <v>11.111111111111109</v>
      </c>
    </row>
    <row r="9" spans="1:19" x14ac:dyDescent="0.25">
      <c r="A9" s="73"/>
      <c r="B9" s="1">
        <f>0.75*(100-D9)</f>
        <v>11.25</v>
      </c>
      <c r="C9" s="1">
        <f>0.25*(100-D9)</f>
        <v>3.75</v>
      </c>
      <c r="D9">
        <v>85</v>
      </c>
      <c r="F9" s="21">
        <f>($F$8/($F$8+$G$8+$H$8))*(100-I9)</f>
        <v>78.051771117166211</v>
      </c>
      <c r="G9" s="12">
        <f>($G$8/($F$8+$G$8+$H$8))*(100-I9)</f>
        <v>13.773841961852861</v>
      </c>
      <c r="H9" s="12">
        <f>($H$8/($F$8+$G$8+$H$8))*(100-I9)</f>
        <v>0</v>
      </c>
      <c r="I9" s="49">
        <f>I5</f>
        <v>8.1743869209809272</v>
      </c>
      <c r="K9">
        <f>SUM(F9:I9)</f>
        <v>100</v>
      </c>
      <c r="N9">
        <f t="shared" si="1"/>
        <v>8.6724190130184677</v>
      </c>
      <c r="O9">
        <f t="shared" si="1"/>
        <v>1.530426884650318</v>
      </c>
      <c r="P9">
        <f t="shared" si="1"/>
        <v>0</v>
      </c>
      <c r="Q9">
        <f t="shared" si="1"/>
        <v>0.90826521344232514</v>
      </c>
      <c r="S9">
        <f>SUM(N9:Q9)</f>
        <v>11.111111111111111</v>
      </c>
    </row>
    <row r="10" spans="1:19" x14ac:dyDescent="0.25">
      <c r="A10" s="73"/>
      <c r="B10" s="1">
        <f>0.75*(100-D10)</f>
        <v>3.75</v>
      </c>
      <c r="C10" s="1">
        <f>0.25*(100-D10)</f>
        <v>1.25</v>
      </c>
      <c r="D10">
        <v>95</v>
      </c>
      <c r="F10" s="21">
        <f>($F$8/($F$8+$G$8+$H$8))*(100-I10)</f>
        <v>76.893732970027244</v>
      </c>
      <c r="G10" s="12">
        <f>($G$8/($F$8+$G$8+$H$8))*(100-I10)</f>
        <v>13.569482288828338</v>
      </c>
      <c r="H10" s="12">
        <f>($H$8/($F$8+$G$8+$H$8))*(100-I10)</f>
        <v>0</v>
      </c>
      <c r="I10" s="49">
        <f>I6</f>
        <v>9.536784741144416</v>
      </c>
      <c r="K10">
        <f>SUM(F10:I10)</f>
        <v>100</v>
      </c>
      <c r="N10">
        <f t="shared" si="1"/>
        <v>8.5437481077808055</v>
      </c>
      <c r="O10">
        <f t="shared" si="1"/>
        <v>1.5077202543142596</v>
      </c>
      <c r="P10">
        <f t="shared" si="1"/>
        <v>0</v>
      </c>
      <c r="Q10">
        <f t="shared" si="1"/>
        <v>1.0596427490160463</v>
      </c>
      <c r="S10">
        <f>SUM(N10:Q10)</f>
        <v>11.111111111111111</v>
      </c>
    </row>
    <row r="11" spans="1:19" x14ac:dyDescent="0.25">
      <c r="A11" s="3"/>
      <c r="B11" s="1"/>
      <c r="C11" s="1"/>
      <c r="F11" s="21"/>
      <c r="G11" s="12"/>
      <c r="H11" s="12"/>
      <c r="I11" s="49"/>
    </row>
    <row r="12" spans="1:19" x14ac:dyDescent="0.25">
      <c r="A12" s="79" t="s">
        <v>11</v>
      </c>
      <c r="B12" s="1">
        <f>0.25*(100-D12)</f>
        <v>8.25</v>
      </c>
      <c r="C12" s="1">
        <f>0.75*(100-D12)</f>
        <v>24.75</v>
      </c>
      <c r="D12">
        <v>67</v>
      </c>
      <c r="F12" s="50">
        <f>0.02*(100-I12)</f>
        <v>1.9182561307901906</v>
      </c>
      <c r="G12" s="51">
        <f>0.23*(100-I12)</f>
        <v>22.059945504087192</v>
      </c>
      <c r="H12" s="51">
        <f>0.75*(100-I12)</f>
        <v>71.934604904632153</v>
      </c>
      <c r="I12" s="49">
        <f>I4</f>
        <v>4.0871934604904636</v>
      </c>
      <c r="K12">
        <f>SUM(F12:I12)</f>
        <v>100</v>
      </c>
      <c r="N12">
        <f t="shared" ref="N12:Q14" si="2">(100/9)*F12/100</f>
        <v>0.21313957008779894</v>
      </c>
      <c r="O12">
        <f t="shared" si="2"/>
        <v>2.4511050560096881</v>
      </c>
      <c r="P12">
        <f t="shared" si="2"/>
        <v>7.9927338782924604</v>
      </c>
      <c r="Q12">
        <f t="shared" si="2"/>
        <v>0.45413260672116257</v>
      </c>
      <c r="S12">
        <f>SUM(N12:Q12)</f>
        <v>11.111111111111109</v>
      </c>
    </row>
    <row r="13" spans="1:19" x14ac:dyDescent="0.25">
      <c r="A13" s="73"/>
      <c r="B13" s="1">
        <f>0.25*(100-D13)</f>
        <v>3.75</v>
      </c>
      <c r="C13" s="1">
        <f>0.75*(100-D13)</f>
        <v>11.25</v>
      </c>
      <c r="D13">
        <v>85</v>
      </c>
      <c r="F13" s="21">
        <f>($F$12/($F$12+$G$12+$H$12))*(100-I13)</f>
        <v>1.8365122615803815</v>
      </c>
      <c r="G13" s="12">
        <f>($G$12/($F$12+$G$12+$H$12))*(100-I13)</f>
        <v>21.119891008174388</v>
      </c>
      <c r="H13" s="12">
        <f>($H$12/($F$12+$G$12+$H$12))*(100-I13)</f>
        <v>68.869209809264305</v>
      </c>
      <c r="I13" s="49">
        <f>I5</f>
        <v>8.1743869209809272</v>
      </c>
      <c r="K13">
        <f>SUM(F13:I13)</f>
        <v>100</v>
      </c>
      <c r="N13">
        <f t="shared" si="2"/>
        <v>0.20405691795337572</v>
      </c>
      <c r="O13">
        <f t="shared" si="2"/>
        <v>2.3466545564638208</v>
      </c>
      <c r="P13">
        <f t="shared" si="2"/>
        <v>7.6521344232515887</v>
      </c>
      <c r="Q13">
        <f t="shared" si="2"/>
        <v>0.90826521344232514</v>
      </c>
      <c r="S13">
        <f>SUM(N13:Q13)</f>
        <v>11.111111111111111</v>
      </c>
    </row>
    <row r="14" spans="1:19" ht="15.75" thickBot="1" x14ac:dyDescent="0.3">
      <c r="A14" s="73"/>
      <c r="B14" s="1">
        <f>0.25*(100-D14)</f>
        <v>1.25</v>
      </c>
      <c r="C14" s="1">
        <f>0.75*(100-D14)</f>
        <v>3.75</v>
      </c>
      <c r="D14">
        <v>95</v>
      </c>
      <c r="F14" s="31">
        <f>($F$12/($F$12+$G$12+$H$12))*(100-I14)</f>
        <v>1.8092643051771118</v>
      </c>
      <c r="G14" s="32">
        <f>($G$12/($F$12+$G$12+$H$12))*(100-I14)</f>
        <v>20.806539509536787</v>
      </c>
      <c r="H14" s="32">
        <f>($H$12/($F$12+$G$12+$H$12))*(100-I14)</f>
        <v>67.847411444141684</v>
      </c>
      <c r="I14" s="52">
        <f>I6</f>
        <v>9.536784741144416</v>
      </c>
      <c r="K14">
        <f>SUM(F14:I14)</f>
        <v>100</v>
      </c>
      <c r="N14">
        <f t="shared" si="2"/>
        <v>0.20102936724190129</v>
      </c>
      <c r="O14">
        <f t="shared" si="2"/>
        <v>2.3118377232818652</v>
      </c>
      <c r="P14">
        <f t="shared" si="2"/>
        <v>7.5386012715712978</v>
      </c>
      <c r="Q14">
        <f t="shared" si="2"/>
        <v>1.0596427490160463</v>
      </c>
      <c r="S14">
        <f>SUM(N14:Q14)</f>
        <v>11.111111111111111</v>
      </c>
    </row>
    <row r="16" spans="1:19" x14ac:dyDescent="0.25">
      <c r="M16" s="9" t="s">
        <v>15</v>
      </c>
      <c r="N16" s="4">
        <f>SUM(N4:N14)</f>
        <v>39.643732970027244</v>
      </c>
      <c r="O16" s="4">
        <f>SUM(O4:O14)</f>
        <v>19.474114441416891</v>
      </c>
      <c r="P16" s="4">
        <f>SUM(P4:P14)</f>
        <v>33.616030881017252</v>
      </c>
      <c r="Q16" s="4">
        <f>SUM(Q4:Q14)</f>
        <v>7.266121707538602</v>
      </c>
    </row>
    <row r="17" spans="12:19" x14ac:dyDescent="0.25">
      <c r="S17" s="2" t="s">
        <v>15</v>
      </c>
    </row>
    <row r="18" spans="12:19" x14ac:dyDescent="0.25">
      <c r="L18" s="82"/>
      <c r="M18" s="7" t="s">
        <v>16</v>
      </c>
      <c r="N18" s="10">
        <f>N16</f>
        <v>39.643732970027244</v>
      </c>
      <c r="O18" s="10">
        <f>O16</f>
        <v>19.474114441416891</v>
      </c>
      <c r="P18" s="10">
        <f>P16</f>
        <v>33.616030881017252</v>
      </c>
      <c r="Q18" s="10">
        <f>Q16</f>
        <v>7.266121707538602</v>
      </c>
      <c r="S18">
        <f>SUM(N18:Q18)</f>
        <v>99.999999999999986</v>
      </c>
    </row>
    <row r="19" spans="12:19" x14ac:dyDescent="0.25">
      <c r="L19" s="82"/>
      <c r="M19" s="7"/>
      <c r="N19" s="7"/>
      <c r="O19" s="7"/>
      <c r="P19" s="7"/>
      <c r="Q19" s="7"/>
    </row>
    <row r="20" spans="12:19" x14ac:dyDescent="0.25">
      <c r="L20" s="82"/>
      <c r="M20" s="7" t="s">
        <v>18</v>
      </c>
      <c r="N20" s="10">
        <f>N$18-(0.65*N$18)</f>
        <v>13.875306539509534</v>
      </c>
      <c r="O20" s="10">
        <f>O$18+(O$18/($O$18+$Q$18))*(($N$18-$N20)+($P$18-$P20))</f>
        <v>43.748837707396497</v>
      </c>
      <c r="P20" s="10">
        <f>P$18-(0.225*P$18)</f>
        <v>26.052423932788372</v>
      </c>
      <c r="Q20" s="10">
        <f>Q$18+(Q$18/($O$18+$Q$18))*(($N$18-$N20)+($P$18-$P20))</f>
        <v>16.323431820305586</v>
      </c>
      <c r="S20">
        <f>SUM(N20:Q20)</f>
        <v>99.999999999999986</v>
      </c>
    </row>
    <row r="21" spans="12:19" x14ac:dyDescent="0.25">
      <c r="L21" s="82"/>
      <c r="M21" s="7"/>
      <c r="N21" s="10"/>
      <c r="O21" s="10"/>
      <c r="P21" s="10"/>
      <c r="Q21" s="10"/>
    </row>
    <row r="22" spans="12:19" x14ac:dyDescent="0.25">
      <c r="L22" s="82"/>
      <c r="M22" s="7" t="s">
        <v>17</v>
      </c>
      <c r="N22" s="10">
        <f>N$18-(0.425*N$18)</f>
        <v>22.795146457765664</v>
      </c>
      <c r="O22" s="10">
        <f>O$18+(O$18/($O$18+$Q$18))*(($N$18-$N22)+($P$18-$P22))</f>
        <v>45.209288802863185</v>
      </c>
      <c r="P22" s="10">
        <f>P$18-(0.55*P$18)</f>
        <v>15.127213896457761</v>
      </c>
      <c r="Q22" s="10">
        <f>Q$18+(Q$18/($O$18+$Q$18))*(($N$18-$N22)+($P$18-$P22))</f>
        <v>16.868350842913372</v>
      </c>
      <c r="S22">
        <f>SUM(N22:Q22)</f>
        <v>99.999999999999986</v>
      </c>
    </row>
    <row r="23" spans="12:19" x14ac:dyDescent="0.25">
      <c r="L23" s="82"/>
      <c r="M23" s="7"/>
      <c r="N23" s="10"/>
      <c r="O23" s="10"/>
      <c r="P23" s="10"/>
      <c r="Q23" s="10"/>
    </row>
    <row r="24" spans="12:19" x14ac:dyDescent="0.25">
      <c r="L24" s="82"/>
      <c r="M24" s="7" t="s">
        <v>25</v>
      </c>
      <c r="N24" s="10">
        <f>N$18-(0.65*N$18)</f>
        <v>13.875306539509534</v>
      </c>
      <c r="O24" s="10">
        <f>O$18+(O$18/($O$18+$Q$18))*(($N$18-$N24)+($P$18-$P24))</f>
        <v>51.705341507843642</v>
      </c>
      <c r="P24" s="10">
        <f>P$18-(0.55*P$18)</f>
        <v>15.127213896457761</v>
      </c>
      <c r="Q24" s="10">
        <f>Q$18+(Q$18/($O$18+$Q$18))*(($N$18-$N24)+($P$18-$P24))</f>
        <v>19.292138056189042</v>
      </c>
      <c r="S24">
        <f>SUM(N24:Q24)</f>
        <v>99.999999999999986</v>
      </c>
    </row>
    <row r="26" spans="12:19" x14ac:dyDescent="0.25">
      <c r="M26" t="s">
        <v>33</v>
      </c>
    </row>
    <row r="27" spans="12:19" x14ac:dyDescent="0.25">
      <c r="N27" s="57" t="s">
        <v>26</v>
      </c>
      <c r="O27" s="57" t="s">
        <v>27</v>
      </c>
      <c r="P27" s="57" t="s">
        <v>28</v>
      </c>
      <c r="Q27" s="57" t="s">
        <v>25</v>
      </c>
    </row>
    <row r="28" spans="12:19" x14ac:dyDescent="0.25">
      <c r="M28" t="s">
        <v>1</v>
      </c>
      <c r="N28" s="66">
        <f>N37</f>
        <v>40</v>
      </c>
      <c r="O28" s="66">
        <f>MROUND(O37,5)</f>
        <v>15</v>
      </c>
      <c r="P28" s="66">
        <f t="shared" ref="P28:Q28" si="3">MROUND(P37,5)</f>
        <v>25</v>
      </c>
      <c r="Q28" s="66">
        <f t="shared" si="3"/>
        <v>15</v>
      </c>
    </row>
    <row r="29" spans="12:19" x14ac:dyDescent="0.25">
      <c r="M29" t="s">
        <v>14</v>
      </c>
      <c r="N29" s="66">
        <f>N38</f>
        <v>20</v>
      </c>
      <c r="O29" s="66">
        <f t="shared" ref="O29:Q31" si="4">MROUND(O38,5)</f>
        <v>45</v>
      </c>
      <c r="P29" s="66">
        <f t="shared" si="4"/>
        <v>45</v>
      </c>
      <c r="Q29" s="66">
        <v>55</v>
      </c>
    </row>
    <row r="30" spans="12:19" x14ac:dyDescent="0.25">
      <c r="M30" t="s">
        <v>2</v>
      </c>
      <c r="N30" s="66">
        <f>N39</f>
        <v>35</v>
      </c>
      <c r="O30" s="66">
        <f t="shared" si="4"/>
        <v>25</v>
      </c>
      <c r="P30" s="66">
        <f t="shared" si="4"/>
        <v>15</v>
      </c>
      <c r="Q30" s="66">
        <f t="shared" si="4"/>
        <v>15</v>
      </c>
    </row>
    <row r="31" spans="12:19" x14ac:dyDescent="0.25">
      <c r="M31" t="s">
        <v>3</v>
      </c>
      <c r="N31" s="66">
        <f>N40</f>
        <v>5</v>
      </c>
      <c r="O31" s="66">
        <f t="shared" si="4"/>
        <v>15</v>
      </c>
      <c r="P31" s="66">
        <f t="shared" si="4"/>
        <v>15</v>
      </c>
      <c r="Q31" s="66">
        <f t="shared" si="4"/>
        <v>15</v>
      </c>
    </row>
    <row r="32" spans="12:19" x14ac:dyDescent="0.25">
      <c r="N32" s="4"/>
      <c r="O32" s="4"/>
    </row>
    <row r="33" spans="13:17" x14ac:dyDescent="0.25">
      <c r="N33" s="66">
        <f>SUM(N28:N31)</f>
        <v>100</v>
      </c>
      <c r="O33" s="66">
        <f t="shared" ref="O33:Q33" si="5">SUM(O28:O31)</f>
        <v>100</v>
      </c>
      <c r="P33" s="66">
        <f t="shared" si="5"/>
        <v>100</v>
      </c>
      <c r="Q33" s="66">
        <f t="shared" si="5"/>
        <v>100</v>
      </c>
    </row>
    <row r="35" spans="13:17" x14ac:dyDescent="0.25">
      <c r="M35" t="s">
        <v>30</v>
      </c>
    </row>
    <row r="36" spans="13:17" x14ac:dyDescent="0.25">
      <c r="N36" s="57" t="s">
        <v>26</v>
      </c>
      <c r="O36" s="57" t="s">
        <v>27</v>
      </c>
      <c r="P36" s="57" t="s">
        <v>28</v>
      </c>
      <c r="Q36" s="57" t="s">
        <v>25</v>
      </c>
    </row>
    <row r="37" spans="13:17" x14ac:dyDescent="0.25">
      <c r="M37" t="s">
        <v>1</v>
      </c>
      <c r="N37" s="66">
        <v>40</v>
      </c>
      <c r="O37" s="67">
        <f>N37-O47</f>
        <v>14.23157356948229</v>
      </c>
      <c r="P37" s="67">
        <f>N37-P47</f>
        <v>23.15141348773842</v>
      </c>
      <c r="Q37" s="67">
        <f>N37-Q47</f>
        <v>14.23157356948229</v>
      </c>
    </row>
    <row r="38" spans="13:17" x14ac:dyDescent="0.25">
      <c r="M38" t="s">
        <v>14</v>
      </c>
      <c r="N38" s="66">
        <v>20</v>
      </c>
      <c r="O38" s="67">
        <f>N38-O48</f>
        <v>44.274723265979603</v>
      </c>
      <c r="P38" s="67">
        <f>N38-P48</f>
        <v>45.735174361446298</v>
      </c>
      <c r="Q38" s="67">
        <f>N38-Q48</f>
        <v>52.231227066426754</v>
      </c>
    </row>
    <row r="39" spans="13:17" x14ac:dyDescent="0.25">
      <c r="M39" t="s">
        <v>2</v>
      </c>
      <c r="N39" s="66">
        <v>35</v>
      </c>
      <c r="O39" s="67">
        <f>N39-O49</f>
        <v>27.43639305177112</v>
      </c>
      <c r="P39" s="67">
        <f>N39-P49</f>
        <v>16.511183015440508</v>
      </c>
      <c r="Q39" s="67">
        <f>N39-Q49</f>
        <v>16.511183015440508</v>
      </c>
    </row>
    <row r="40" spans="13:17" x14ac:dyDescent="0.25">
      <c r="M40" t="s">
        <v>3</v>
      </c>
      <c r="N40" s="66">
        <v>5</v>
      </c>
      <c r="O40" s="67">
        <f>N40-O50</f>
        <v>14.057310112766984</v>
      </c>
      <c r="P40" s="67">
        <f>N40-P50</f>
        <v>14.60222913537477</v>
      </c>
      <c r="Q40" s="67">
        <f>N40-Q50</f>
        <v>17.02601634865044</v>
      </c>
    </row>
    <row r="41" spans="13:17" x14ac:dyDescent="0.25">
      <c r="N41" s="4"/>
      <c r="O41" s="4"/>
    </row>
    <row r="42" spans="13:17" x14ac:dyDescent="0.25">
      <c r="N42" s="66">
        <f>SUM(N37:N40)</f>
        <v>100</v>
      </c>
      <c r="O42" s="66">
        <f t="shared" ref="O42:Q42" si="6">SUM(O37:O40)</f>
        <v>100</v>
      </c>
      <c r="P42" s="66">
        <f t="shared" si="6"/>
        <v>100</v>
      </c>
      <c r="Q42" s="66">
        <f t="shared" si="6"/>
        <v>100</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39.643732970027244</v>
      </c>
      <c r="O47" s="67">
        <f>N18-N20</f>
        <v>25.76842643051771</v>
      </c>
      <c r="P47" s="67">
        <f>N18-N22</f>
        <v>16.84858651226158</v>
      </c>
      <c r="Q47" s="67">
        <f>N18-N24</f>
        <v>25.76842643051771</v>
      </c>
    </row>
    <row r="48" spans="13:17" x14ac:dyDescent="0.25">
      <c r="M48" t="s">
        <v>14</v>
      </c>
      <c r="N48" s="67">
        <f>O18</f>
        <v>19.474114441416891</v>
      </c>
      <c r="O48" s="67">
        <f>O18-O20</f>
        <v>-24.274723265979606</v>
      </c>
      <c r="P48" s="67">
        <f>O18-O22</f>
        <v>-25.735174361446294</v>
      </c>
      <c r="Q48" s="67">
        <f>O18-O24</f>
        <v>-32.231227066426754</v>
      </c>
    </row>
    <row r="49" spans="13:17" x14ac:dyDescent="0.25">
      <c r="M49" t="s">
        <v>2</v>
      </c>
      <c r="N49" s="67">
        <f>P18</f>
        <v>33.616030881017252</v>
      </c>
      <c r="O49" s="67">
        <f>P18-P20</f>
        <v>7.5636069482288804</v>
      </c>
      <c r="P49" s="67">
        <f>P18-P22</f>
        <v>18.488816984559492</v>
      </c>
      <c r="Q49" s="67">
        <f>P18-P24</f>
        <v>18.488816984559492</v>
      </c>
    </row>
    <row r="50" spans="13:17" x14ac:dyDescent="0.25">
      <c r="M50" t="s">
        <v>3</v>
      </c>
      <c r="N50" s="67">
        <f>Q18</f>
        <v>7.266121707538602</v>
      </c>
      <c r="O50" s="67">
        <f>Q18-Q20</f>
        <v>-9.0573101127669844</v>
      </c>
      <c r="P50" s="67">
        <f>Q18-Q22</f>
        <v>-9.6022291353747704</v>
      </c>
      <c r="Q50" s="67">
        <f>Q18-Q24</f>
        <v>-12.02601634865044</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activeCell="B1" sqref="B1:D1"/>
    </sheetView>
  </sheetViews>
  <sheetFormatPr defaultRowHeight="15" x14ac:dyDescent="0.25"/>
  <cols>
    <col min="10" max="10" width="3" customWidth="1"/>
    <col min="11" max="12" width="6.140625" customWidth="1"/>
    <col min="18" max="18" width="3.28515625" customWidth="1"/>
    <col min="19" max="19" width="5.7109375" customWidth="1"/>
  </cols>
  <sheetData>
    <row r="1" spans="1:19" x14ac:dyDescent="0.25">
      <c r="B1" s="83" t="s">
        <v>0</v>
      </c>
      <c r="C1" s="83"/>
      <c r="D1" s="83"/>
      <c r="F1" s="83" t="s">
        <v>19</v>
      </c>
      <c r="G1" s="83"/>
      <c r="H1" s="83"/>
      <c r="I1" s="83"/>
      <c r="J1" s="83"/>
      <c r="K1" s="83"/>
      <c r="N1" s="81" t="s">
        <v>20</v>
      </c>
      <c r="O1" s="81"/>
      <c r="P1" s="81"/>
      <c r="Q1" s="81"/>
      <c r="R1" s="81"/>
      <c r="S1" s="81"/>
    </row>
    <row r="3" spans="1:19" ht="15.75" thickBot="1" x14ac:dyDescent="0.3">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3" t="s">
        <v>4</v>
      </c>
      <c r="B4">
        <v>67</v>
      </c>
      <c r="C4">
        <v>33</v>
      </c>
      <c r="D4">
        <v>0</v>
      </c>
      <c r="F4" s="26">
        <v>20</v>
      </c>
      <c r="G4" s="27">
        <v>80</v>
      </c>
      <c r="H4" s="27">
        <v>0</v>
      </c>
      <c r="I4" s="28">
        <v>0</v>
      </c>
      <c r="K4">
        <f>SUM(F4:I4)</f>
        <v>100</v>
      </c>
      <c r="N4">
        <f t="shared" ref="N4:Q6" si="0">(100/9)*F4/100</f>
        <v>2.2222222222222223</v>
      </c>
      <c r="O4">
        <f t="shared" si="0"/>
        <v>8.8888888888888893</v>
      </c>
      <c r="P4">
        <f t="shared" si="0"/>
        <v>0</v>
      </c>
      <c r="Q4">
        <f t="shared" si="0"/>
        <v>0</v>
      </c>
      <c r="S4">
        <f>SUM(N4:Q4)</f>
        <v>11.111111111111111</v>
      </c>
    </row>
    <row r="5" spans="1:19" x14ac:dyDescent="0.25">
      <c r="A5" s="73"/>
      <c r="B5" s="1">
        <f>0.67*70</f>
        <v>46.900000000000006</v>
      </c>
      <c r="C5" s="1">
        <f>100-B5-D5</f>
        <v>23.099999999999994</v>
      </c>
      <c r="D5">
        <v>30</v>
      </c>
      <c r="F5" s="20">
        <f>F4/100*(100-H5-I5)</f>
        <v>18.5</v>
      </c>
      <c r="G5" s="15">
        <f>G4/100*(100-H5-I5)</f>
        <v>74</v>
      </c>
      <c r="H5" s="16">
        <v>0</v>
      </c>
      <c r="I5" s="29">
        <v>7.5</v>
      </c>
      <c r="K5">
        <f>SUM(F5:I5)</f>
        <v>100</v>
      </c>
      <c r="N5">
        <f t="shared" si="0"/>
        <v>2.0555555555555554</v>
      </c>
      <c r="O5">
        <f t="shared" si="0"/>
        <v>8.2222222222222214</v>
      </c>
      <c r="P5">
        <f t="shared" si="0"/>
        <v>0</v>
      </c>
      <c r="Q5">
        <f t="shared" si="0"/>
        <v>0.83333333333333326</v>
      </c>
      <c r="S5">
        <f>SUM(N5:Q5)</f>
        <v>11.111111111111111</v>
      </c>
    </row>
    <row r="6" spans="1:19" x14ac:dyDescent="0.25">
      <c r="A6" s="73"/>
      <c r="B6" s="1">
        <f>0.67*40</f>
        <v>26.8</v>
      </c>
      <c r="C6" s="1">
        <f>100-B6-D6</f>
        <v>13.200000000000003</v>
      </c>
      <c r="D6">
        <v>60</v>
      </c>
      <c r="F6" s="20">
        <f>F4/100*(100-H6-I6)</f>
        <v>17</v>
      </c>
      <c r="G6" s="15">
        <f>G4/100*(100-H6-I6)</f>
        <v>68</v>
      </c>
      <c r="H6" s="16">
        <v>0</v>
      </c>
      <c r="I6" s="29">
        <v>15</v>
      </c>
      <c r="K6">
        <f>SUM(F6:I6)</f>
        <v>100</v>
      </c>
      <c r="N6">
        <f t="shared" si="0"/>
        <v>1.8888888888888888</v>
      </c>
      <c r="O6">
        <f t="shared" si="0"/>
        <v>7.5555555555555554</v>
      </c>
      <c r="P6">
        <f t="shared" si="0"/>
        <v>0</v>
      </c>
      <c r="Q6">
        <f t="shared" si="0"/>
        <v>1.6666666666666665</v>
      </c>
      <c r="S6">
        <f>SUM(N6:Q6)</f>
        <v>11.111111111111111</v>
      </c>
    </row>
    <row r="7" spans="1:19" x14ac:dyDescent="0.25">
      <c r="A7" s="3"/>
      <c r="F7" s="21"/>
      <c r="G7" s="12"/>
      <c r="H7" s="13"/>
      <c r="I7" s="18"/>
    </row>
    <row r="8" spans="1:19" x14ac:dyDescent="0.25">
      <c r="A8" s="73" t="s">
        <v>5</v>
      </c>
      <c r="B8">
        <v>85</v>
      </c>
      <c r="C8">
        <v>15</v>
      </c>
      <c r="D8">
        <v>0</v>
      </c>
      <c r="F8" s="19">
        <v>40</v>
      </c>
      <c r="G8" s="14">
        <v>60</v>
      </c>
      <c r="H8" s="14">
        <v>0</v>
      </c>
      <c r="I8" s="18">
        <f>I4</f>
        <v>0</v>
      </c>
      <c r="K8">
        <f>SUM(F8:I8)</f>
        <v>100</v>
      </c>
      <c r="N8">
        <f t="shared" ref="N8:Q10" si="1">(100/9)*F8/100</f>
        <v>4.4444444444444446</v>
      </c>
      <c r="O8">
        <f t="shared" si="1"/>
        <v>6.6666666666666661</v>
      </c>
      <c r="P8">
        <f t="shared" si="1"/>
        <v>0</v>
      </c>
      <c r="Q8">
        <f t="shared" si="1"/>
        <v>0</v>
      </c>
      <c r="S8">
        <f>SUM(N8:Q8)</f>
        <v>11.111111111111111</v>
      </c>
    </row>
    <row r="9" spans="1:19" x14ac:dyDescent="0.25">
      <c r="A9" s="73"/>
      <c r="B9" s="1">
        <f>0.85*70</f>
        <v>59.5</v>
      </c>
      <c r="C9" s="1">
        <f>0.15*70</f>
        <v>10.5</v>
      </c>
      <c r="D9">
        <v>30</v>
      </c>
      <c r="F9" s="20">
        <f>F8/100*(100-H9-I9)</f>
        <v>37</v>
      </c>
      <c r="G9" s="15">
        <f>G8/100*(100-H9-I9)</f>
        <v>55.5</v>
      </c>
      <c r="H9" s="14">
        <f>SB_Low!H9</f>
        <v>0</v>
      </c>
      <c r="I9" s="18">
        <f>I5</f>
        <v>7.5</v>
      </c>
      <c r="K9">
        <f>SUM(F9:I9)</f>
        <v>100</v>
      </c>
      <c r="N9">
        <f t="shared" si="1"/>
        <v>4.1111111111111107</v>
      </c>
      <c r="O9">
        <f t="shared" si="1"/>
        <v>6.1666666666666661</v>
      </c>
      <c r="P9">
        <f t="shared" si="1"/>
        <v>0</v>
      </c>
      <c r="Q9">
        <f t="shared" si="1"/>
        <v>0.83333333333333326</v>
      </c>
      <c r="S9">
        <f>SUM(N9:Q9)</f>
        <v>11.111111111111111</v>
      </c>
    </row>
    <row r="10" spans="1:19" x14ac:dyDescent="0.25">
      <c r="A10" s="73"/>
      <c r="B10" s="1">
        <f>0.85*40</f>
        <v>34</v>
      </c>
      <c r="C10" s="1">
        <f>0.15*40</f>
        <v>6</v>
      </c>
      <c r="D10">
        <v>60</v>
      </c>
      <c r="F10" s="20">
        <f>F8/100*(100-H10-I10)</f>
        <v>34</v>
      </c>
      <c r="G10" s="15">
        <f>G8/100*(100-H10-I10)</f>
        <v>51</v>
      </c>
      <c r="H10" s="14">
        <f>SB_Low!H10</f>
        <v>0</v>
      </c>
      <c r="I10" s="18">
        <f>I6</f>
        <v>15</v>
      </c>
      <c r="K10">
        <f>SUM(F10:I10)</f>
        <v>100</v>
      </c>
      <c r="N10">
        <f t="shared" si="1"/>
        <v>3.7777777777777777</v>
      </c>
      <c r="O10">
        <f t="shared" si="1"/>
        <v>5.6666666666666661</v>
      </c>
      <c r="P10">
        <f t="shared" si="1"/>
        <v>0</v>
      </c>
      <c r="Q10">
        <f t="shared" si="1"/>
        <v>1.6666666666666665</v>
      </c>
      <c r="S10">
        <f>SUM(N10:Q10)</f>
        <v>11.111111111111109</v>
      </c>
    </row>
    <row r="11" spans="1:19" x14ac:dyDescent="0.25">
      <c r="A11" s="3"/>
      <c r="F11" s="17"/>
      <c r="G11" s="13"/>
      <c r="H11" s="13"/>
      <c r="I11" s="18"/>
    </row>
    <row r="12" spans="1:19" x14ac:dyDescent="0.25">
      <c r="A12" s="73" t="s">
        <v>6</v>
      </c>
      <c r="B12">
        <v>95</v>
      </c>
      <c r="C12">
        <v>5</v>
      </c>
      <c r="D12">
        <v>0</v>
      </c>
      <c r="F12" s="19">
        <v>50</v>
      </c>
      <c r="G12" s="14">
        <v>50</v>
      </c>
      <c r="H12" s="14">
        <v>0</v>
      </c>
      <c r="I12" s="18">
        <f>I4</f>
        <v>0</v>
      </c>
      <c r="K12">
        <f>SUM(F12:I12)</f>
        <v>100</v>
      </c>
      <c r="N12">
        <f t="shared" ref="N12:Q14" si="2">(100/9)*F12/100</f>
        <v>5.5555555555555554</v>
      </c>
      <c r="O12">
        <f t="shared" si="2"/>
        <v>5.5555555555555554</v>
      </c>
      <c r="P12">
        <f t="shared" si="2"/>
        <v>0</v>
      </c>
      <c r="Q12">
        <f t="shared" si="2"/>
        <v>0</v>
      </c>
      <c r="S12">
        <f>SUM(N12:Q12)</f>
        <v>11.111111111111111</v>
      </c>
    </row>
    <row r="13" spans="1:19" x14ac:dyDescent="0.25">
      <c r="A13" s="73"/>
      <c r="B13" s="1">
        <f>0.95*70</f>
        <v>66.5</v>
      </c>
      <c r="C13" s="1">
        <f>0.05*70</f>
        <v>3.5</v>
      </c>
      <c r="D13">
        <v>30</v>
      </c>
      <c r="F13" s="20">
        <f>F12/100*(100-H13-I13)</f>
        <v>46.25</v>
      </c>
      <c r="G13" s="15">
        <f>G12/100*(100-H13-I13)</f>
        <v>46.25</v>
      </c>
      <c r="H13" s="14">
        <f>SB_Low!H13</f>
        <v>0</v>
      </c>
      <c r="I13" s="18">
        <f>I5</f>
        <v>7.5</v>
      </c>
      <c r="K13">
        <f>SUM(F13:I13)</f>
        <v>100</v>
      </c>
      <c r="N13">
        <f t="shared" si="2"/>
        <v>5.1388888888888893</v>
      </c>
      <c r="O13">
        <f t="shared" si="2"/>
        <v>5.1388888888888893</v>
      </c>
      <c r="P13">
        <f t="shared" si="2"/>
        <v>0</v>
      </c>
      <c r="Q13">
        <f t="shared" si="2"/>
        <v>0.83333333333333326</v>
      </c>
      <c r="S13">
        <f>SUM(N13:Q13)</f>
        <v>11.111111111111112</v>
      </c>
    </row>
    <row r="14" spans="1:19" ht="15.75" thickBot="1" x14ac:dyDescent="0.3">
      <c r="A14" s="73"/>
      <c r="B14" s="1">
        <f>0.95*40</f>
        <v>38</v>
      </c>
      <c r="C14" s="1">
        <f>0.05*40</f>
        <v>2</v>
      </c>
      <c r="D14">
        <v>60</v>
      </c>
      <c r="F14" s="22">
        <f>F12/100*(100-H14-I14)</f>
        <v>42.5</v>
      </c>
      <c r="G14" s="23">
        <f>G12/100*(100-H14-I14)</f>
        <v>42.5</v>
      </c>
      <c r="H14" s="24">
        <f>SB_Low!H14</f>
        <v>0</v>
      </c>
      <c r="I14" s="25">
        <f>I6</f>
        <v>15</v>
      </c>
      <c r="K14">
        <f>SUM(F14:I14)</f>
        <v>100</v>
      </c>
      <c r="N14">
        <f t="shared" si="2"/>
        <v>4.7222222222222223</v>
      </c>
      <c r="O14">
        <f t="shared" si="2"/>
        <v>4.7222222222222223</v>
      </c>
      <c r="P14">
        <f t="shared" si="2"/>
        <v>0</v>
      </c>
      <c r="Q14">
        <f t="shared" si="2"/>
        <v>1.6666666666666665</v>
      </c>
      <c r="S14">
        <f>SUM(N14:Q14)</f>
        <v>11.111111111111111</v>
      </c>
    </row>
    <row r="16" spans="1:19" x14ac:dyDescent="0.25">
      <c r="M16" s="9" t="s">
        <v>15</v>
      </c>
      <c r="N16" s="4">
        <f>SUM(N4:N14)</f>
        <v>33.916666666666671</v>
      </c>
      <c r="O16" s="4">
        <f>SUM(O4:O14)</f>
        <v>58.583333333333321</v>
      </c>
      <c r="P16" s="4">
        <f>SUM(P4:P14)</f>
        <v>0</v>
      </c>
      <c r="Q16" s="4">
        <f>SUM(Q4:Q14)</f>
        <v>7.5</v>
      </c>
    </row>
    <row r="17" spans="12:19" x14ac:dyDescent="0.25">
      <c r="S17" s="2" t="s">
        <v>15</v>
      </c>
    </row>
    <row r="18" spans="12:19" x14ac:dyDescent="0.25">
      <c r="L18" s="82"/>
      <c r="M18" s="7" t="s">
        <v>16</v>
      </c>
      <c r="N18" s="8">
        <f>N16</f>
        <v>33.916666666666671</v>
      </c>
      <c r="O18" s="8">
        <f>O16</f>
        <v>58.583333333333321</v>
      </c>
      <c r="P18" s="8">
        <f>P16</f>
        <v>0</v>
      </c>
      <c r="Q18" s="8">
        <f>Q16</f>
        <v>7.5</v>
      </c>
      <c r="S18">
        <f>SUM(N18:Q18)</f>
        <v>100</v>
      </c>
    </row>
    <row r="19" spans="12:19" x14ac:dyDescent="0.25">
      <c r="L19" s="82"/>
      <c r="M19" s="7"/>
      <c r="N19" s="8"/>
      <c r="O19" s="8"/>
      <c r="P19" s="8"/>
      <c r="Q19" s="8"/>
    </row>
    <row r="20" spans="12:19" x14ac:dyDescent="0.25">
      <c r="L20" s="82"/>
      <c r="M20" s="7" t="s">
        <v>18</v>
      </c>
      <c r="N20" s="10">
        <f>N$18-(0.1*N$18)</f>
        <v>30.525000000000006</v>
      </c>
      <c r="O20" s="10">
        <f>O$18+(O$18/($O$18+$Q$18))*(($N$18-$N20)+($P$18-$P20))</f>
        <v>61.590069356872625</v>
      </c>
      <c r="P20" s="10">
        <f>P$18-(0*P$18)</f>
        <v>0</v>
      </c>
      <c r="Q20" s="10">
        <f>Q$18+(Q$18/($O$18+$Q$18))*(($N$18-$N20)+($P$18-$P20))</f>
        <v>7.8849306431273645</v>
      </c>
      <c r="S20">
        <f>SUM(N20:Q20)</f>
        <v>99.999999999999986</v>
      </c>
    </row>
    <row r="21" spans="12:19" x14ac:dyDescent="0.25">
      <c r="L21" s="82"/>
      <c r="M21" s="7"/>
      <c r="N21" s="10"/>
      <c r="O21" s="10"/>
      <c r="P21" s="10"/>
      <c r="Q21" s="10"/>
    </row>
    <row r="22" spans="12:19" x14ac:dyDescent="0.25">
      <c r="L22" s="82"/>
      <c r="M22" s="7" t="s">
        <v>17</v>
      </c>
      <c r="N22" s="10">
        <f>N$18-(0*N$18)</f>
        <v>33.916666666666671</v>
      </c>
      <c r="O22" s="10">
        <f>O$18+(O$18/($O$18+$Q$18))*(($N$18-$N22)+($P$18-$P22))</f>
        <v>58.583333333333321</v>
      </c>
      <c r="P22" s="10">
        <f>P$18-(0*P$18)</f>
        <v>0</v>
      </c>
      <c r="Q22" s="10">
        <f>Q$18+(Q$18/($O$18+$Q$18))*(($N$18-$N22)+($P$18-$P22))</f>
        <v>7.5</v>
      </c>
      <c r="S22">
        <f>SUM(N22:Q22)</f>
        <v>100</v>
      </c>
    </row>
    <row r="23" spans="12:19" x14ac:dyDescent="0.25">
      <c r="L23" s="82"/>
      <c r="M23" s="7"/>
      <c r="N23" s="10"/>
      <c r="O23" s="10"/>
      <c r="P23" s="10"/>
      <c r="Q23" s="10"/>
    </row>
    <row r="24" spans="12:19" x14ac:dyDescent="0.25">
      <c r="L24" s="82"/>
      <c r="M24" s="7" t="s">
        <v>25</v>
      </c>
      <c r="N24" s="10">
        <f>N$18-(0.1*N$18)</f>
        <v>30.525000000000006</v>
      </c>
      <c r="O24" s="10">
        <f>O$18+(O$18/($O$18+$Q$18))*(($N$18-$N24)+($P$18-$P24))</f>
        <v>61.590069356872625</v>
      </c>
      <c r="P24" s="10">
        <f>P$18-(0*P$18)</f>
        <v>0</v>
      </c>
      <c r="Q24" s="10">
        <f>Q$18+(Q$18/($O$18+$Q$18))*(($N$18-$N24)+($P$18-$P24))</f>
        <v>7.8849306431273645</v>
      </c>
      <c r="S24">
        <f>SUM(N24:Q24)</f>
        <v>99.999999999999986</v>
      </c>
    </row>
    <row r="26" spans="12:19" x14ac:dyDescent="0.25">
      <c r="M26" t="s">
        <v>33</v>
      </c>
    </row>
    <row r="27" spans="12:19" x14ac:dyDescent="0.25">
      <c r="N27" s="57" t="s">
        <v>26</v>
      </c>
      <c r="O27" s="57" t="s">
        <v>27</v>
      </c>
      <c r="P27" s="57" t="s">
        <v>28</v>
      </c>
      <c r="Q27" s="57" t="s">
        <v>25</v>
      </c>
    </row>
    <row r="28" spans="12:19" x14ac:dyDescent="0.25">
      <c r="M28" t="s">
        <v>1</v>
      </c>
      <c r="N28" s="66">
        <f>N37</f>
        <v>35</v>
      </c>
      <c r="O28" s="66">
        <f t="shared" ref="O28:Q28" si="3">MROUND(O37,5)</f>
        <v>30</v>
      </c>
      <c r="P28" s="66">
        <f t="shared" si="3"/>
        <v>35</v>
      </c>
      <c r="Q28" s="66">
        <f t="shared" si="3"/>
        <v>30</v>
      </c>
    </row>
    <row r="29" spans="12:19" x14ac:dyDescent="0.25">
      <c r="M29" t="s">
        <v>14</v>
      </c>
      <c r="N29" s="66">
        <f>N38</f>
        <v>60</v>
      </c>
      <c r="O29" s="66">
        <f t="shared" ref="O29:Q29" si="4">MROUND(O38,5)</f>
        <v>65</v>
      </c>
      <c r="P29" s="66">
        <f t="shared" si="4"/>
        <v>60</v>
      </c>
      <c r="Q29" s="66">
        <f t="shared" si="4"/>
        <v>65</v>
      </c>
    </row>
    <row r="30" spans="12:19" x14ac:dyDescent="0.25">
      <c r="M30" t="s">
        <v>2</v>
      </c>
      <c r="N30" s="66">
        <f>N39</f>
        <v>0</v>
      </c>
      <c r="O30" s="66">
        <f t="shared" ref="O30:Q30" si="5">MROUND(O39,5)</f>
        <v>0</v>
      </c>
      <c r="P30" s="66">
        <f t="shared" si="5"/>
        <v>0</v>
      </c>
      <c r="Q30" s="66">
        <f t="shared" si="5"/>
        <v>0</v>
      </c>
    </row>
    <row r="31" spans="12:19" x14ac:dyDescent="0.25">
      <c r="M31" t="s">
        <v>3</v>
      </c>
      <c r="N31" s="66">
        <f>N40</f>
        <v>5</v>
      </c>
      <c r="O31" s="66">
        <f t="shared" ref="O31:Q31" si="6">MROUND(O40,5)</f>
        <v>5</v>
      </c>
      <c r="P31" s="66">
        <f t="shared" si="6"/>
        <v>5</v>
      </c>
      <c r="Q31" s="66">
        <f t="shared" si="6"/>
        <v>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30</v>
      </c>
    </row>
    <row r="36" spans="13:17" x14ac:dyDescent="0.25">
      <c r="N36" s="57" t="s">
        <v>26</v>
      </c>
      <c r="O36" s="57" t="s">
        <v>27</v>
      </c>
      <c r="P36" s="57" t="s">
        <v>28</v>
      </c>
      <c r="Q36" s="57" t="s">
        <v>25</v>
      </c>
    </row>
    <row r="37" spans="13:17" x14ac:dyDescent="0.25">
      <c r="M37" t="s">
        <v>1</v>
      </c>
      <c r="N37" s="66">
        <v>35</v>
      </c>
      <c r="O37" s="67">
        <f>N37-O47</f>
        <v>31.608333333333334</v>
      </c>
      <c r="P37" s="67">
        <f>N37-P47</f>
        <v>35</v>
      </c>
      <c r="Q37" s="67">
        <f>N37-Q47</f>
        <v>31.608333333333334</v>
      </c>
    </row>
    <row r="38" spans="13:17" x14ac:dyDescent="0.25">
      <c r="M38" t="s">
        <v>14</v>
      </c>
      <c r="N38" s="66">
        <v>60</v>
      </c>
      <c r="O38" s="67">
        <f>N38-O48</f>
        <v>63.006736023539304</v>
      </c>
      <c r="P38" s="67">
        <f>N38-P48</f>
        <v>60</v>
      </c>
      <c r="Q38" s="67">
        <f>N38-Q48</f>
        <v>63.006736023539304</v>
      </c>
    </row>
    <row r="39" spans="13:17" x14ac:dyDescent="0.25">
      <c r="M39" t="s">
        <v>2</v>
      </c>
      <c r="N39" s="66">
        <v>0</v>
      </c>
      <c r="O39" s="67">
        <f>N39-O49</f>
        <v>0</v>
      </c>
      <c r="P39" s="67">
        <f>N39-P49</f>
        <v>0</v>
      </c>
      <c r="Q39" s="67">
        <f>N39-Q49</f>
        <v>0</v>
      </c>
    </row>
    <row r="40" spans="13:17" x14ac:dyDescent="0.25">
      <c r="M40" t="s">
        <v>3</v>
      </c>
      <c r="N40" s="66">
        <v>5</v>
      </c>
      <c r="O40" s="67">
        <f>N40-O50</f>
        <v>5.3849306431273645</v>
      </c>
      <c r="P40" s="67">
        <f>N40-P50</f>
        <v>5</v>
      </c>
      <c r="Q40" s="67">
        <f>N40-Q50</f>
        <v>5.3849306431273645</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33.916666666666671</v>
      </c>
      <c r="O47" s="67">
        <f>N18-N20</f>
        <v>3.3916666666666657</v>
      </c>
      <c r="P47" s="67">
        <f>N18-N22</f>
        <v>0</v>
      </c>
      <c r="Q47" s="67">
        <f>N18-N24</f>
        <v>3.3916666666666657</v>
      </c>
    </row>
    <row r="48" spans="13:17" x14ac:dyDescent="0.25">
      <c r="M48" t="s">
        <v>14</v>
      </c>
      <c r="N48" s="67">
        <f>O18</f>
        <v>58.583333333333321</v>
      </c>
      <c r="O48" s="67">
        <f>O18-O20</f>
        <v>-3.0067360235393039</v>
      </c>
      <c r="P48" s="67">
        <f>O18-O22</f>
        <v>0</v>
      </c>
      <c r="Q48" s="67">
        <f>O18-O24</f>
        <v>-3.0067360235393039</v>
      </c>
    </row>
    <row r="49" spans="13:17" x14ac:dyDescent="0.25">
      <c r="M49" t="s">
        <v>2</v>
      </c>
      <c r="N49" s="67">
        <f>P18</f>
        <v>0</v>
      </c>
      <c r="O49" s="67">
        <f>P18-P20</f>
        <v>0</v>
      </c>
      <c r="P49" s="67">
        <f>P18-P22</f>
        <v>0</v>
      </c>
      <c r="Q49" s="67">
        <f>P18-P24</f>
        <v>0</v>
      </c>
    </row>
    <row r="50" spans="13:17" x14ac:dyDescent="0.25">
      <c r="M50" t="s">
        <v>3</v>
      </c>
      <c r="N50" s="67">
        <f>Q18</f>
        <v>7.5</v>
      </c>
      <c r="O50" s="67">
        <f>Q18-Q20</f>
        <v>-0.38493064312736447</v>
      </c>
      <c r="P50" s="67">
        <f>Q18-Q22</f>
        <v>0</v>
      </c>
      <c r="Q50" s="67">
        <f>Q18-Q24</f>
        <v>-0.38493064312736447</v>
      </c>
    </row>
  </sheetData>
  <mergeCells count="7">
    <mergeCell ref="N1:S1"/>
    <mergeCell ref="L18:L24"/>
    <mergeCell ref="B1:D1"/>
    <mergeCell ref="A4:A6"/>
    <mergeCell ref="A8:A10"/>
    <mergeCell ref="A12:A14"/>
    <mergeCell ref="F1:K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3" customWidth="1"/>
    <col min="11" max="12" width="6.7109375" customWidth="1"/>
    <col min="18" max="18" width="4.42578125" customWidth="1"/>
    <col min="19" max="19" width="6.140625" customWidth="1"/>
  </cols>
  <sheetData>
    <row r="1" spans="1:19" x14ac:dyDescent="0.25">
      <c r="B1" s="87" t="s">
        <v>7</v>
      </c>
      <c r="C1" s="87"/>
      <c r="D1" s="87"/>
      <c r="F1" s="84" t="s">
        <v>19</v>
      </c>
      <c r="G1" s="84"/>
      <c r="H1" s="84"/>
      <c r="I1" s="84"/>
      <c r="J1" s="84"/>
      <c r="K1" s="84"/>
      <c r="L1" s="69"/>
      <c r="N1" s="81" t="s">
        <v>20</v>
      </c>
      <c r="O1" s="81"/>
      <c r="P1" s="81"/>
      <c r="Q1" s="81"/>
      <c r="R1" s="81"/>
      <c r="S1" s="81"/>
    </row>
    <row r="3" spans="1:19" ht="15.75" thickBot="1" x14ac:dyDescent="0.3">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3" t="s">
        <v>4</v>
      </c>
      <c r="B4">
        <v>33</v>
      </c>
      <c r="C4">
        <v>67</v>
      </c>
      <c r="D4">
        <v>0</v>
      </c>
      <c r="F4" s="58">
        <v>0</v>
      </c>
      <c r="G4" s="59">
        <v>90</v>
      </c>
      <c r="H4" s="59">
        <v>10</v>
      </c>
      <c r="I4" s="53">
        <v>0</v>
      </c>
      <c r="K4">
        <f>SUM(F4:I4)</f>
        <v>100</v>
      </c>
      <c r="N4">
        <f t="shared" ref="N4:Q6" si="0">(100/9)*F4/100</f>
        <v>0</v>
      </c>
      <c r="O4">
        <f t="shared" si="0"/>
        <v>10</v>
      </c>
      <c r="P4">
        <f t="shared" si="0"/>
        <v>1.1111111111111112</v>
      </c>
      <c r="Q4">
        <f t="shared" si="0"/>
        <v>0</v>
      </c>
      <c r="S4">
        <f>SUM(N4:Q4)</f>
        <v>11.111111111111111</v>
      </c>
    </row>
    <row r="5" spans="1:19" x14ac:dyDescent="0.25">
      <c r="A5" s="73"/>
      <c r="B5" s="1">
        <f>0.33*70</f>
        <v>23.1</v>
      </c>
      <c r="C5" s="1">
        <f>0.67*70</f>
        <v>46.900000000000006</v>
      </c>
      <c r="D5">
        <v>30</v>
      </c>
      <c r="F5" s="60">
        <v>0</v>
      </c>
      <c r="G5" s="12">
        <f>($G$4/($G$4+$H$4))*(100-F5-I5)</f>
        <v>83.25</v>
      </c>
      <c r="H5" s="12">
        <f>($H$4/($G$4+$H$4))*(100-F5-I5)</f>
        <v>9.25</v>
      </c>
      <c r="I5" s="54">
        <v>7.5</v>
      </c>
      <c r="K5">
        <f>SUM(F5:I5)</f>
        <v>100</v>
      </c>
      <c r="N5">
        <f t="shared" si="0"/>
        <v>0</v>
      </c>
      <c r="O5">
        <f t="shared" si="0"/>
        <v>9.25</v>
      </c>
      <c r="P5">
        <f t="shared" si="0"/>
        <v>1.0277777777777777</v>
      </c>
      <c r="Q5">
        <f t="shared" si="0"/>
        <v>0.83333333333333326</v>
      </c>
      <c r="S5">
        <f>SUM(N5:Q5)</f>
        <v>11.111111111111112</v>
      </c>
    </row>
    <row r="6" spans="1:19" x14ac:dyDescent="0.25">
      <c r="A6" s="73"/>
      <c r="B6" s="1">
        <f>0.33*40</f>
        <v>13.200000000000001</v>
      </c>
      <c r="C6" s="1">
        <f>0.67*40</f>
        <v>26.8</v>
      </c>
      <c r="D6">
        <v>60</v>
      </c>
      <c r="F6" s="60">
        <v>0</v>
      </c>
      <c r="G6" s="12">
        <f>($G$4/($G$4+$H$4))*(100-F6-I6)</f>
        <v>76.5</v>
      </c>
      <c r="H6" s="12">
        <f>($H$4/($G$4+$H$4))*(100-F6-I6)</f>
        <v>8.5</v>
      </c>
      <c r="I6" s="54">
        <v>15</v>
      </c>
      <c r="K6">
        <f>SUM(F6:I6)</f>
        <v>100</v>
      </c>
      <c r="N6">
        <f t="shared" si="0"/>
        <v>0</v>
      </c>
      <c r="O6">
        <f t="shared" si="0"/>
        <v>8.5</v>
      </c>
      <c r="P6">
        <f t="shared" si="0"/>
        <v>0.94444444444444442</v>
      </c>
      <c r="Q6">
        <f t="shared" si="0"/>
        <v>1.6666666666666665</v>
      </c>
      <c r="S6">
        <f>SUM(N6:Q6)</f>
        <v>11.111111111111111</v>
      </c>
    </row>
    <row r="7" spans="1:19" x14ac:dyDescent="0.25">
      <c r="A7" s="3"/>
      <c r="F7" s="21"/>
      <c r="G7" s="12"/>
      <c r="H7" s="13"/>
      <c r="I7" s="18"/>
    </row>
    <row r="8" spans="1:19" x14ac:dyDescent="0.25">
      <c r="A8" s="73" t="s">
        <v>5</v>
      </c>
      <c r="B8">
        <v>15</v>
      </c>
      <c r="C8">
        <v>85</v>
      </c>
      <c r="D8">
        <v>0</v>
      </c>
      <c r="F8" s="60">
        <v>0</v>
      </c>
      <c r="G8" s="61">
        <f>100-H8-I8</f>
        <v>75</v>
      </c>
      <c r="H8" s="61">
        <v>25</v>
      </c>
      <c r="I8" s="18">
        <f>I4</f>
        <v>0</v>
      </c>
      <c r="K8">
        <f>SUM(F8:I8)</f>
        <v>100</v>
      </c>
      <c r="N8">
        <f t="shared" ref="N8:Q10" si="1">(100/9)*F8/100</f>
        <v>0</v>
      </c>
      <c r="O8">
        <f t="shared" si="1"/>
        <v>8.3333333333333321</v>
      </c>
      <c r="P8">
        <f t="shared" si="1"/>
        <v>2.7777777777777777</v>
      </c>
      <c r="Q8">
        <f t="shared" si="1"/>
        <v>0</v>
      </c>
      <c r="S8">
        <f>SUM(N8:Q8)</f>
        <v>11.111111111111111</v>
      </c>
    </row>
    <row r="9" spans="1:19" x14ac:dyDescent="0.25">
      <c r="A9" s="73"/>
      <c r="B9" s="1">
        <f>0.15*70</f>
        <v>10.5</v>
      </c>
      <c r="C9" s="1">
        <f>0.85*70</f>
        <v>59.5</v>
      </c>
      <c r="D9">
        <v>30</v>
      </c>
      <c r="F9" s="60">
        <v>0</v>
      </c>
      <c r="G9" s="12">
        <f>($G8/100)*(100-$I9)</f>
        <v>69.375</v>
      </c>
      <c r="H9" s="12">
        <f>($H8/100)*(100-$I9)</f>
        <v>23.125</v>
      </c>
      <c r="I9" s="18">
        <f>I5</f>
        <v>7.5</v>
      </c>
      <c r="K9">
        <f>SUM(F9:I9)</f>
        <v>100</v>
      </c>
      <c r="N9">
        <f t="shared" si="1"/>
        <v>0</v>
      </c>
      <c r="O9">
        <f t="shared" si="1"/>
        <v>7.7083333333333321</v>
      </c>
      <c r="P9">
        <f t="shared" si="1"/>
        <v>2.5694444444444446</v>
      </c>
      <c r="Q9">
        <f t="shared" si="1"/>
        <v>0.83333333333333326</v>
      </c>
      <c r="S9">
        <f>SUM(N9:Q9)</f>
        <v>11.111111111111111</v>
      </c>
    </row>
    <row r="10" spans="1:19" x14ac:dyDescent="0.25">
      <c r="A10" s="73"/>
      <c r="B10" s="1">
        <f>0.15*40</f>
        <v>6</v>
      </c>
      <c r="C10" s="1">
        <f>0.85*40</f>
        <v>34</v>
      </c>
      <c r="D10">
        <v>60</v>
      </c>
      <c r="F10" s="60">
        <v>0</v>
      </c>
      <c r="G10" s="12">
        <f>($G8/100)*(100-$I10)</f>
        <v>63.75</v>
      </c>
      <c r="H10" s="12">
        <f>($H8/100)*(100-$I10)</f>
        <v>21.25</v>
      </c>
      <c r="I10" s="18">
        <f>I6</f>
        <v>15</v>
      </c>
      <c r="K10">
        <f>SUM(F10:I10)</f>
        <v>100</v>
      </c>
      <c r="N10">
        <f t="shared" si="1"/>
        <v>0</v>
      </c>
      <c r="O10">
        <f t="shared" si="1"/>
        <v>7.0833333333333321</v>
      </c>
      <c r="P10">
        <f t="shared" si="1"/>
        <v>2.3611111111111112</v>
      </c>
      <c r="Q10">
        <f t="shared" si="1"/>
        <v>1.6666666666666665</v>
      </c>
      <c r="S10">
        <f>SUM(N10:Q10)</f>
        <v>11.111111111111109</v>
      </c>
    </row>
    <row r="11" spans="1:19" x14ac:dyDescent="0.25">
      <c r="A11" s="3"/>
      <c r="F11" s="17"/>
      <c r="G11" s="13"/>
      <c r="H11" s="13"/>
      <c r="I11" s="18"/>
    </row>
    <row r="12" spans="1:19" x14ac:dyDescent="0.25">
      <c r="A12" s="73" t="s">
        <v>6</v>
      </c>
      <c r="B12">
        <v>5</v>
      </c>
      <c r="C12">
        <v>95</v>
      </c>
      <c r="D12">
        <v>0</v>
      </c>
      <c r="F12" s="60">
        <v>0</v>
      </c>
      <c r="G12" s="61">
        <f>100-H12-I12</f>
        <v>70</v>
      </c>
      <c r="H12" s="61">
        <v>30</v>
      </c>
      <c r="I12" s="18">
        <f>I4</f>
        <v>0</v>
      </c>
      <c r="K12">
        <f>SUM(F12:I12)</f>
        <v>100</v>
      </c>
      <c r="N12">
        <f t="shared" ref="N12:Q14" si="2">(100/9)*F12/100</f>
        <v>0</v>
      </c>
      <c r="O12">
        <f t="shared" si="2"/>
        <v>7.7777777777777768</v>
      </c>
      <c r="P12">
        <f t="shared" si="2"/>
        <v>3.333333333333333</v>
      </c>
      <c r="Q12">
        <f t="shared" si="2"/>
        <v>0</v>
      </c>
      <c r="S12">
        <f>SUM(N12:Q12)</f>
        <v>11.111111111111111</v>
      </c>
    </row>
    <row r="13" spans="1:19" x14ac:dyDescent="0.25">
      <c r="A13" s="73"/>
      <c r="B13" s="1">
        <f>0.05*70</f>
        <v>3.5</v>
      </c>
      <c r="C13" s="1">
        <f>0.95*70</f>
        <v>66.5</v>
      </c>
      <c r="D13">
        <v>30</v>
      </c>
      <c r="F13" s="60">
        <v>0</v>
      </c>
      <c r="G13" s="12">
        <f>($G12/100)*(100-$I13)</f>
        <v>64.75</v>
      </c>
      <c r="H13" s="12">
        <f>($H12/100)*(100-$I13)</f>
        <v>27.75</v>
      </c>
      <c r="I13" s="18">
        <f>I5</f>
        <v>7.5</v>
      </c>
      <c r="K13">
        <f>SUM(F13:I13)</f>
        <v>100</v>
      </c>
      <c r="N13">
        <f t="shared" si="2"/>
        <v>0</v>
      </c>
      <c r="O13">
        <f t="shared" si="2"/>
        <v>7.1944444444444446</v>
      </c>
      <c r="P13">
        <f t="shared" si="2"/>
        <v>3.083333333333333</v>
      </c>
      <c r="Q13">
        <f t="shared" si="2"/>
        <v>0.83333333333333326</v>
      </c>
      <c r="S13">
        <f>SUM(N13:Q13)</f>
        <v>11.111111111111112</v>
      </c>
    </row>
    <row r="14" spans="1:19" ht="15.75" thickBot="1" x14ac:dyDescent="0.3">
      <c r="A14" s="73"/>
      <c r="B14" s="1">
        <f>0.05*40</f>
        <v>2</v>
      </c>
      <c r="C14" s="1">
        <f>0.95*40</f>
        <v>38</v>
      </c>
      <c r="D14">
        <v>60</v>
      </c>
      <c r="F14" s="62">
        <v>0</v>
      </c>
      <c r="G14" s="32">
        <f>($G12/100)*(100-$I14)</f>
        <v>59.499999999999993</v>
      </c>
      <c r="H14" s="32">
        <f>($H12/100)*(100-$I14)</f>
        <v>25.5</v>
      </c>
      <c r="I14" s="25">
        <f>I6</f>
        <v>15</v>
      </c>
      <c r="K14">
        <f>SUM(F14:I14)</f>
        <v>100</v>
      </c>
      <c r="N14">
        <f t="shared" si="2"/>
        <v>0</v>
      </c>
      <c r="O14">
        <f t="shared" si="2"/>
        <v>6.6111111111111098</v>
      </c>
      <c r="P14">
        <f t="shared" si="2"/>
        <v>2.833333333333333</v>
      </c>
      <c r="Q14">
        <f t="shared" si="2"/>
        <v>1.6666666666666665</v>
      </c>
      <c r="S14">
        <f>SUM(N14:Q14)</f>
        <v>11.111111111111109</v>
      </c>
    </row>
    <row r="16" spans="1:19" x14ac:dyDescent="0.25">
      <c r="M16" s="9" t="s">
        <v>15</v>
      </c>
      <c r="N16" s="4">
        <f>SUM(N4:N14)</f>
        <v>0</v>
      </c>
      <c r="O16" s="4">
        <f>SUM(O4:O14)</f>
        <v>72.458333333333329</v>
      </c>
      <c r="P16" s="4">
        <f>SUM(P4:P14)</f>
        <v>20.041666666666664</v>
      </c>
      <c r="Q16" s="4">
        <f>SUM(Q4:Q14)</f>
        <v>7.5</v>
      </c>
    </row>
    <row r="17" spans="12:19" x14ac:dyDescent="0.25">
      <c r="S17" s="2" t="s">
        <v>15</v>
      </c>
    </row>
    <row r="18" spans="12:19" x14ac:dyDescent="0.25">
      <c r="L18" s="82"/>
      <c r="M18" s="7" t="s">
        <v>16</v>
      </c>
      <c r="N18" s="10">
        <f>N16</f>
        <v>0</v>
      </c>
      <c r="O18" s="10">
        <f>O16</f>
        <v>72.458333333333329</v>
      </c>
      <c r="P18" s="10">
        <f>P16</f>
        <v>20.041666666666664</v>
      </c>
      <c r="Q18" s="10">
        <f>Q16</f>
        <v>7.5</v>
      </c>
      <c r="S18">
        <f>SUM(N18:Q18)</f>
        <v>100</v>
      </c>
    </row>
    <row r="19" spans="12:19" x14ac:dyDescent="0.25">
      <c r="L19" s="82"/>
      <c r="M19" s="7"/>
      <c r="N19" s="10"/>
      <c r="O19" s="10"/>
      <c r="P19" s="10"/>
      <c r="Q19" s="10"/>
    </row>
    <row r="20" spans="12:19" x14ac:dyDescent="0.25">
      <c r="L20" s="82"/>
      <c r="M20" s="7" t="s">
        <v>18</v>
      </c>
      <c r="N20" s="10">
        <f>N$18-(0.1*N$18)</f>
        <v>0</v>
      </c>
      <c r="O20" s="10">
        <f>O$18+(O$18/($O$18+$Q$18))*(($N$18-$N20)+($P$18-$P20))</f>
        <v>72.458333333333329</v>
      </c>
      <c r="P20" s="10">
        <f>P$18-(0*P$18)</f>
        <v>20.041666666666664</v>
      </c>
      <c r="Q20" s="10">
        <f>Q$18+(Q$18/($O$18+$Q$18))*(($N$18-$N20)+($P$18-$P20))</f>
        <v>7.5</v>
      </c>
      <c r="S20">
        <f>SUM(N20:Q20)</f>
        <v>100</v>
      </c>
    </row>
    <row r="21" spans="12:19" x14ac:dyDescent="0.25">
      <c r="L21" s="82"/>
      <c r="M21" s="7"/>
      <c r="N21" s="10"/>
      <c r="O21" s="10"/>
      <c r="P21" s="10"/>
      <c r="Q21" s="10"/>
    </row>
    <row r="22" spans="12:19" x14ac:dyDescent="0.25">
      <c r="L22" s="82"/>
      <c r="M22" s="7" t="s">
        <v>17</v>
      </c>
      <c r="N22" s="10">
        <f>N$18-(0*N$18)</f>
        <v>0</v>
      </c>
      <c r="O22" s="10">
        <f>O$18+(O$18/($O$18+$Q$18))*(($N$18-$N22)+($P$18-$P22))</f>
        <v>72.458333333333329</v>
      </c>
      <c r="P22" s="10">
        <f>P$18-(0*P$18)</f>
        <v>20.041666666666664</v>
      </c>
      <c r="Q22" s="10">
        <f>Q$18+(Q$18/($O$18+$Q$18))*(($N$18-$N22)+($P$18-$P22))</f>
        <v>7.5</v>
      </c>
      <c r="S22">
        <f>SUM(N22:Q22)</f>
        <v>100</v>
      </c>
    </row>
    <row r="23" spans="12:19" x14ac:dyDescent="0.25">
      <c r="L23" s="82"/>
      <c r="M23" s="7"/>
      <c r="N23" s="10"/>
      <c r="O23" s="10"/>
      <c r="P23" s="10"/>
      <c r="Q23" s="10"/>
    </row>
    <row r="24" spans="12:19" x14ac:dyDescent="0.25">
      <c r="L24" s="82"/>
      <c r="M24" s="7" t="s">
        <v>25</v>
      </c>
      <c r="N24" s="10">
        <f>N$18-(0.1*N$18)</f>
        <v>0</v>
      </c>
      <c r="O24" s="10">
        <f>O$18+(O$18/($O$18+$Q$18))*(($N$18-$N24)+($P$18-$P24))</f>
        <v>72.458333333333329</v>
      </c>
      <c r="P24" s="10">
        <f>P$18-(0*P$18)</f>
        <v>20.041666666666664</v>
      </c>
      <c r="Q24" s="10">
        <f>Q$18+(Q$18/($O$18+$Q$18))*(($N$18-$N24)+($P$18-$P24))</f>
        <v>7.5</v>
      </c>
      <c r="S24">
        <f>SUM(N24:Q24)</f>
        <v>100</v>
      </c>
    </row>
    <row r="26" spans="12:19" x14ac:dyDescent="0.25">
      <c r="M26" t="s">
        <v>33</v>
      </c>
    </row>
    <row r="27" spans="12:19" x14ac:dyDescent="0.25">
      <c r="N27" s="57" t="s">
        <v>26</v>
      </c>
      <c r="O27" s="57" t="s">
        <v>27</v>
      </c>
      <c r="P27" s="57" t="s">
        <v>28</v>
      </c>
      <c r="Q27" s="57" t="s">
        <v>25</v>
      </c>
    </row>
    <row r="28" spans="12:19" x14ac:dyDescent="0.25">
      <c r="M28" t="s">
        <v>1</v>
      </c>
      <c r="N28" s="66">
        <f>N37</f>
        <v>0</v>
      </c>
      <c r="O28" s="66">
        <f>MROUND(O37,5)</f>
        <v>0</v>
      </c>
      <c r="P28" s="66">
        <f t="shared" ref="P28:Q28" si="3">MROUND(P37,5)</f>
        <v>0</v>
      </c>
      <c r="Q28" s="66">
        <f t="shared" si="3"/>
        <v>0</v>
      </c>
    </row>
    <row r="29" spans="12:19" x14ac:dyDescent="0.25">
      <c r="M29" t="s">
        <v>14</v>
      </c>
      <c r="N29" s="66">
        <f>N38</f>
        <v>75</v>
      </c>
      <c r="O29" s="66">
        <f t="shared" ref="O29:Q29" si="4">MROUND(O38,5)</f>
        <v>75</v>
      </c>
      <c r="P29" s="66">
        <f t="shared" si="4"/>
        <v>75</v>
      </c>
      <c r="Q29" s="66">
        <f t="shared" si="4"/>
        <v>75</v>
      </c>
    </row>
    <row r="30" spans="12:19" x14ac:dyDescent="0.25">
      <c r="M30" t="s">
        <v>2</v>
      </c>
      <c r="N30" s="66">
        <f>N39</f>
        <v>20</v>
      </c>
      <c r="O30" s="66">
        <f t="shared" ref="O30:Q30" si="5">MROUND(O39,5)</f>
        <v>20</v>
      </c>
      <c r="P30" s="66">
        <f t="shared" si="5"/>
        <v>20</v>
      </c>
      <c r="Q30" s="66">
        <f t="shared" si="5"/>
        <v>20</v>
      </c>
    </row>
    <row r="31" spans="12:19" x14ac:dyDescent="0.25">
      <c r="M31" t="s">
        <v>3</v>
      </c>
      <c r="N31" s="66">
        <f>N40</f>
        <v>5</v>
      </c>
      <c r="O31" s="66">
        <f t="shared" ref="O31:Q31" si="6">MROUND(O40,5)</f>
        <v>5</v>
      </c>
      <c r="P31" s="66">
        <f t="shared" si="6"/>
        <v>5</v>
      </c>
      <c r="Q31" s="66">
        <f t="shared" si="6"/>
        <v>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30</v>
      </c>
    </row>
    <row r="36" spans="13:17" x14ac:dyDescent="0.25">
      <c r="N36" s="57" t="s">
        <v>26</v>
      </c>
      <c r="O36" s="57" t="s">
        <v>27</v>
      </c>
      <c r="P36" s="57" t="s">
        <v>28</v>
      </c>
      <c r="Q36" s="57" t="s">
        <v>25</v>
      </c>
    </row>
    <row r="37" spans="13:17" x14ac:dyDescent="0.25">
      <c r="M37" t="s">
        <v>1</v>
      </c>
      <c r="N37" s="66">
        <v>0</v>
      </c>
      <c r="O37" s="66">
        <f>N37-O47</f>
        <v>0</v>
      </c>
      <c r="P37" s="66">
        <f>N37-P47</f>
        <v>0</v>
      </c>
      <c r="Q37" s="66">
        <f>N37-Q47</f>
        <v>0</v>
      </c>
    </row>
    <row r="38" spans="13:17" x14ac:dyDescent="0.25">
      <c r="M38" t="s">
        <v>14</v>
      </c>
      <c r="N38" s="66">
        <v>75</v>
      </c>
      <c r="O38" s="66">
        <f>N38-O48</f>
        <v>75</v>
      </c>
      <c r="P38" s="66">
        <f>N38-P48</f>
        <v>75</v>
      </c>
      <c r="Q38" s="66">
        <f>N38-Q48</f>
        <v>75</v>
      </c>
    </row>
    <row r="39" spans="13:17" x14ac:dyDescent="0.25">
      <c r="M39" t="s">
        <v>2</v>
      </c>
      <c r="N39" s="66">
        <v>20</v>
      </c>
      <c r="O39" s="66">
        <f>N39-O49</f>
        <v>20</v>
      </c>
      <c r="P39" s="66">
        <f>N39-P49</f>
        <v>20</v>
      </c>
      <c r="Q39" s="66">
        <f>N39-Q49</f>
        <v>20</v>
      </c>
    </row>
    <row r="40" spans="13:17" x14ac:dyDescent="0.25">
      <c r="M40" t="s">
        <v>3</v>
      </c>
      <c r="N40" s="66">
        <v>5</v>
      </c>
      <c r="O40" s="66">
        <f>N40-O50</f>
        <v>5</v>
      </c>
      <c r="P40" s="66">
        <f>N40-P50</f>
        <v>5</v>
      </c>
      <c r="Q40" s="66">
        <f>N40-Q50</f>
        <v>5</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0</v>
      </c>
      <c r="O47" s="67">
        <f>N18-N20</f>
        <v>0</v>
      </c>
      <c r="P47" s="67">
        <f>N18-N22</f>
        <v>0</v>
      </c>
      <c r="Q47" s="67">
        <f>N18-N24</f>
        <v>0</v>
      </c>
    </row>
    <row r="48" spans="13:17" x14ac:dyDescent="0.25">
      <c r="M48" t="s">
        <v>14</v>
      </c>
      <c r="N48" s="67">
        <f>O18</f>
        <v>72.458333333333329</v>
      </c>
      <c r="O48" s="67">
        <f>O18-O20</f>
        <v>0</v>
      </c>
      <c r="P48" s="67">
        <f>O18-O22</f>
        <v>0</v>
      </c>
      <c r="Q48" s="67">
        <f>O18-O24</f>
        <v>0</v>
      </c>
    </row>
    <row r="49" spans="13:17" x14ac:dyDescent="0.25">
      <c r="M49" t="s">
        <v>2</v>
      </c>
      <c r="N49" s="67">
        <f>P18</f>
        <v>20.041666666666664</v>
      </c>
      <c r="O49" s="67">
        <f>P18-P20</f>
        <v>0</v>
      </c>
      <c r="P49" s="67">
        <f>P18-P22</f>
        <v>0</v>
      </c>
      <c r="Q49" s="67">
        <f>P18-P24</f>
        <v>0</v>
      </c>
    </row>
    <row r="50" spans="13:17" x14ac:dyDescent="0.25">
      <c r="M50" t="s">
        <v>3</v>
      </c>
      <c r="N50" s="67">
        <f>Q18</f>
        <v>7.5</v>
      </c>
      <c r="O50" s="67">
        <f>Q18-Q20</f>
        <v>0</v>
      </c>
      <c r="P50" s="67">
        <f>Q18-Q22</f>
        <v>0</v>
      </c>
      <c r="Q50" s="67">
        <f>Q18-Q24</f>
        <v>0</v>
      </c>
    </row>
  </sheetData>
  <mergeCells count="7">
    <mergeCell ref="N1:S1"/>
    <mergeCell ref="L18:L24"/>
    <mergeCell ref="B1:D1"/>
    <mergeCell ref="A4:A6"/>
    <mergeCell ref="A8:A10"/>
    <mergeCell ref="A12:A14"/>
    <mergeCell ref="F1:K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2.140625" customWidth="1"/>
    <col min="11" max="12" width="5.85546875" customWidth="1"/>
    <col min="18" max="18" width="3.7109375" customWidth="1"/>
    <col min="19" max="19" width="5.85546875" customWidth="1"/>
  </cols>
  <sheetData>
    <row r="1" spans="1:19" x14ac:dyDescent="0.25">
      <c r="B1" s="85" t="s">
        <v>31</v>
      </c>
      <c r="C1" s="85"/>
      <c r="D1" s="85"/>
      <c r="F1" s="85" t="s">
        <v>19</v>
      </c>
      <c r="G1" s="85"/>
      <c r="H1" s="85"/>
      <c r="I1" s="85"/>
      <c r="J1" s="85"/>
      <c r="K1" s="85"/>
      <c r="N1" s="81" t="s">
        <v>20</v>
      </c>
      <c r="O1" s="81"/>
      <c r="P1" s="81"/>
      <c r="Q1" s="81"/>
      <c r="R1" s="81"/>
      <c r="S1" s="81"/>
    </row>
    <row r="3" spans="1:19" ht="15.75" thickBot="1" x14ac:dyDescent="0.3">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8" t="s">
        <v>9</v>
      </c>
      <c r="B4">
        <v>50</v>
      </c>
      <c r="C4">
        <v>50</v>
      </c>
      <c r="D4">
        <v>0</v>
      </c>
      <c r="F4" s="43">
        <f>0.55*(100-G4-I4)</f>
        <v>8.25</v>
      </c>
      <c r="G4" s="44">
        <f>0.85*(100-I4)</f>
        <v>85</v>
      </c>
      <c r="H4" s="44">
        <f>0.45*(100-G4-I4)</f>
        <v>6.75</v>
      </c>
      <c r="I4" s="39">
        <v>0</v>
      </c>
      <c r="K4">
        <f>SUM(F4:I4)</f>
        <v>100</v>
      </c>
      <c r="N4">
        <f t="shared" ref="N4:Q6" si="0">(100/9)*F4/100</f>
        <v>0.91666666666666652</v>
      </c>
      <c r="O4">
        <f t="shared" si="0"/>
        <v>9.4444444444444446</v>
      </c>
      <c r="P4">
        <f t="shared" si="0"/>
        <v>0.75</v>
      </c>
      <c r="Q4">
        <f t="shared" si="0"/>
        <v>0</v>
      </c>
      <c r="S4">
        <f>SUM(N4:Q4)</f>
        <v>11.111111111111111</v>
      </c>
    </row>
    <row r="5" spans="1:19" x14ac:dyDescent="0.25">
      <c r="A5" s="73"/>
      <c r="B5" s="1">
        <v>35</v>
      </c>
      <c r="C5" s="1">
        <v>35</v>
      </c>
      <c r="D5">
        <v>30</v>
      </c>
      <c r="F5" s="21">
        <f>($F$4/($F$4+$H$4))*(100-G5-I5)</f>
        <v>7.6312500000000005</v>
      </c>
      <c r="G5" s="12">
        <f>G4/100*(100-I5)</f>
        <v>78.625</v>
      </c>
      <c r="H5" s="12">
        <f>($H$4/($F$4+$H$4))*(100-G5-I5)</f>
        <v>6.2437500000000004</v>
      </c>
      <c r="I5" s="40">
        <v>7.5</v>
      </c>
      <c r="K5">
        <f>SUM(F5:I5)</f>
        <v>100</v>
      </c>
      <c r="N5">
        <f t="shared" si="0"/>
        <v>0.84791666666666676</v>
      </c>
      <c r="O5">
        <f t="shared" si="0"/>
        <v>8.7361111111111107</v>
      </c>
      <c r="P5">
        <f t="shared" si="0"/>
        <v>0.69374999999999998</v>
      </c>
      <c r="Q5">
        <f t="shared" si="0"/>
        <v>0.83333333333333326</v>
      </c>
      <c r="S5">
        <f>SUM(N5:Q5)</f>
        <v>11.111111111111111</v>
      </c>
    </row>
    <row r="6" spans="1:19" x14ac:dyDescent="0.25">
      <c r="A6" s="73"/>
      <c r="B6" s="1">
        <v>20</v>
      </c>
      <c r="C6" s="1">
        <v>20</v>
      </c>
      <c r="D6">
        <v>60</v>
      </c>
      <c r="F6" s="21">
        <f>($F$4/($F$4+$H$4))*(100-G6-I6)</f>
        <v>7.0125000000000002</v>
      </c>
      <c r="G6" s="12">
        <f>G4/100*(100-I6)</f>
        <v>72.25</v>
      </c>
      <c r="H6" s="12">
        <f>($H$4/($F$4+$H$4))*(100-G6-I6)</f>
        <v>5.7374999999999998</v>
      </c>
      <c r="I6" s="40">
        <v>15</v>
      </c>
      <c r="K6">
        <f>SUM(F6:I6)</f>
        <v>100</v>
      </c>
      <c r="N6">
        <f t="shared" si="0"/>
        <v>0.77916666666666667</v>
      </c>
      <c r="O6">
        <f t="shared" si="0"/>
        <v>8.0277777777777768</v>
      </c>
      <c r="P6">
        <f t="shared" si="0"/>
        <v>0.63749999999999996</v>
      </c>
      <c r="Q6">
        <f t="shared" si="0"/>
        <v>1.6666666666666665</v>
      </c>
      <c r="S6">
        <f>SUM(N6:Q6)</f>
        <v>11.111111111111109</v>
      </c>
    </row>
    <row r="7" spans="1:19" x14ac:dyDescent="0.25">
      <c r="A7" s="3"/>
      <c r="F7" s="21"/>
      <c r="G7" s="12"/>
      <c r="H7" s="13"/>
      <c r="I7" s="18"/>
    </row>
    <row r="8" spans="1:19" x14ac:dyDescent="0.25">
      <c r="A8" s="78" t="s">
        <v>12</v>
      </c>
      <c r="B8">
        <v>66</v>
      </c>
      <c r="C8">
        <v>34</v>
      </c>
      <c r="D8">
        <v>0</v>
      </c>
      <c r="F8" s="21">
        <v>20</v>
      </c>
      <c r="G8" s="12">
        <v>80</v>
      </c>
      <c r="H8" s="12">
        <f>CO_Low!H8</f>
        <v>0</v>
      </c>
      <c r="I8" s="18">
        <f>I4</f>
        <v>0</v>
      </c>
      <c r="K8">
        <f>SUM(F8:I8)</f>
        <v>100</v>
      </c>
      <c r="N8">
        <f t="shared" ref="N8:Q10" si="1">(100/9)*F8/100</f>
        <v>2.2222222222222223</v>
      </c>
      <c r="O8">
        <f t="shared" si="1"/>
        <v>8.8888888888888893</v>
      </c>
      <c r="P8">
        <f t="shared" si="1"/>
        <v>0</v>
      </c>
      <c r="Q8">
        <f t="shared" si="1"/>
        <v>0</v>
      </c>
      <c r="S8">
        <f>SUM(N8:Q8)</f>
        <v>11.111111111111111</v>
      </c>
    </row>
    <row r="9" spans="1:19" x14ac:dyDescent="0.25">
      <c r="A9" s="73"/>
      <c r="B9" s="1">
        <f>0.66*70</f>
        <v>46.2</v>
      </c>
      <c r="C9" s="1">
        <f>0.34*70</f>
        <v>23.8</v>
      </c>
      <c r="D9">
        <v>30</v>
      </c>
      <c r="F9" s="21">
        <f>(F8/(F8+H8))*(100-G9-I9)</f>
        <v>18.5</v>
      </c>
      <c r="G9" s="12">
        <f>G8/100*(100-I9)</f>
        <v>74</v>
      </c>
      <c r="H9" s="12">
        <f>(H8/(F8+H8))*(100-G9-I9)</f>
        <v>0</v>
      </c>
      <c r="I9" s="18">
        <f>I5</f>
        <v>7.5</v>
      </c>
      <c r="K9">
        <f>SUM(F9:I9)</f>
        <v>100</v>
      </c>
      <c r="N9">
        <f t="shared" si="1"/>
        <v>2.0555555555555554</v>
      </c>
      <c r="O9">
        <f t="shared" si="1"/>
        <v>8.2222222222222214</v>
      </c>
      <c r="P9">
        <f t="shared" si="1"/>
        <v>0</v>
      </c>
      <c r="Q9">
        <f t="shared" si="1"/>
        <v>0.83333333333333326</v>
      </c>
      <c r="S9">
        <f>SUM(N9:Q9)</f>
        <v>11.111111111111111</v>
      </c>
    </row>
    <row r="10" spans="1:19" x14ac:dyDescent="0.25">
      <c r="A10" s="73"/>
      <c r="B10" s="1">
        <f>0.66*40</f>
        <v>26.400000000000002</v>
      </c>
      <c r="C10" s="1">
        <f>0.34*40</f>
        <v>13.600000000000001</v>
      </c>
      <c r="D10">
        <v>60</v>
      </c>
      <c r="F10" s="21">
        <f>(F8/(F8+H8))*(100-G10-I10)</f>
        <v>17</v>
      </c>
      <c r="G10" s="12">
        <f>G8/100*(100-I10)</f>
        <v>68</v>
      </c>
      <c r="H10" s="12">
        <f>(H8/(F8+H8))*(100-G10-I10)</f>
        <v>0</v>
      </c>
      <c r="I10" s="18">
        <f>I6</f>
        <v>15</v>
      </c>
      <c r="K10">
        <f>SUM(F10:I10)</f>
        <v>100</v>
      </c>
      <c r="N10">
        <f t="shared" si="1"/>
        <v>1.8888888888888888</v>
      </c>
      <c r="O10">
        <f t="shared" si="1"/>
        <v>7.5555555555555554</v>
      </c>
      <c r="P10">
        <f t="shared" si="1"/>
        <v>0</v>
      </c>
      <c r="Q10">
        <f t="shared" si="1"/>
        <v>1.6666666666666665</v>
      </c>
      <c r="S10">
        <f>SUM(N10:Q10)</f>
        <v>11.111111111111111</v>
      </c>
    </row>
    <row r="11" spans="1:19" x14ac:dyDescent="0.25">
      <c r="A11" s="3"/>
      <c r="F11" s="17"/>
      <c r="G11" s="13"/>
      <c r="H11" s="13"/>
      <c r="I11" s="18"/>
    </row>
    <row r="12" spans="1:19" x14ac:dyDescent="0.25">
      <c r="A12" s="79" t="s">
        <v>13</v>
      </c>
      <c r="B12" s="1">
        <v>34</v>
      </c>
      <c r="C12" s="1">
        <v>66</v>
      </c>
      <c r="D12">
        <v>0</v>
      </c>
      <c r="F12" s="21">
        <v>0</v>
      </c>
      <c r="G12" s="12">
        <v>90</v>
      </c>
      <c r="H12" s="12">
        <v>10</v>
      </c>
      <c r="I12" s="18">
        <f>I4</f>
        <v>0</v>
      </c>
      <c r="K12">
        <f>SUM(F12:I12)</f>
        <v>100</v>
      </c>
      <c r="N12">
        <f t="shared" ref="N12:Q14" si="2">(100/9)*F12/100</f>
        <v>0</v>
      </c>
      <c r="O12">
        <f t="shared" si="2"/>
        <v>10</v>
      </c>
      <c r="P12">
        <f t="shared" si="2"/>
        <v>1.1111111111111112</v>
      </c>
      <c r="Q12">
        <f t="shared" si="2"/>
        <v>0</v>
      </c>
      <c r="S12">
        <f>SUM(N12:Q12)</f>
        <v>11.111111111111111</v>
      </c>
    </row>
    <row r="13" spans="1:19" x14ac:dyDescent="0.25">
      <c r="A13" s="73"/>
      <c r="B13" s="1">
        <v>24</v>
      </c>
      <c r="C13" s="1">
        <v>46</v>
      </c>
      <c r="D13">
        <v>30</v>
      </c>
      <c r="F13" s="21">
        <f>(F12/(F12+H12))*(100-G13-I13)</f>
        <v>0</v>
      </c>
      <c r="G13" s="12">
        <f>G12/100*(100-I13)</f>
        <v>83.25</v>
      </c>
      <c r="H13" s="12">
        <f>(H12/(F12+H12))*(100-G13-I13)</f>
        <v>9.25</v>
      </c>
      <c r="I13" s="18">
        <f>I5</f>
        <v>7.5</v>
      </c>
      <c r="K13">
        <f>SUM(F13:I13)</f>
        <v>100</v>
      </c>
      <c r="N13">
        <f t="shared" si="2"/>
        <v>0</v>
      </c>
      <c r="O13">
        <f t="shared" si="2"/>
        <v>9.25</v>
      </c>
      <c r="P13">
        <f t="shared" si="2"/>
        <v>1.0277777777777777</v>
      </c>
      <c r="Q13">
        <f t="shared" si="2"/>
        <v>0.83333333333333326</v>
      </c>
      <c r="S13">
        <f>SUM(N13:Q13)</f>
        <v>11.111111111111112</v>
      </c>
    </row>
    <row r="14" spans="1:19" ht="15.75" thickBot="1" x14ac:dyDescent="0.3">
      <c r="A14" s="73"/>
      <c r="B14">
        <v>14</v>
      </c>
      <c r="C14">
        <v>26</v>
      </c>
      <c r="D14">
        <v>60</v>
      </c>
      <c r="F14" s="31">
        <f>(F12/(F12+H12))*(100-G14-I14)</f>
        <v>0</v>
      </c>
      <c r="G14" s="32">
        <f>G12/100*(100-I14)</f>
        <v>76.5</v>
      </c>
      <c r="H14" s="32">
        <f>(H12/(F12+H12))*(100-G14-I14)</f>
        <v>8.5</v>
      </c>
      <c r="I14" s="25">
        <f>I6</f>
        <v>15</v>
      </c>
      <c r="K14">
        <f>SUM(F14:I14)</f>
        <v>100</v>
      </c>
      <c r="N14">
        <f t="shared" si="2"/>
        <v>0</v>
      </c>
      <c r="O14">
        <f t="shared" si="2"/>
        <v>8.5</v>
      </c>
      <c r="P14">
        <f t="shared" si="2"/>
        <v>0.94444444444444442</v>
      </c>
      <c r="Q14">
        <f t="shared" si="2"/>
        <v>1.6666666666666665</v>
      </c>
      <c r="S14">
        <f>SUM(N14:Q14)</f>
        <v>11.111111111111111</v>
      </c>
    </row>
    <row r="16" spans="1:19" x14ac:dyDescent="0.25">
      <c r="N16" s="4">
        <f>SUM(N4:N14)</f>
        <v>8.7104166666666671</v>
      </c>
      <c r="O16" s="4">
        <f>SUM(O4:O14)</f>
        <v>78.625</v>
      </c>
      <c r="P16" s="4">
        <f>SUM(P4:P14)</f>
        <v>5.1645833333333329</v>
      </c>
      <c r="Q16" s="4">
        <f>SUM(Q4:Q14)</f>
        <v>7.5</v>
      </c>
    </row>
    <row r="17" spans="12:19" x14ac:dyDescent="0.25">
      <c r="S17" s="2" t="s">
        <v>15</v>
      </c>
    </row>
    <row r="18" spans="12:19" x14ac:dyDescent="0.25">
      <c r="L18" s="82"/>
      <c r="M18" s="7" t="s">
        <v>16</v>
      </c>
      <c r="N18" s="10">
        <f>N16</f>
        <v>8.7104166666666671</v>
      </c>
      <c r="O18" s="10">
        <f>O16</f>
        <v>78.625</v>
      </c>
      <c r="P18" s="10">
        <f>P16</f>
        <v>5.1645833333333329</v>
      </c>
      <c r="Q18" s="10">
        <f>Q16</f>
        <v>7.5</v>
      </c>
      <c r="S18">
        <f>SUM(N18:Q18)</f>
        <v>100</v>
      </c>
    </row>
    <row r="19" spans="12:19" x14ac:dyDescent="0.25">
      <c r="L19" s="82"/>
      <c r="M19" s="7"/>
      <c r="N19" s="56"/>
      <c r="O19" s="56"/>
      <c r="P19" s="56"/>
      <c r="Q19" s="56"/>
    </row>
    <row r="20" spans="12:19" x14ac:dyDescent="0.25">
      <c r="L20" s="82"/>
      <c r="M20" s="7" t="s">
        <v>18</v>
      </c>
      <c r="N20" s="10">
        <f>N$18-(0.1*N$18)</f>
        <v>7.8393750000000004</v>
      </c>
      <c r="O20" s="10">
        <f>O$18+(O$18/($O$18+$Q$18))*(($N$18-$N20)+($P$18-$P20))</f>
        <v>79.420188981615865</v>
      </c>
      <c r="P20" s="10">
        <f>P$18-(0*P$18)</f>
        <v>5.1645833333333329</v>
      </c>
      <c r="Q20" s="10">
        <f>Q$18+(Q$18/($O$18+$Q$18))*(($N$18-$N20)+($P$18-$P20))</f>
        <v>7.5758526850507986</v>
      </c>
      <c r="S20">
        <f>SUM(N20:Q20)</f>
        <v>100.00000000000001</v>
      </c>
    </row>
    <row r="21" spans="12:19" x14ac:dyDescent="0.25">
      <c r="L21" s="82"/>
      <c r="M21" s="7"/>
      <c r="N21" s="10"/>
      <c r="O21" s="10"/>
      <c r="P21" s="10"/>
      <c r="Q21" s="10"/>
    </row>
    <row r="22" spans="12:19" x14ac:dyDescent="0.25">
      <c r="L22" s="82"/>
      <c r="M22" s="7" t="s">
        <v>17</v>
      </c>
      <c r="N22" s="10">
        <f>N$18-(0*N$18)</f>
        <v>8.7104166666666671</v>
      </c>
      <c r="O22" s="10">
        <f>O$18+(O$18/($O$18+$Q$18))*(($N$18-$N22)+($P$18-$P22))</f>
        <v>78.625</v>
      </c>
      <c r="P22" s="10">
        <f>P$18-(0*P$18)</f>
        <v>5.1645833333333329</v>
      </c>
      <c r="Q22" s="10">
        <f>Q$18+(Q$18/($O$18+$Q$18))*(($N$18-$N22)+($P$18-$P22))</f>
        <v>7.5</v>
      </c>
      <c r="S22">
        <f>SUM(N22:Q22)</f>
        <v>100</v>
      </c>
    </row>
    <row r="23" spans="12:19" x14ac:dyDescent="0.25">
      <c r="L23" s="82"/>
      <c r="M23" s="7"/>
      <c r="N23" s="10"/>
      <c r="O23" s="10"/>
      <c r="P23" s="10"/>
      <c r="Q23" s="10"/>
    </row>
    <row r="24" spans="12:19" x14ac:dyDescent="0.25">
      <c r="L24" s="82"/>
      <c r="M24" s="7" t="s">
        <v>25</v>
      </c>
      <c r="N24" s="10">
        <f>N$18-(0.1*N$18)</f>
        <v>7.8393750000000004</v>
      </c>
      <c r="O24" s="10">
        <f>O$18+(O$18/($O$18+$Q$18))*(($N$18-$N24)+($P$18-$P24))</f>
        <v>79.420188981615865</v>
      </c>
      <c r="P24" s="10">
        <f>P$18-(0*P$18)</f>
        <v>5.1645833333333329</v>
      </c>
      <c r="Q24" s="10">
        <f>Q$18+(Q$18/($O$18+$Q$18))*(($N$18-$N24)+($P$18-$P24))</f>
        <v>7.5758526850507986</v>
      </c>
      <c r="S24">
        <f>SUM(N24:Q24)</f>
        <v>100.00000000000001</v>
      </c>
    </row>
    <row r="26" spans="12:19" x14ac:dyDescent="0.25">
      <c r="M26" t="s">
        <v>33</v>
      </c>
    </row>
    <row r="27" spans="12:19" x14ac:dyDescent="0.25">
      <c r="N27" s="57" t="s">
        <v>26</v>
      </c>
      <c r="O27" s="57" t="s">
        <v>27</v>
      </c>
      <c r="P27" s="57" t="s">
        <v>28</v>
      </c>
      <c r="Q27" s="57" t="s">
        <v>25</v>
      </c>
    </row>
    <row r="28" spans="12:19" x14ac:dyDescent="0.25">
      <c r="M28" t="s">
        <v>1</v>
      </c>
      <c r="N28" s="66">
        <f>N37</f>
        <v>10</v>
      </c>
      <c r="O28" s="66">
        <f>MROUND(O37,5)</f>
        <v>10</v>
      </c>
      <c r="P28" s="66">
        <f t="shared" ref="P28:Q28" si="3">MROUND(P37,5)</f>
        <v>10</v>
      </c>
      <c r="Q28" s="66">
        <f t="shared" si="3"/>
        <v>10</v>
      </c>
    </row>
    <row r="29" spans="12:19" x14ac:dyDescent="0.25">
      <c r="M29" t="s">
        <v>14</v>
      </c>
      <c r="N29" s="66">
        <f>N38</f>
        <v>80</v>
      </c>
      <c r="O29" s="66">
        <f t="shared" ref="O29:Q29" si="4">MROUND(O38,5)</f>
        <v>80</v>
      </c>
      <c r="P29" s="66">
        <f t="shared" si="4"/>
        <v>80</v>
      </c>
      <c r="Q29" s="66">
        <f t="shared" si="4"/>
        <v>80</v>
      </c>
    </row>
    <row r="30" spans="12:19" x14ac:dyDescent="0.25">
      <c r="M30" t="s">
        <v>2</v>
      </c>
      <c r="N30" s="66">
        <f>N39</f>
        <v>5</v>
      </c>
      <c r="O30" s="66">
        <f t="shared" ref="O30:Q30" si="5">MROUND(O39,5)</f>
        <v>5</v>
      </c>
      <c r="P30" s="66">
        <f t="shared" si="5"/>
        <v>5</v>
      </c>
      <c r="Q30" s="66">
        <f t="shared" si="5"/>
        <v>5</v>
      </c>
    </row>
    <row r="31" spans="12:19" x14ac:dyDescent="0.25">
      <c r="M31" t="s">
        <v>3</v>
      </c>
      <c r="N31" s="66">
        <f>N40</f>
        <v>5</v>
      </c>
      <c r="O31" s="66">
        <f t="shared" ref="O31:Q31" si="6">MROUND(O40,5)</f>
        <v>5</v>
      </c>
      <c r="P31" s="66">
        <f t="shared" si="6"/>
        <v>5</v>
      </c>
      <c r="Q31" s="66">
        <f t="shared" si="6"/>
        <v>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30</v>
      </c>
    </row>
    <row r="36" spans="13:17" x14ac:dyDescent="0.25">
      <c r="N36" s="57" t="s">
        <v>26</v>
      </c>
      <c r="O36" s="57" t="s">
        <v>27</v>
      </c>
      <c r="P36" s="57" t="s">
        <v>28</v>
      </c>
      <c r="Q36" s="57" t="s">
        <v>25</v>
      </c>
    </row>
    <row r="37" spans="13:17" x14ac:dyDescent="0.25">
      <c r="M37" t="s">
        <v>1</v>
      </c>
      <c r="N37" s="66">
        <v>10</v>
      </c>
      <c r="O37" s="67">
        <f>N37-O47</f>
        <v>9.1289583333333333</v>
      </c>
      <c r="P37" s="67">
        <f>N37-P47</f>
        <v>10</v>
      </c>
      <c r="Q37" s="67">
        <f>N37-Q47</f>
        <v>9.1289583333333333</v>
      </c>
    </row>
    <row r="38" spans="13:17" x14ac:dyDescent="0.25">
      <c r="M38" t="s">
        <v>14</v>
      </c>
      <c r="N38" s="66">
        <v>80</v>
      </c>
      <c r="O38" s="67">
        <f>N38-O48</f>
        <v>80.795188981615865</v>
      </c>
      <c r="P38" s="67">
        <f>N38-P48</f>
        <v>80</v>
      </c>
      <c r="Q38" s="67">
        <f>N38-Q48</f>
        <v>80.795188981615865</v>
      </c>
    </row>
    <row r="39" spans="13:17" x14ac:dyDescent="0.25">
      <c r="M39" t="s">
        <v>2</v>
      </c>
      <c r="N39" s="66">
        <v>5</v>
      </c>
      <c r="O39" s="67">
        <f>N39-O49</f>
        <v>5</v>
      </c>
      <c r="P39" s="67">
        <f>N39-P49</f>
        <v>5</v>
      </c>
      <c r="Q39" s="67">
        <f>N39-Q49</f>
        <v>5</v>
      </c>
    </row>
    <row r="40" spans="13:17" x14ac:dyDescent="0.25">
      <c r="M40" t="s">
        <v>3</v>
      </c>
      <c r="N40" s="66">
        <v>5</v>
      </c>
      <c r="O40" s="67">
        <f>N40-O50</f>
        <v>5.0758526850507986</v>
      </c>
      <c r="P40" s="67">
        <f>N40-P50</f>
        <v>5</v>
      </c>
      <c r="Q40" s="67">
        <f>N40-Q50</f>
        <v>5.0758526850507986</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8.7104166666666671</v>
      </c>
      <c r="O47" s="67">
        <f>N18-N20</f>
        <v>0.87104166666666671</v>
      </c>
      <c r="P47" s="67">
        <f>N18-N22</f>
        <v>0</v>
      </c>
      <c r="Q47" s="67">
        <f>N18-N24</f>
        <v>0.87104166666666671</v>
      </c>
    </row>
    <row r="48" spans="13:17" x14ac:dyDescent="0.25">
      <c r="M48" t="s">
        <v>14</v>
      </c>
      <c r="N48" s="67">
        <f>O18</f>
        <v>78.625</v>
      </c>
      <c r="O48" s="67">
        <f>O18-O20</f>
        <v>-0.79518898161586549</v>
      </c>
      <c r="P48" s="67">
        <f>O18-O22</f>
        <v>0</v>
      </c>
      <c r="Q48" s="67">
        <f>O18-O24</f>
        <v>-0.79518898161586549</v>
      </c>
    </row>
    <row r="49" spans="13:17" x14ac:dyDescent="0.25">
      <c r="M49" t="s">
        <v>2</v>
      </c>
      <c r="N49" s="67">
        <f>P18</f>
        <v>5.1645833333333329</v>
      </c>
      <c r="O49" s="67">
        <f>P18-P20</f>
        <v>0</v>
      </c>
      <c r="P49" s="67">
        <f>P18-P22</f>
        <v>0</v>
      </c>
      <c r="Q49" s="67">
        <f>P18-P24</f>
        <v>0</v>
      </c>
    </row>
    <row r="50" spans="13:17" x14ac:dyDescent="0.25">
      <c r="M50" t="s">
        <v>3</v>
      </c>
      <c r="N50" s="67">
        <f>Q18</f>
        <v>7.5</v>
      </c>
      <c r="O50" s="67">
        <f>Q18-Q20</f>
        <v>-7.5852685050798563E-2</v>
      </c>
      <c r="P50" s="67">
        <f>Q18-Q22</f>
        <v>0</v>
      </c>
      <c r="Q50" s="67">
        <f>Q18-Q24</f>
        <v>-7.5852685050798563E-2</v>
      </c>
    </row>
  </sheetData>
  <mergeCells count="7">
    <mergeCell ref="L18:L24"/>
    <mergeCell ref="N1:S1"/>
    <mergeCell ref="B1:D1"/>
    <mergeCell ref="A4:A6"/>
    <mergeCell ref="A8:A10"/>
    <mergeCell ref="A12:A14"/>
    <mergeCell ref="F1:K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election sqref="A1:XFD1"/>
    </sheetView>
  </sheetViews>
  <sheetFormatPr defaultRowHeight="15" x14ac:dyDescent="0.25"/>
  <cols>
    <col min="10" max="10" width="2.7109375" customWidth="1"/>
    <col min="11" max="12" width="6.5703125" customWidth="1"/>
    <col min="18" max="18" width="4" customWidth="1"/>
    <col min="19" max="19" width="7.140625" customWidth="1"/>
  </cols>
  <sheetData>
    <row r="1" spans="1:19" x14ac:dyDescent="0.25">
      <c r="B1" s="86" t="s">
        <v>8</v>
      </c>
      <c r="C1" s="86"/>
      <c r="D1" s="86"/>
      <c r="F1" s="86" t="s">
        <v>19</v>
      </c>
      <c r="G1" s="86"/>
      <c r="H1" s="86"/>
      <c r="I1" s="86"/>
      <c r="J1" s="86"/>
      <c r="K1" s="86"/>
      <c r="N1" s="81" t="s">
        <v>20</v>
      </c>
      <c r="O1" s="81"/>
      <c r="P1" s="81"/>
      <c r="Q1" s="81"/>
      <c r="R1" s="81"/>
      <c r="S1" s="81"/>
    </row>
    <row r="3" spans="1:19" x14ac:dyDescent="0.25">
      <c r="B3" s="2" t="s">
        <v>1</v>
      </c>
      <c r="C3" s="2" t="s">
        <v>2</v>
      </c>
      <c r="D3" s="2" t="s">
        <v>3</v>
      </c>
      <c r="F3" s="2" t="s">
        <v>1</v>
      </c>
      <c r="G3" s="2" t="s">
        <v>14</v>
      </c>
      <c r="H3" s="2" t="s">
        <v>2</v>
      </c>
      <c r="I3" s="68" t="s">
        <v>3</v>
      </c>
      <c r="K3" s="70" t="s">
        <v>15</v>
      </c>
      <c r="L3" s="2"/>
      <c r="N3" s="2" t="s">
        <v>1</v>
      </c>
      <c r="O3" s="2" t="s">
        <v>14</v>
      </c>
      <c r="P3" s="2" t="s">
        <v>2</v>
      </c>
      <c r="Q3" s="2" t="s">
        <v>3</v>
      </c>
      <c r="S3" s="2" t="s">
        <v>15</v>
      </c>
    </row>
    <row r="4" spans="1:19" x14ac:dyDescent="0.25">
      <c r="A4" s="78" t="s">
        <v>9</v>
      </c>
      <c r="B4" s="1">
        <f>0.5*(100-D4)</f>
        <v>16.5</v>
      </c>
      <c r="C4" s="1">
        <f>0.5*(100-D4)</f>
        <v>16.5</v>
      </c>
      <c r="D4">
        <v>67</v>
      </c>
      <c r="F4" s="55">
        <f>0.55*(100-I4-G4)</f>
        <v>7.0125000000000002</v>
      </c>
      <c r="G4" s="55">
        <f>0.85*(100-I4)</f>
        <v>72.25</v>
      </c>
      <c r="H4" s="55">
        <f>0.45*(100-I4-G4)</f>
        <v>5.7374999999999998</v>
      </c>
      <c r="I4" s="55">
        <v>15</v>
      </c>
      <c r="K4">
        <f>SUM(F4:I4)</f>
        <v>100</v>
      </c>
      <c r="N4">
        <f t="shared" ref="N4:Q6" si="0">(100/9)*F4/100</f>
        <v>0.77916666666666667</v>
      </c>
      <c r="O4">
        <f t="shared" si="0"/>
        <v>8.0277777777777768</v>
      </c>
      <c r="P4">
        <f t="shared" si="0"/>
        <v>0.63749999999999996</v>
      </c>
      <c r="Q4">
        <f t="shared" si="0"/>
        <v>1.6666666666666665</v>
      </c>
      <c r="S4">
        <f>SUM(N4:Q4)</f>
        <v>11.111111111111109</v>
      </c>
    </row>
    <row r="5" spans="1:19" x14ac:dyDescent="0.25">
      <c r="A5" s="73"/>
      <c r="B5" s="1">
        <f>0.5*(100-D5)</f>
        <v>7.5</v>
      </c>
      <c r="C5" s="1">
        <f>0.5*(100-D5)</f>
        <v>7.5</v>
      </c>
      <c r="D5">
        <v>85</v>
      </c>
      <c r="F5" s="1">
        <f>($F$4/($F$4+$G$4+$H$4))*(100-I5)</f>
        <v>5.7750000000000004</v>
      </c>
      <c r="G5" s="1">
        <f>($G$4/($F$4+$G$4+$H$4))*(100-I5)</f>
        <v>59.5</v>
      </c>
      <c r="H5" s="1">
        <f>($H$4/($F$4+$G$4+$H$4))*(100-I5)</f>
        <v>4.7250000000000005</v>
      </c>
      <c r="I5" s="55">
        <v>30</v>
      </c>
      <c r="K5">
        <f>SUM(F5:I5)</f>
        <v>100</v>
      </c>
      <c r="N5">
        <f t="shared" si="0"/>
        <v>0.64166666666666672</v>
      </c>
      <c r="O5">
        <f t="shared" si="0"/>
        <v>6.6111111111111107</v>
      </c>
      <c r="P5">
        <f t="shared" si="0"/>
        <v>0.52500000000000002</v>
      </c>
      <c r="Q5">
        <f t="shared" si="0"/>
        <v>3.333333333333333</v>
      </c>
      <c r="S5">
        <f>SUM(N5:Q5)</f>
        <v>11.111111111111111</v>
      </c>
    </row>
    <row r="6" spans="1:19" x14ac:dyDescent="0.25">
      <c r="A6" s="73"/>
      <c r="B6" s="1">
        <f>0.5*(100-D6)</f>
        <v>2.5</v>
      </c>
      <c r="C6" s="1">
        <f>0.5*(100-D6)</f>
        <v>2.5</v>
      </c>
      <c r="D6">
        <v>95</v>
      </c>
      <c r="F6" s="1">
        <f>($F$4/($F$4+$G$4+$H$4))*(100-I6)</f>
        <v>5.3624999999999998</v>
      </c>
      <c r="G6" s="1">
        <f>($G$4/($F$4+$G$4+$H$4))*(100-I6)</f>
        <v>55.25</v>
      </c>
      <c r="H6" s="1">
        <f>($H$4/($F$4+$G$4+$H$4))*(100-I6)</f>
        <v>4.3875000000000002</v>
      </c>
      <c r="I6" s="55">
        <v>35</v>
      </c>
      <c r="K6">
        <f>SUM(F6:I6)</f>
        <v>100</v>
      </c>
      <c r="N6">
        <f t="shared" si="0"/>
        <v>0.59583333333333333</v>
      </c>
      <c r="O6">
        <f t="shared" si="0"/>
        <v>6.1388888888888893</v>
      </c>
      <c r="P6">
        <f t="shared" si="0"/>
        <v>0.48749999999999999</v>
      </c>
      <c r="Q6">
        <f t="shared" si="0"/>
        <v>3.8888888888888884</v>
      </c>
      <c r="S6">
        <f>SUM(N6:Q6)</f>
        <v>11.111111111111111</v>
      </c>
    </row>
    <row r="7" spans="1:19" x14ac:dyDescent="0.25">
      <c r="A7" s="3"/>
      <c r="B7" s="1"/>
      <c r="C7" s="1"/>
      <c r="F7" s="1"/>
      <c r="G7" s="1"/>
    </row>
    <row r="8" spans="1:19" x14ac:dyDescent="0.25">
      <c r="A8" s="79" t="s">
        <v>10</v>
      </c>
      <c r="B8" s="1">
        <f>0.75*(100-D8)</f>
        <v>24.75</v>
      </c>
      <c r="C8" s="1">
        <f>0.25*(100-D8)</f>
        <v>8.25</v>
      </c>
      <c r="D8">
        <v>67</v>
      </c>
      <c r="F8" s="55">
        <f>0.29*(100-I8)</f>
        <v>24.65</v>
      </c>
      <c r="G8" s="55">
        <f>0.71*(100-I8)</f>
        <v>60.349999999999994</v>
      </c>
      <c r="H8" s="55">
        <f>0*(100-I8)</f>
        <v>0</v>
      </c>
      <c r="I8" s="1">
        <f>I4</f>
        <v>15</v>
      </c>
      <c r="K8">
        <f>SUM(F8:I8)</f>
        <v>100</v>
      </c>
      <c r="N8">
        <f t="shared" ref="N8:Q10" si="1">(100/9)*F8/100</f>
        <v>2.7388888888888885</v>
      </c>
      <c r="O8">
        <f t="shared" si="1"/>
        <v>6.7055555555555539</v>
      </c>
      <c r="P8">
        <f t="shared" si="1"/>
        <v>0</v>
      </c>
      <c r="Q8">
        <f t="shared" si="1"/>
        <v>1.6666666666666665</v>
      </c>
      <c r="S8">
        <f>SUM(N8:Q8)</f>
        <v>11.111111111111109</v>
      </c>
    </row>
    <row r="9" spans="1:19" x14ac:dyDescent="0.25">
      <c r="A9" s="73"/>
      <c r="B9" s="1">
        <f>0.75*(100-D9)</f>
        <v>11.25</v>
      </c>
      <c r="C9" s="1">
        <f>0.25*(100-D9)</f>
        <v>3.75</v>
      </c>
      <c r="D9">
        <v>85</v>
      </c>
      <c r="F9" s="1">
        <f>($F$8/($F$8+$G$8+$H$8))*(100-I9)</f>
        <v>20.299999999999997</v>
      </c>
      <c r="G9" s="1">
        <f>($G$8/($F$8+$G$8+$H$8))*(100-I9)</f>
        <v>49.699999999999996</v>
      </c>
      <c r="H9" s="1">
        <f>($H$8/($F$8+$G$8+$H$8))*(100-I9)</f>
        <v>0</v>
      </c>
      <c r="I9" s="1">
        <f>I5</f>
        <v>30</v>
      </c>
      <c r="K9">
        <f>SUM(F9:I9)</f>
        <v>100</v>
      </c>
      <c r="N9">
        <f t="shared" si="1"/>
        <v>2.2555555555555551</v>
      </c>
      <c r="O9">
        <f t="shared" si="1"/>
        <v>5.5222222222222221</v>
      </c>
      <c r="P9">
        <f t="shared" si="1"/>
        <v>0</v>
      </c>
      <c r="Q9">
        <f t="shared" si="1"/>
        <v>3.333333333333333</v>
      </c>
      <c r="S9">
        <f>SUM(N9:Q9)</f>
        <v>11.111111111111111</v>
      </c>
    </row>
    <row r="10" spans="1:19" x14ac:dyDescent="0.25">
      <c r="A10" s="73"/>
      <c r="B10" s="1">
        <f>0.75*(100-D10)</f>
        <v>3.75</v>
      </c>
      <c r="C10" s="1">
        <f>0.25*(100-D10)</f>
        <v>1.25</v>
      </c>
      <c r="D10">
        <v>95</v>
      </c>
      <c r="F10" s="1">
        <f>($F$8/($F$8+$G$8+$H$8))*(100-I10)</f>
        <v>18.849999999999998</v>
      </c>
      <c r="G10" s="1">
        <f>($G$8/($F$8+$G$8+$H$8))*(100-I10)</f>
        <v>46.15</v>
      </c>
      <c r="H10" s="1">
        <f>($H$8/($F$8+$G$8+$H$8))*(100-I10)</f>
        <v>0</v>
      </c>
      <c r="I10" s="1">
        <f>I6</f>
        <v>35</v>
      </c>
      <c r="K10">
        <f>SUM(F10:I10)</f>
        <v>100</v>
      </c>
      <c r="N10">
        <f t="shared" si="1"/>
        <v>2.0944444444444441</v>
      </c>
      <c r="O10">
        <f t="shared" si="1"/>
        <v>5.1277777777777773</v>
      </c>
      <c r="P10">
        <f t="shared" si="1"/>
        <v>0</v>
      </c>
      <c r="Q10">
        <f t="shared" si="1"/>
        <v>3.8888888888888884</v>
      </c>
      <c r="S10">
        <f>SUM(N10:Q10)</f>
        <v>11.111111111111111</v>
      </c>
    </row>
    <row r="11" spans="1:19" x14ac:dyDescent="0.25">
      <c r="A11" s="3"/>
      <c r="B11" s="1"/>
      <c r="C11" s="1"/>
      <c r="F11" s="1"/>
      <c r="G11" s="1"/>
      <c r="H11" s="1"/>
    </row>
    <row r="12" spans="1:19" x14ac:dyDescent="0.25">
      <c r="A12" s="79" t="s">
        <v>11</v>
      </c>
      <c r="B12" s="1">
        <f>0.25*(100-D12)</f>
        <v>8.25</v>
      </c>
      <c r="C12" s="1">
        <f>0.75*(100-D12)</f>
        <v>24.75</v>
      </c>
      <c r="D12">
        <v>67</v>
      </c>
      <c r="F12" s="55">
        <f>0*(100-I12)</f>
        <v>0</v>
      </c>
      <c r="G12" s="55">
        <f>0.83*(100-I12)</f>
        <v>70.55</v>
      </c>
      <c r="H12" s="55">
        <f>0.17*(100-I12)</f>
        <v>14.450000000000001</v>
      </c>
      <c r="I12" s="1">
        <f>I4</f>
        <v>15</v>
      </c>
      <c r="K12">
        <f>SUM(F12:I12)</f>
        <v>100</v>
      </c>
      <c r="N12">
        <f t="shared" ref="N12:Q14" si="2">(100/9)*F12/100</f>
        <v>0</v>
      </c>
      <c r="O12">
        <f t="shared" si="2"/>
        <v>7.8388888888888877</v>
      </c>
      <c r="P12">
        <f t="shared" si="2"/>
        <v>1.6055555555555556</v>
      </c>
      <c r="Q12">
        <f t="shared" si="2"/>
        <v>1.6666666666666665</v>
      </c>
      <c r="S12">
        <f>SUM(N12:Q12)</f>
        <v>11.111111111111109</v>
      </c>
    </row>
    <row r="13" spans="1:19" x14ac:dyDescent="0.25">
      <c r="A13" s="73"/>
      <c r="B13" s="1">
        <f>0.25*(100-D13)</f>
        <v>3.75</v>
      </c>
      <c r="C13" s="1">
        <f>0.75*(100-D13)</f>
        <v>11.25</v>
      </c>
      <c r="D13">
        <v>85</v>
      </c>
      <c r="F13" s="1">
        <f>($F$12/($F$12+$G$12+$H$12))*(100-I13)</f>
        <v>0</v>
      </c>
      <c r="G13" s="1">
        <f>($G$12/($F$12+$G$12+$H$12))*(100-I13)</f>
        <v>58.099999999999994</v>
      </c>
      <c r="H13" s="1">
        <f>($H$12/($F$12+$G$12+$H$12))*(100-I13)</f>
        <v>11.9</v>
      </c>
      <c r="I13" s="1">
        <f>I5</f>
        <v>30</v>
      </c>
      <c r="K13">
        <f>SUM(F13:I13)</f>
        <v>100</v>
      </c>
      <c r="N13">
        <f t="shared" si="2"/>
        <v>0</v>
      </c>
      <c r="O13">
        <f t="shared" si="2"/>
        <v>6.4555555555555539</v>
      </c>
      <c r="P13">
        <f t="shared" si="2"/>
        <v>1.3222222222222222</v>
      </c>
      <c r="Q13">
        <f t="shared" si="2"/>
        <v>3.333333333333333</v>
      </c>
      <c r="S13">
        <f>SUM(N13:Q13)</f>
        <v>11.111111111111109</v>
      </c>
    </row>
    <row r="14" spans="1:19" x14ac:dyDescent="0.25">
      <c r="A14" s="73"/>
      <c r="B14" s="1">
        <f>0.25*(100-D14)</f>
        <v>1.25</v>
      </c>
      <c r="C14" s="1">
        <f>0.75*(100-D14)</f>
        <v>3.75</v>
      </c>
      <c r="D14">
        <v>95</v>
      </c>
      <c r="F14" s="1">
        <f>($F$12/($F$12+$G$12+$H$12))*(100-I14)</f>
        <v>0</v>
      </c>
      <c r="G14" s="1">
        <f>($G$12/($F$12+$G$12+$H$12))*(100-I14)</f>
        <v>53.949999999999996</v>
      </c>
      <c r="H14" s="1">
        <f>($H$12/($F$12+$G$12+$H$12))*(100-I14)</f>
        <v>11.05</v>
      </c>
      <c r="I14" s="1">
        <f>I6</f>
        <v>35</v>
      </c>
      <c r="K14">
        <f>SUM(F14:I14)</f>
        <v>100</v>
      </c>
      <c r="N14">
        <f t="shared" si="2"/>
        <v>0</v>
      </c>
      <c r="O14">
        <f t="shared" si="2"/>
        <v>5.9944444444444436</v>
      </c>
      <c r="P14">
        <f t="shared" si="2"/>
        <v>1.2277777777777779</v>
      </c>
      <c r="Q14">
        <f t="shared" si="2"/>
        <v>3.8888888888888884</v>
      </c>
      <c r="S14">
        <f>SUM(N14:Q14)</f>
        <v>11.111111111111111</v>
      </c>
    </row>
    <row r="16" spans="1:19" x14ac:dyDescent="0.25">
      <c r="M16" s="9" t="s">
        <v>15</v>
      </c>
      <c r="N16" s="4">
        <f>SUM(N4:N14)</f>
        <v>9.1055555555555543</v>
      </c>
      <c r="O16" s="4">
        <f>SUM(O4:O14)</f>
        <v>58.422222222222231</v>
      </c>
      <c r="P16" s="4">
        <f>SUM(P4:P14)</f>
        <v>5.8055555555555554</v>
      </c>
      <c r="Q16" s="4">
        <f>SUM(Q4:Q14)</f>
        <v>26.666666666666668</v>
      </c>
    </row>
    <row r="17" spans="12:19" x14ac:dyDescent="0.25">
      <c r="S17" s="2" t="s">
        <v>15</v>
      </c>
    </row>
    <row r="18" spans="12:19" x14ac:dyDescent="0.25">
      <c r="L18" s="82"/>
      <c r="M18" s="7" t="s">
        <v>16</v>
      </c>
      <c r="N18" s="10">
        <f>N16</f>
        <v>9.1055555555555543</v>
      </c>
      <c r="O18" s="10">
        <f>O16</f>
        <v>58.422222222222231</v>
      </c>
      <c r="P18" s="10">
        <f>P16</f>
        <v>5.8055555555555554</v>
      </c>
      <c r="Q18" s="10">
        <f>Q16</f>
        <v>26.666666666666668</v>
      </c>
      <c r="S18">
        <f>SUM(N18:Q18)</f>
        <v>100.00000000000001</v>
      </c>
    </row>
    <row r="19" spans="12:19" x14ac:dyDescent="0.25">
      <c r="L19" s="82"/>
      <c r="M19" s="7"/>
      <c r="N19" s="7"/>
      <c r="O19" s="7"/>
      <c r="P19" s="7"/>
      <c r="Q19" s="7"/>
    </row>
    <row r="20" spans="12:19" x14ac:dyDescent="0.25">
      <c r="L20" s="82"/>
      <c r="M20" s="7" t="s">
        <v>18</v>
      </c>
      <c r="N20" s="10">
        <f>N$18-(0.1*N$18)</f>
        <v>8.1949999999999985</v>
      </c>
      <c r="O20" s="10">
        <f>O$18+(O$18/($O$18+$Q$18))*(($N$18-$N20)+($P$18-$P20))</f>
        <v>59.047411711790147</v>
      </c>
      <c r="P20" s="10">
        <f>P$18-(0*P$18)</f>
        <v>5.8055555555555554</v>
      </c>
      <c r="Q20" s="10">
        <f>Q$18+(Q$18/($O$18+$Q$18))*(($N$18-$N20)+($P$18-$P20))</f>
        <v>26.952032732654306</v>
      </c>
      <c r="S20">
        <f>SUM(N20:Q20)</f>
        <v>100</v>
      </c>
    </row>
    <row r="21" spans="12:19" x14ac:dyDescent="0.25">
      <c r="L21" s="82"/>
      <c r="M21" s="7"/>
      <c r="N21" s="10"/>
      <c r="O21" s="10"/>
      <c r="P21" s="10"/>
      <c r="Q21" s="10"/>
    </row>
    <row r="22" spans="12:19" x14ac:dyDescent="0.25">
      <c r="L22" s="82"/>
      <c r="M22" s="7" t="s">
        <v>17</v>
      </c>
      <c r="N22" s="10">
        <f>N$18-(0*N$18)</f>
        <v>9.1055555555555543</v>
      </c>
      <c r="O22" s="10">
        <f>O$18+(O$18/($O$18+$Q$18))*(($N$18-$N22)+($P$18-$P22))</f>
        <v>58.422222222222231</v>
      </c>
      <c r="P22" s="10">
        <f>P$18-(0*P$18)</f>
        <v>5.8055555555555554</v>
      </c>
      <c r="Q22" s="10">
        <f>Q$18+(Q$18/($O$18+$Q$18))*(($N$18-$N22)+($P$18-$P22))</f>
        <v>26.666666666666668</v>
      </c>
      <c r="S22">
        <f>SUM(N22:Q22)</f>
        <v>100.00000000000001</v>
      </c>
    </row>
    <row r="23" spans="12:19" x14ac:dyDescent="0.25">
      <c r="L23" s="82"/>
      <c r="M23" s="7"/>
      <c r="N23" s="10"/>
      <c r="O23" s="10"/>
      <c r="P23" s="10"/>
      <c r="Q23" s="10"/>
    </row>
    <row r="24" spans="12:19" x14ac:dyDescent="0.25">
      <c r="L24" s="82"/>
      <c r="M24" s="7" t="s">
        <v>25</v>
      </c>
      <c r="N24" s="10">
        <f>N$18-(0.1*N$18)</f>
        <v>8.1949999999999985</v>
      </c>
      <c r="O24" s="10">
        <f>O$18+(O$18/($O$18+$Q$18))*(($N$18-$N24)+($P$18-$P24))</f>
        <v>59.047411711790147</v>
      </c>
      <c r="P24" s="10">
        <f>P$18-(0*P$18)</f>
        <v>5.8055555555555554</v>
      </c>
      <c r="Q24" s="10">
        <f>Q$18+(Q$18/($O$18+$Q$18))*(($N$18-$N24)+($P$18-$P24))</f>
        <v>26.952032732654306</v>
      </c>
      <c r="S24">
        <f>SUM(N24:Q24)</f>
        <v>100</v>
      </c>
    </row>
    <row r="26" spans="12:19" x14ac:dyDescent="0.25">
      <c r="M26" t="s">
        <v>33</v>
      </c>
    </row>
    <row r="27" spans="12:19" x14ac:dyDescent="0.25">
      <c r="N27" s="57" t="s">
        <v>26</v>
      </c>
      <c r="O27" s="57" t="s">
        <v>27</v>
      </c>
      <c r="P27" s="57" t="s">
        <v>28</v>
      </c>
      <c r="Q27" s="57" t="s">
        <v>25</v>
      </c>
    </row>
    <row r="28" spans="12:19" x14ac:dyDescent="0.25">
      <c r="M28" t="s">
        <v>1</v>
      </c>
      <c r="N28" s="66">
        <f>N37</f>
        <v>10</v>
      </c>
      <c r="O28" s="66">
        <f>MROUND(O37,5)</f>
        <v>10</v>
      </c>
      <c r="P28" s="66">
        <f t="shared" ref="P28:Q28" si="3">MROUND(P37,5)</f>
        <v>10</v>
      </c>
      <c r="Q28" s="66">
        <f t="shared" si="3"/>
        <v>10</v>
      </c>
    </row>
    <row r="29" spans="12:19" x14ac:dyDescent="0.25">
      <c r="M29" t="s">
        <v>14</v>
      </c>
      <c r="N29" s="66">
        <f>N38</f>
        <v>60</v>
      </c>
      <c r="O29" s="66">
        <f t="shared" ref="O29:Q29" si="4">MROUND(O38,5)</f>
        <v>60</v>
      </c>
      <c r="P29" s="66">
        <f t="shared" si="4"/>
        <v>60</v>
      </c>
      <c r="Q29" s="66">
        <f t="shared" si="4"/>
        <v>60</v>
      </c>
    </row>
    <row r="30" spans="12:19" x14ac:dyDescent="0.25">
      <c r="M30" t="s">
        <v>2</v>
      </c>
      <c r="N30" s="66">
        <f>N39</f>
        <v>5</v>
      </c>
      <c r="O30" s="66">
        <f t="shared" ref="O30:Q30" si="5">MROUND(O39,5)</f>
        <v>5</v>
      </c>
      <c r="P30" s="66">
        <f t="shared" si="5"/>
        <v>5</v>
      </c>
      <c r="Q30" s="66">
        <f t="shared" si="5"/>
        <v>5</v>
      </c>
    </row>
    <row r="31" spans="12:19" x14ac:dyDescent="0.25">
      <c r="M31" t="s">
        <v>3</v>
      </c>
      <c r="N31" s="66">
        <f>N40</f>
        <v>25</v>
      </c>
      <c r="O31" s="66">
        <f t="shared" ref="O31:Q31" si="6">MROUND(O40,5)</f>
        <v>25</v>
      </c>
      <c r="P31" s="66">
        <f t="shared" si="6"/>
        <v>25</v>
      </c>
      <c r="Q31" s="66">
        <f t="shared" si="6"/>
        <v>25</v>
      </c>
    </row>
    <row r="32" spans="12:19" x14ac:dyDescent="0.25">
      <c r="N32" s="4"/>
      <c r="O32" s="4"/>
    </row>
    <row r="33" spans="13:17" x14ac:dyDescent="0.25">
      <c r="N33" s="66">
        <f>SUM(N28:N31)</f>
        <v>100</v>
      </c>
      <c r="O33" s="66">
        <f t="shared" ref="O33:Q33" si="7">SUM(O28:O31)</f>
        <v>100</v>
      </c>
      <c r="P33" s="66">
        <f t="shared" si="7"/>
        <v>100</v>
      </c>
      <c r="Q33" s="66">
        <f t="shared" si="7"/>
        <v>100</v>
      </c>
    </row>
    <row r="35" spans="13:17" x14ac:dyDescent="0.25">
      <c r="M35" t="s">
        <v>30</v>
      </c>
    </row>
    <row r="36" spans="13:17" x14ac:dyDescent="0.25">
      <c r="N36" s="57" t="s">
        <v>26</v>
      </c>
      <c r="O36" s="57" t="s">
        <v>27</v>
      </c>
      <c r="P36" s="57" t="s">
        <v>28</v>
      </c>
      <c r="Q36" s="57" t="s">
        <v>25</v>
      </c>
    </row>
    <row r="37" spans="13:17" x14ac:dyDescent="0.25">
      <c r="M37" t="s">
        <v>1</v>
      </c>
      <c r="N37" s="66">
        <v>10</v>
      </c>
      <c r="O37" s="67">
        <f>N37-O47</f>
        <v>9.0894444444444442</v>
      </c>
      <c r="P37" s="67">
        <f>N37-P47</f>
        <v>10</v>
      </c>
      <c r="Q37" s="67">
        <f>N37-Q47</f>
        <v>9.0894444444444442</v>
      </c>
    </row>
    <row r="38" spans="13:17" x14ac:dyDescent="0.25">
      <c r="M38" t="s">
        <v>14</v>
      </c>
      <c r="N38" s="66">
        <v>60</v>
      </c>
      <c r="O38" s="67">
        <f>N38-O48</f>
        <v>60.625189489567916</v>
      </c>
      <c r="P38" s="67">
        <f>N38-P48</f>
        <v>60</v>
      </c>
      <c r="Q38" s="67">
        <f>N38-Q48</f>
        <v>60.625189489567916</v>
      </c>
    </row>
    <row r="39" spans="13:17" x14ac:dyDescent="0.25">
      <c r="M39" t="s">
        <v>2</v>
      </c>
      <c r="N39" s="66">
        <v>5</v>
      </c>
      <c r="O39" s="67">
        <f>N39-O49</f>
        <v>5</v>
      </c>
      <c r="P39" s="67">
        <f>N39-P49</f>
        <v>5</v>
      </c>
      <c r="Q39" s="67">
        <f>N39-Q49</f>
        <v>5</v>
      </c>
    </row>
    <row r="40" spans="13:17" x14ac:dyDescent="0.25">
      <c r="M40" t="s">
        <v>3</v>
      </c>
      <c r="N40" s="66">
        <v>25</v>
      </c>
      <c r="O40" s="67">
        <f>N40-O50</f>
        <v>25.285366065987638</v>
      </c>
      <c r="P40" s="67">
        <f>N40-P50</f>
        <v>25</v>
      </c>
      <c r="Q40" s="67">
        <f>N40-Q50</f>
        <v>25.285366065987638</v>
      </c>
    </row>
    <row r="41" spans="13:17" x14ac:dyDescent="0.25">
      <c r="N41" s="4"/>
      <c r="O41" s="4"/>
    </row>
    <row r="42" spans="13:17" x14ac:dyDescent="0.25">
      <c r="N42" s="66">
        <f>SUM(N37:N40)</f>
        <v>100</v>
      </c>
      <c r="O42" s="66">
        <f t="shared" ref="O42:Q42" si="8">SUM(O37:O40)</f>
        <v>100</v>
      </c>
      <c r="P42" s="66">
        <f t="shared" si="8"/>
        <v>100</v>
      </c>
      <c r="Q42" s="66">
        <f t="shared" si="8"/>
        <v>100</v>
      </c>
    </row>
    <row r="43" spans="13:17" x14ac:dyDescent="0.25">
      <c r="N43" s="4"/>
    </row>
    <row r="45" spans="13:17" x14ac:dyDescent="0.25">
      <c r="M45" t="s">
        <v>29</v>
      </c>
      <c r="P45" s="4"/>
    </row>
    <row r="46" spans="13:17" x14ac:dyDescent="0.25">
      <c r="N46" s="57" t="s">
        <v>26</v>
      </c>
      <c r="O46" s="57" t="s">
        <v>27</v>
      </c>
      <c r="P46" s="57" t="s">
        <v>28</v>
      </c>
      <c r="Q46" s="57" t="s">
        <v>25</v>
      </c>
    </row>
    <row r="47" spans="13:17" x14ac:dyDescent="0.25">
      <c r="M47" t="s">
        <v>1</v>
      </c>
      <c r="N47" s="67">
        <f>N18</f>
        <v>9.1055555555555543</v>
      </c>
      <c r="O47" s="67">
        <f>N18-N20</f>
        <v>0.91055555555555578</v>
      </c>
      <c r="P47" s="67">
        <f>N18-N22</f>
        <v>0</v>
      </c>
      <c r="Q47" s="67">
        <f>N18-N24</f>
        <v>0.91055555555555578</v>
      </c>
    </row>
    <row r="48" spans="13:17" x14ac:dyDescent="0.25">
      <c r="M48" t="s">
        <v>14</v>
      </c>
      <c r="N48" s="67">
        <f>O18</f>
        <v>58.422222222222231</v>
      </c>
      <c r="O48" s="67">
        <f>O18-O20</f>
        <v>-0.62518948956791576</v>
      </c>
      <c r="P48" s="67">
        <f>O18-O22</f>
        <v>0</v>
      </c>
      <c r="Q48" s="67">
        <f>O18-O24</f>
        <v>-0.62518948956791576</v>
      </c>
    </row>
    <row r="49" spans="13:17" x14ac:dyDescent="0.25">
      <c r="M49" t="s">
        <v>2</v>
      </c>
      <c r="N49" s="67">
        <f>P18</f>
        <v>5.8055555555555554</v>
      </c>
      <c r="O49" s="67">
        <f>P18-P20</f>
        <v>0</v>
      </c>
      <c r="P49" s="67">
        <f>P18-P22</f>
        <v>0</v>
      </c>
      <c r="Q49" s="67">
        <f>P18-P24</f>
        <v>0</v>
      </c>
    </row>
    <row r="50" spans="13:17" x14ac:dyDescent="0.25">
      <c r="M50" t="s">
        <v>3</v>
      </c>
      <c r="N50" s="67">
        <f>Q18</f>
        <v>26.666666666666668</v>
      </c>
      <c r="O50" s="67">
        <f>Q18-Q20</f>
        <v>-0.28536606598763825</v>
      </c>
      <c r="P50" s="67">
        <f>Q18-Q22</f>
        <v>0</v>
      </c>
      <c r="Q50" s="67">
        <f>Q18-Q24</f>
        <v>-0.28536606598763825</v>
      </c>
    </row>
  </sheetData>
  <mergeCells count="7">
    <mergeCell ref="L18:L24"/>
    <mergeCell ref="N1:S1"/>
    <mergeCell ref="B1:D1"/>
    <mergeCell ref="A4:A6"/>
    <mergeCell ref="A8:A10"/>
    <mergeCell ref="A12:A14"/>
    <mergeCell ref="F1:K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Dominance Scenarios</vt:lpstr>
      <vt:lpstr>SB_Low</vt:lpstr>
      <vt:lpstr>KB_Low</vt:lpstr>
      <vt:lpstr>CO_Low</vt:lpstr>
      <vt:lpstr>RM_Low</vt:lpstr>
      <vt:lpstr>SB_High</vt:lpstr>
      <vt:lpstr>KB_High</vt:lpstr>
      <vt:lpstr>CO_High</vt:lpstr>
      <vt:lpstr>RM_High</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Gannon</dc:creator>
  <dc:description>Dominance for the "Extreme", "MoreExtreme", and "MoreExtreme2" versions of Model 3. Used for all 3 versions because the above|below split of Rest at High Index was not changed between versions, only the distribution of the points above the split was altered.</dc:description>
  <cp:lastModifiedBy>Jill Gannon</cp:lastModifiedBy>
  <dcterms:created xsi:type="dcterms:W3CDTF">2011-04-14T23:38:18Z</dcterms:created>
  <dcterms:modified xsi:type="dcterms:W3CDTF">2012-06-13T19:56:37Z</dcterms:modified>
</cp:coreProperties>
</file>