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19320" windowHeight="9975" tabRatio="656"/>
  </bookViews>
  <sheets>
    <sheet name="Dominance Scenarios" sheetId="1" r:id="rId1"/>
    <sheet name="SB_Low" sheetId="4" r:id="rId2"/>
    <sheet name="KB_Low" sheetId="5" r:id="rId3"/>
    <sheet name="CO_Low" sheetId="6" r:id="rId4"/>
    <sheet name="RM_Low" sheetId="7" r:id="rId5"/>
    <sheet name="SB_High" sheetId="8" r:id="rId6"/>
    <sheet name="KB_High" sheetId="9" r:id="rId7"/>
    <sheet name="CO_High" sheetId="10" r:id="rId8"/>
    <sheet name="RM_High" sheetId="11" r:id="rId9"/>
  </sheets>
  <calcPr calcId="145621"/>
</workbook>
</file>

<file path=xl/calcChain.xml><?xml version="1.0" encoding="utf-8"?>
<calcChain xmlns="http://schemas.openxmlformats.org/spreadsheetml/2006/main">
  <c r="O28" i="7" l="1"/>
  <c r="Q28" i="7"/>
  <c r="O29" i="7"/>
  <c r="P29" i="7"/>
  <c r="Q29" i="7"/>
  <c r="O30" i="7"/>
  <c r="P30" i="7"/>
  <c r="Q30" i="7"/>
  <c r="P24" i="7"/>
  <c r="N24" i="7"/>
  <c r="O28" i="6"/>
  <c r="P28" i="6"/>
  <c r="Q28" i="6"/>
  <c r="O29" i="6"/>
  <c r="P29" i="6"/>
  <c r="Q29" i="6"/>
  <c r="O30" i="6"/>
  <c r="P30" i="6"/>
  <c r="Q30" i="6"/>
  <c r="P24" i="6"/>
  <c r="N24" i="6"/>
  <c r="Q29" i="5"/>
  <c r="P24" i="5"/>
  <c r="N24" i="5"/>
  <c r="Q28" i="4"/>
  <c r="Q29" i="4"/>
  <c r="P24" i="4"/>
  <c r="N24" i="4"/>
  <c r="N31" i="4" l="1"/>
  <c r="N30" i="4"/>
  <c r="N29" i="4"/>
  <c r="N28" i="4"/>
  <c r="N31" i="5"/>
  <c r="N30" i="5"/>
  <c r="N29" i="5"/>
  <c r="N28" i="5"/>
  <c r="N31" i="6"/>
  <c r="N30" i="6"/>
  <c r="N29" i="6"/>
  <c r="N28" i="6"/>
  <c r="N31" i="7"/>
  <c r="N30" i="7"/>
  <c r="N29" i="7"/>
  <c r="N28" i="7"/>
  <c r="I6" i="6"/>
  <c r="I5" i="6"/>
  <c r="I4" i="6"/>
  <c r="I6" i="5"/>
  <c r="I5" i="5"/>
  <c r="I4" i="5"/>
  <c r="I6" i="4"/>
  <c r="I5" i="4"/>
  <c r="I4" i="4"/>
  <c r="I6" i="7"/>
  <c r="I5" i="7"/>
  <c r="I4" i="7"/>
  <c r="N31" i="11"/>
  <c r="N30" i="11"/>
  <c r="N29" i="11"/>
  <c r="N28" i="11"/>
  <c r="N31" i="10"/>
  <c r="N30" i="10"/>
  <c r="N29" i="10"/>
  <c r="N28" i="10"/>
  <c r="N31" i="9"/>
  <c r="N30" i="9"/>
  <c r="N29" i="9"/>
  <c r="N28" i="9"/>
  <c r="N31" i="8"/>
  <c r="N30" i="8"/>
  <c r="N29" i="8"/>
  <c r="N28" i="8"/>
  <c r="G4" i="11"/>
  <c r="N42" i="11" l="1"/>
  <c r="N33" i="11"/>
  <c r="N42" i="10"/>
  <c r="N33" i="10"/>
  <c r="N42" i="9"/>
  <c r="N33" i="9"/>
  <c r="N42" i="8"/>
  <c r="N33" i="8"/>
  <c r="N42" i="7"/>
  <c r="N33" i="7"/>
  <c r="N42" i="6"/>
  <c r="N33" i="6"/>
  <c r="N42" i="5"/>
  <c r="N33" i="5"/>
  <c r="N33" i="4"/>
  <c r="N42" i="4"/>
  <c r="H4" i="5"/>
  <c r="H4" i="11"/>
  <c r="G4" i="7"/>
  <c r="F4" i="11" l="1"/>
  <c r="B5" i="8"/>
  <c r="B6" i="8"/>
  <c r="B9" i="8"/>
  <c r="B10" i="8"/>
  <c r="H4" i="10"/>
  <c r="F4" i="10"/>
  <c r="G4" i="6"/>
  <c r="F4" i="6" s="1"/>
  <c r="H6" i="9"/>
  <c r="G6" i="9"/>
  <c r="H5" i="9"/>
  <c r="G5" i="9"/>
  <c r="H4" i="6" l="1"/>
  <c r="H6" i="5"/>
  <c r="G6" i="5"/>
  <c r="G5" i="5"/>
  <c r="H5" i="5"/>
  <c r="G4" i="4"/>
  <c r="F4" i="4"/>
  <c r="G6" i="4"/>
  <c r="F6" i="4"/>
  <c r="F5" i="4"/>
  <c r="G5" i="4"/>
  <c r="F4" i="7"/>
  <c r="H4" i="7" l="1"/>
  <c r="G6" i="8" l="1"/>
  <c r="F6" i="8"/>
  <c r="G5" i="8"/>
  <c r="F5" i="8"/>
  <c r="I14" i="9" l="1"/>
  <c r="I13" i="9"/>
  <c r="I12" i="9"/>
  <c r="G12" i="9" s="1"/>
  <c r="I10" i="9"/>
  <c r="I9" i="9"/>
  <c r="G9" i="9" s="1"/>
  <c r="I8" i="9"/>
  <c r="G8" i="9" s="1"/>
  <c r="I14" i="6"/>
  <c r="I14" i="5"/>
  <c r="G14" i="5" s="1"/>
  <c r="I13" i="6"/>
  <c r="I9" i="5"/>
  <c r="I8" i="5"/>
  <c r="I14" i="4"/>
  <c r="I9" i="4"/>
  <c r="I10" i="7"/>
  <c r="I14" i="11"/>
  <c r="I13" i="11"/>
  <c r="I12" i="11"/>
  <c r="I10" i="11"/>
  <c r="I9" i="11"/>
  <c r="I8" i="11"/>
  <c r="I14" i="10"/>
  <c r="I13" i="10"/>
  <c r="I12" i="10"/>
  <c r="I10" i="10"/>
  <c r="I9" i="10"/>
  <c r="I8" i="10"/>
  <c r="I14" i="8"/>
  <c r="I13" i="8"/>
  <c r="I12" i="8"/>
  <c r="I10" i="8"/>
  <c r="I9" i="8"/>
  <c r="I8" i="8"/>
  <c r="H14" i="8"/>
  <c r="H13" i="8"/>
  <c r="H10" i="8"/>
  <c r="H9" i="8"/>
  <c r="I14" i="7"/>
  <c r="I13" i="7"/>
  <c r="I12" i="7"/>
  <c r="I9" i="7"/>
  <c r="I8" i="7"/>
  <c r="I12" i="6"/>
  <c r="G12" i="6" s="1"/>
  <c r="I8" i="6"/>
  <c r="G8" i="6" s="1"/>
  <c r="I12" i="5"/>
  <c r="I13" i="4"/>
  <c r="G13" i="4" s="1"/>
  <c r="I12" i="4"/>
  <c r="I10" i="4"/>
  <c r="G10" i="4" s="1"/>
  <c r="I8" i="4"/>
  <c r="H12" i="11" l="1"/>
  <c r="G12" i="11"/>
  <c r="F10" i="8"/>
  <c r="F8" i="11"/>
  <c r="G8" i="11"/>
  <c r="F12" i="11"/>
  <c r="F8" i="7"/>
  <c r="G8" i="7"/>
  <c r="H12" i="7"/>
  <c r="G12" i="7"/>
  <c r="F12" i="7"/>
  <c r="H8" i="11"/>
  <c r="F12" i="6"/>
  <c r="H12" i="6"/>
  <c r="G13" i="6"/>
  <c r="G14" i="6"/>
  <c r="F9" i="8"/>
  <c r="G14" i="8"/>
  <c r="F14" i="8"/>
  <c r="F13" i="8"/>
  <c r="G13" i="8"/>
  <c r="I10" i="6"/>
  <c r="G10" i="6" s="1"/>
  <c r="I9" i="6"/>
  <c r="G9" i="6" s="1"/>
  <c r="G5" i="6"/>
  <c r="H8" i="6"/>
  <c r="F8" i="6"/>
  <c r="G6" i="10"/>
  <c r="G5" i="10"/>
  <c r="G6" i="6"/>
  <c r="H6" i="6" s="1"/>
  <c r="I10" i="5"/>
  <c r="H10" i="5" s="1"/>
  <c r="H14" i="5"/>
  <c r="G10" i="5"/>
  <c r="I13" i="5"/>
  <c r="H13" i="5" s="1"/>
  <c r="G9" i="5"/>
  <c r="H9" i="5"/>
  <c r="F14" i="4"/>
  <c r="G14" i="4"/>
  <c r="F10" i="4"/>
  <c r="G9" i="4"/>
  <c r="F9" i="4"/>
  <c r="F13" i="4"/>
  <c r="G10" i="8"/>
  <c r="G9" i="8"/>
  <c r="H14" i="6" l="1"/>
  <c r="H13" i="6"/>
  <c r="F14" i="6"/>
  <c r="H10" i="6"/>
  <c r="F13" i="6"/>
  <c r="H8" i="7"/>
  <c r="F5" i="6"/>
  <c r="N5" i="6" s="1"/>
  <c r="F10" i="6"/>
  <c r="N10" i="6" s="1"/>
  <c r="G13" i="10"/>
  <c r="H13" i="10" s="1"/>
  <c r="P13" i="10" s="1"/>
  <c r="G14" i="10"/>
  <c r="F14" i="10" s="1"/>
  <c r="N14" i="10" s="1"/>
  <c r="F9" i="6"/>
  <c r="N9" i="6" s="1"/>
  <c r="H6" i="10"/>
  <c r="P6" i="10" s="1"/>
  <c r="F6" i="6"/>
  <c r="N6" i="6" s="1"/>
  <c r="H5" i="6"/>
  <c r="P5" i="6" s="1"/>
  <c r="G10" i="10"/>
  <c r="G9" i="10"/>
  <c r="O9" i="10" s="1"/>
  <c r="H9" i="6"/>
  <c r="H8" i="10"/>
  <c r="H9" i="10" s="1"/>
  <c r="P9" i="10" s="1"/>
  <c r="G13" i="5"/>
  <c r="Q10" i="11"/>
  <c r="Q4" i="11"/>
  <c r="Q8" i="11"/>
  <c r="Q5" i="11"/>
  <c r="Q14" i="11"/>
  <c r="C14" i="11"/>
  <c r="B14" i="11"/>
  <c r="Q13" i="11"/>
  <c r="C13" i="11"/>
  <c r="B13" i="11"/>
  <c r="Q12" i="11"/>
  <c r="C12" i="11"/>
  <c r="B12" i="11"/>
  <c r="C10" i="11"/>
  <c r="B10" i="11"/>
  <c r="Q9" i="11"/>
  <c r="C9" i="11"/>
  <c r="B9" i="11"/>
  <c r="O8" i="11"/>
  <c r="F10" i="11"/>
  <c r="C8" i="11"/>
  <c r="B8" i="11"/>
  <c r="Q6" i="11"/>
  <c r="C6" i="11"/>
  <c r="B6" i="11"/>
  <c r="C5" i="11"/>
  <c r="B5" i="11"/>
  <c r="C4" i="11"/>
  <c r="B4" i="11"/>
  <c r="Q14" i="10"/>
  <c r="Q13" i="10"/>
  <c r="Q12" i="10"/>
  <c r="P12" i="10"/>
  <c r="O12" i="10"/>
  <c r="N12" i="10"/>
  <c r="K12" i="10"/>
  <c r="Q10" i="10"/>
  <c r="O10" i="10"/>
  <c r="C10" i="10"/>
  <c r="B10" i="10"/>
  <c r="Q9" i="10"/>
  <c r="C9" i="10"/>
  <c r="B9" i="10"/>
  <c r="Q8" i="10"/>
  <c r="P8" i="10"/>
  <c r="O8" i="10"/>
  <c r="N8" i="10"/>
  <c r="Q6" i="10"/>
  <c r="O6" i="10"/>
  <c r="Q5" i="10"/>
  <c r="O5" i="10"/>
  <c r="Q4" i="10"/>
  <c r="O4" i="10"/>
  <c r="N4" i="10"/>
  <c r="K4" i="10"/>
  <c r="H14" i="9"/>
  <c r="G14" i="9"/>
  <c r="G10" i="9"/>
  <c r="H10" i="9"/>
  <c r="Q14" i="9"/>
  <c r="N14" i="9"/>
  <c r="C14" i="9"/>
  <c r="B14" i="9"/>
  <c r="Q13" i="9"/>
  <c r="N13" i="9"/>
  <c r="H13" i="9"/>
  <c r="G13" i="9"/>
  <c r="C13" i="9"/>
  <c r="B13" i="9"/>
  <c r="Q12" i="9"/>
  <c r="P12" i="9"/>
  <c r="O12" i="9"/>
  <c r="N12" i="9"/>
  <c r="K12" i="9"/>
  <c r="Q10" i="9"/>
  <c r="N10" i="9"/>
  <c r="C10" i="9"/>
  <c r="B10" i="9"/>
  <c r="Q9" i="9"/>
  <c r="N9" i="9"/>
  <c r="H9" i="9"/>
  <c r="C9" i="9"/>
  <c r="B9" i="9"/>
  <c r="Q8" i="9"/>
  <c r="P8" i="9"/>
  <c r="O8" i="9"/>
  <c r="N8" i="9"/>
  <c r="K8" i="9"/>
  <c r="Q6" i="9"/>
  <c r="N6" i="9"/>
  <c r="P6" i="9"/>
  <c r="O6" i="9"/>
  <c r="C6" i="9"/>
  <c r="B6" i="9"/>
  <c r="Q5" i="9"/>
  <c r="N5" i="9"/>
  <c r="P5" i="9"/>
  <c r="O5" i="9"/>
  <c r="C5" i="9"/>
  <c r="B5" i="9"/>
  <c r="Q4" i="9"/>
  <c r="P4" i="9"/>
  <c r="O4" i="9"/>
  <c r="N4" i="9"/>
  <c r="K4" i="9"/>
  <c r="O13" i="8"/>
  <c r="N13" i="8"/>
  <c r="Q14" i="8"/>
  <c r="P14" i="8"/>
  <c r="O14" i="8"/>
  <c r="N14" i="8"/>
  <c r="C14" i="8"/>
  <c r="B14" i="8"/>
  <c r="Q13" i="8"/>
  <c r="P13" i="8"/>
  <c r="C13" i="8"/>
  <c r="B13" i="8"/>
  <c r="Q12" i="8"/>
  <c r="P12" i="8"/>
  <c r="O12" i="8"/>
  <c r="N12" i="8"/>
  <c r="K12" i="8"/>
  <c r="Q10" i="8"/>
  <c r="P10" i="8"/>
  <c r="O10" i="8"/>
  <c r="N10" i="8"/>
  <c r="C10" i="8"/>
  <c r="Q9" i="8"/>
  <c r="P9" i="8"/>
  <c r="O9" i="8"/>
  <c r="N9" i="8"/>
  <c r="C9" i="8"/>
  <c r="Q8" i="8"/>
  <c r="P8" i="8"/>
  <c r="O8" i="8"/>
  <c r="N8" i="8"/>
  <c r="K8" i="8"/>
  <c r="Q6" i="8"/>
  <c r="P6" i="8"/>
  <c r="O6" i="8"/>
  <c r="N6" i="8"/>
  <c r="C6" i="8"/>
  <c r="Q5" i="8"/>
  <c r="P5" i="8"/>
  <c r="O5" i="8"/>
  <c r="N5" i="8"/>
  <c r="C5" i="8"/>
  <c r="Q4" i="8"/>
  <c r="P4" i="8"/>
  <c r="O4" i="8"/>
  <c r="N4" i="8"/>
  <c r="K4" i="8"/>
  <c r="Q14" i="7"/>
  <c r="Q10" i="7"/>
  <c r="N4" i="7"/>
  <c r="Q6" i="7"/>
  <c r="Q5" i="7"/>
  <c r="P4" i="7"/>
  <c r="Q13" i="7"/>
  <c r="Q12" i="7"/>
  <c r="O12" i="7"/>
  <c r="Q9" i="7"/>
  <c r="Q8" i="7"/>
  <c r="Q4" i="7"/>
  <c r="Q14" i="6"/>
  <c r="Q13" i="6"/>
  <c r="Q12" i="6"/>
  <c r="O12" i="6"/>
  <c r="N12" i="6"/>
  <c r="Q10" i="6"/>
  <c r="Q9" i="6"/>
  <c r="Q8" i="6"/>
  <c r="P8" i="6"/>
  <c r="O8" i="6"/>
  <c r="N8" i="6"/>
  <c r="K8" i="6"/>
  <c r="Q6" i="6"/>
  <c r="P6" i="6"/>
  <c r="Q5" i="6"/>
  <c r="O5" i="6"/>
  <c r="Q4" i="6"/>
  <c r="P4" i="6"/>
  <c r="O4" i="6"/>
  <c r="N4" i="6"/>
  <c r="K4" i="6"/>
  <c r="P10" i="9" l="1"/>
  <c r="O14" i="10"/>
  <c r="Q16" i="6"/>
  <c r="Q18" i="6" s="1"/>
  <c r="N50" i="6" s="1"/>
  <c r="P4" i="10"/>
  <c r="S4" i="10" s="1"/>
  <c r="O13" i="10"/>
  <c r="F13" i="10"/>
  <c r="K13" i="10" s="1"/>
  <c r="Q16" i="9"/>
  <c r="Q18" i="9" s="1"/>
  <c r="N50" i="9" s="1"/>
  <c r="K8" i="10"/>
  <c r="H10" i="10"/>
  <c r="P10" i="10" s="1"/>
  <c r="H5" i="10"/>
  <c r="P5" i="10" s="1"/>
  <c r="F5" i="10"/>
  <c r="N5" i="10" s="1"/>
  <c r="F6" i="10"/>
  <c r="N6" i="10" s="1"/>
  <c r="S6" i="10" s="1"/>
  <c r="F9" i="10"/>
  <c r="K9" i="10" s="1"/>
  <c r="F10" i="10"/>
  <c r="N10" i="10" s="1"/>
  <c r="H14" i="10"/>
  <c r="P14" i="10" s="1"/>
  <c r="S8" i="9"/>
  <c r="S4" i="8"/>
  <c r="P16" i="8"/>
  <c r="P18" i="8" s="1"/>
  <c r="G14" i="7"/>
  <c r="O14" i="7" s="1"/>
  <c r="S4" i="9"/>
  <c r="S12" i="8"/>
  <c r="S14" i="8"/>
  <c r="S6" i="8"/>
  <c r="H10" i="11"/>
  <c r="P10" i="11" s="1"/>
  <c r="Q16" i="11"/>
  <c r="Q18" i="11" s="1"/>
  <c r="N50" i="11" s="1"/>
  <c r="N10" i="11"/>
  <c r="O4" i="11"/>
  <c r="N8" i="11"/>
  <c r="P8" i="11"/>
  <c r="G9" i="11"/>
  <c r="O9" i="11" s="1"/>
  <c r="G10" i="11"/>
  <c r="O10" i="11" s="1"/>
  <c r="O12" i="11"/>
  <c r="K8" i="11"/>
  <c r="F9" i="11"/>
  <c r="H9" i="11"/>
  <c r="P9" i="11" s="1"/>
  <c r="S12" i="10"/>
  <c r="Q16" i="10"/>
  <c r="Q18" i="10" s="1"/>
  <c r="N50" i="10" s="1"/>
  <c r="S8" i="10"/>
  <c r="K14" i="10"/>
  <c r="P14" i="9"/>
  <c r="S12" i="9"/>
  <c r="S5" i="9"/>
  <c r="S6" i="9"/>
  <c r="O14" i="9"/>
  <c r="K14" i="9"/>
  <c r="O10" i="9"/>
  <c r="K10" i="9"/>
  <c r="K5" i="9"/>
  <c r="K6" i="9"/>
  <c r="K9" i="9"/>
  <c r="O9" i="9"/>
  <c r="K13" i="9"/>
  <c r="O13" i="9"/>
  <c r="N16" i="9"/>
  <c r="N18" i="9" s="1"/>
  <c r="P9" i="9"/>
  <c r="P13" i="9"/>
  <c r="S13" i="8"/>
  <c r="O16" i="8"/>
  <c r="O18" i="8" s="1"/>
  <c r="N48" i="8" s="1"/>
  <c r="S8" i="8"/>
  <c r="Q16" i="8"/>
  <c r="Q18" i="8" s="1"/>
  <c r="N50" i="8" s="1"/>
  <c r="S5" i="8"/>
  <c r="S9" i="8"/>
  <c r="S10" i="8"/>
  <c r="K5" i="8"/>
  <c r="K6" i="8"/>
  <c r="K9" i="8"/>
  <c r="K10" i="8"/>
  <c r="K13" i="8"/>
  <c r="K14" i="8"/>
  <c r="N16" i="8"/>
  <c r="N18" i="8" s="1"/>
  <c r="H14" i="7"/>
  <c r="P14" i="7" s="1"/>
  <c r="H13" i="7"/>
  <c r="P13" i="7" s="1"/>
  <c r="G13" i="7"/>
  <c r="O13" i="7" s="1"/>
  <c r="F14" i="7"/>
  <c r="N14" i="7" s="1"/>
  <c r="F13" i="7"/>
  <c r="N13" i="7" s="1"/>
  <c r="G5" i="7"/>
  <c r="O5" i="7" s="1"/>
  <c r="H6" i="7"/>
  <c r="P6" i="7" s="1"/>
  <c r="F6" i="7"/>
  <c r="N6" i="7" s="1"/>
  <c r="F5" i="7"/>
  <c r="N5" i="7" s="1"/>
  <c r="H5" i="7"/>
  <c r="P5" i="7" s="1"/>
  <c r="G6" i="7"/>
  <c r="O6" i="7" s="1"/>
  <c r="N12" i="7"/>
  <c r="K12" i="7"/>
  <c r="P12" i="7"/>
  <c r="P8" i="7"/>
  <c r="O8" i="7"/>
  <c r="K4" i="7"/>
  <c r="O4" i="7"/>
  <c r="S4" i="7" s="1"/>
  <c r="Q16" i="7"/>
  <c r="Q18" i="7" s="1"/>
  <c r="N50" i="7" s="1"/>
  <c r="P10" i="6"/>
  <c r="S8" i="6"/>
  <c r="S4" i="6"/>
  <c r="K6" i="6"/>
  <c r="O10" i="6"/>
  <c r="K10" i="6"/>
  <c r="S5" i="6"/>
  <c r="O14" i="6"/>
  <c r="K5" i="6"/>
  <c r="O6" i="6"/>
  <c r="S6" i="6" s="1"/>
  <c r="K9" i="6"/>
  <c r="O9" i="6"/>
  <c r="O13" i="6"/>
  <c r="P9" i="6"/>
  <c r="P6" i="5"/>
  <c r="P5" i="5"/>
  <c r="O6" i="5"/>
  <c r="O5" i="5"/>
  <c r="B6" i="5"/>
  <c r="B5" i="5"/>
  <c r="G6" i="1"/>
  <c r="G5" i="1"/>
  <c r="O14" i="5"/>
  <c r="N14" i="5"/>
  <c r="N13" i="5"/>
  <c r="N5" i="5"/>
  <c r="Q14" i="5"/>
  <c r="P14" i="5"/>
  <c r="Q13" i="5"/>
  <c r="P13" i="5"/>
  <c r="O13" i="5"/>
  <c r="Q12" i="5"/>
  <c r="P12" i="5"/>
  <c r="O12" i="5"/>
  <c r="N12" i="5"/>
  <c r="K12" i="5"/>
  <c r="Q10" i="5"/>
  <c r="P10" i="5"/>
  <c r="O10" i="5"/>
  <c r="N10" i="5"/>
  <c r="Q9" i="5"/>
  <c r="P9" i="5"/>
  <c r="O9" i="5"/>
  <c r="N9" i="5"/>
  <c r="Q8" i="5"/>
  <c r="P8" i="5"/>
  <c r="O8" i="5"/>
  <c r="N8" i="5"/>
  <c r="K8" i="5"/>
  <c r="Q6" i="5"/>
  <c r="N6" i="5"/>
  <c r="Q5" i="5"/>
  <c r="Q4" i="5"/>
  <c r="P4" i="5"/>
  <c r="O4" i="5"/>
  <c r="N4" i="5"/>
  <c r="K4" i="5"/>
  <c r="N47" i="8" l="1"/>
  <c r="N20" i="8"/>
  <c r="N22" i="8"/>
  <c r="P47" i="8" s="1"/>
  <c r="P37" i="8" s="1"/>
  <c r="P28" i="8" s="1"/>
  <c r="N47" i="9"/>
  <c r="N22" i="9"/>
  <c r="N20" i="9"/>
  <c r="N24" i="9"/>
  <c r="Q47" i="9" s="1"/>
  <c r="Q37" i="9" s="1"/>
  <c r="Q28" i="9" s="1"/>
  <c r="O47" i="9"/>
  <c r="O37" i="9" s="1"/>
  <c r="O28" i="9" s="1"/>
  <c r="P47" i="9"/>
  <c r="P37" i="9" s="1"/>
  <c r="P28" i="9" s="1"/>
  <c r="P22" i="8"/>
  <c r="P49" i="8" s="1"/>
  <c r="P39" i="8" s="1"/>
  <c r="P30" i="8" s="1"/>
  <c r="N49" i="8"/>
  <c r="P24" i="8"/>
  <c r="Q49" i="8" s="1"/>
  <c r="Q39" i="8" s="1"/>
  <c r="Q30" i="8" s="1"/>
  <c r="S5" i="10"/>
  <c r="S10" i="9"/>
  <c r="N24" i="8"/>
  <c r="Q47" i="8" s="1"/>
  <c r="Q37" i="8" s="1"/>
  <c r="Q28" i="8" s="1"/>
  <c r="O16" i="10"/>
  <c r="O18" i="10" s="1"/>
  <c r="N48" i="10" s="1"/>
  <c r="S10" i="10"/>
  <c r="K10" i="10"/>
  <c r="N13" i="10"/>
  <c r="S13" i="10" s="1"/>
  <c r="K6" i="10"/>
  <c r="S14" i="10"/>
  <c r="P16" i="10"/>
  <c r="P18" i="10" s="1"/>
  <c r="S14" i="9"/>
  <c r="P20" i="8"/>
  <c r="O49" i="8" s="1"/>
  <c r="O39" i="8" s="1"/>
  <c r="O30" i="8" s="1"/>
  <c r="O47" i="8"/>
  <c r="O37" i="8" s="1"/>
  <c r="O28" i="8" s="1"/>
  <c r="N9" i="10"/>
  <c r="S9" i="10" s="1"/>
  <c r="K5" i="10"/>
  <c r="Q16" i="5"/>
  <c r="Q18" i="5" s="1"/>
  <c r="N50" i="5" s="1"/>
  <c r="S4" i="5"/>
  <c r="S12" i="7"/>
  <c r="S8" i="11"/>
  <c r="K10" i="11"/>
  <c r="P12" i="11"/>
  <c r="H14" i="11"/>
  <c r="P14" i="11" s="1"/>
  <c r="H13" i="11"/>
  <c r="P13" i="11" s="1"/>
  <c r="P4" i="11"/>
  <c r="H6" i="11"/>
  <c r="P6" i="11" s="1"/>
  <c r="H5" i="11"/>
  <c r="P5" i="11" s="1"/>
  <c r="G13" i="11"/>
  <c r="O13" i="11" s="1"/>
  <c r="N12" i="11"/>
  <c r="F14" i="11"/>
  <c r="F13" i="11"/>
  <c r="K12" i="11"/>
  <c r="K9" i="11"/>
  <c r="N9" i="11"/>
  <c r="S9" i="11" s="1"/>
  <c r="G5" i="11"/>
  <c r="O5" i="11" s="1"/>
  <c r="N4" i="11"/>
  <c r="F6" i="11"/>
  <c r="F5" i="11"/>
  <c r="K4" i="11"/>
  <c r="S10" i="11"/>
  <c r="G6" i="11"/>
  <c r="O6" i="11" s="1"/>
  <c r="G14" i="11"/>
  <c r="O14" i="11" s="1"/>
  <c r="P16" i="9"/>
  <c r="P18" i="9" s="1"/>
  <c r="S13" i="9"/>
  <c r="O16" i="9"/>
  <c r="O18" i="9" s="1"/>
  <c r="N48" i="9" s="1"/>
  <c r="S9" i="9"/>
  <c r="S18" i="8"/>
  <c r="K13" i="7"/>
  <c r="H9" i="7"/>
  <c r="P9" i="7" s="1"/>
  <c r="F10" i="7"/>
  <c r="G9" i="7"/>
  <c r="O9" i="7" s="1"/>
  <c r="G10" i="7"/>
  <c r="O10" i="7" s="1"/>
  <c r="F9" i="7"/>
  <c r="H10" i="7"/>
  <c r="P10" i="7" s="1"/>
  <c r="S6" i="7"/>
  <c r="S14" i="7"/>
  <c r="S13" i="7"/>
  <c r="K8" i="7"/>
  <c r="N8" i="7"/>
  <c r="K5" i="7"/>
  <c r="K14" i="7"/>
  <c r="K6" i="7"/>
  <c r="S5" i="7"/>
  <c r="S10" i="6"/>
  <c r="S9" i="6"/>
  <c r="O16" i="6"/>
  <c r="O18" i="6" s="1"/>
  <c r="N48" i="6" s="1"/>
  <c r="P16" i="5"/>
  <c r="P18" i="5" s="1"/>
  <c r="N49" i="5" s="1"/>
  <c r="S14" i="5"/>
  <c r="S13" i="5"/>
  <c r="S12" i="5"/>
  <c r="S10" i="5"/>
  <c r="S9" i="5"/>
  <c r="S6" i="5"/>
  <c r="S5" i="5"/>
  <c r="O16" i="5"/>
  <c r="O18" i="5" s="1"/>
  <c r="N48" i="5" s="1"/>
  <c r="S8" i="5"/>
  <c r="K5" i="5"/>
  <c r="K13" i="5"/>
  <c r="K14" i="5"/>
  <c r="N16" i="5"/>
  <c r="N18" i="5" s="1"/>
  <c r="K6" i="5"/>
  <c r="K9" i="5"/>
  <c r="K10" i="5"/>
  <c r="Q14" i="4"/>
  <c r="P14" i="4"/>
  <c r="Q13" i="4"/>
  <c r="P13" i="4"/>
  <c r="Q12" i="4"/>
  <c r="P12" i="4"/>
  <c r="O12" i="4"/>
  <c r="N12" i="4"/>
  <c r="Q10" i="4"/>
  <c r="P10" i="4"/>
  <c r="N10" i="4"/>
  <c r="Q9" i="4"/>
  <c r="P9" i="4"/>
  <c r="N9" i="4"/>
  <c r="Q8" i="4"/>
  <c r="P8" i="4"/>
  <c r="O8" i="4"/>
  <c r="N8" i="4"/>
  <c r="Q6" i="4"/>
  <c r="P6" i="4"/>
  <c r="Q5" i="4"/>
  <c r="P5" i="4"/>
  <c r="Q4" i="4"/>
  <c r="P4" i="4"/>
  <c r="O4" i="4"/>
  <c r="N4" i="4"/>
  <c r="O14" i="4"/>
  <c r="O6" i="4"/>
  <c r="O5" i="4"/>
  <c r="K12" i="4"/>
  <c r="K10" i="4"/>
  <c r="K9" i="4"/>
  <c r="K8" i="4"/>
  <c r="K4" i="4"/>
  <c r="N14" i="4"/>
  <c r="O10" i="4"/>
  <c r="O9" i="4"/>
  <c r="O13" i="4"/>
  <c r="N13" i="4"/>
  <c r="N6" i="4"/>
  <c r="C14" i="7"/>
  <c r="B14" i="7"/>
  <c r="C13" i="7"/>
  <c r="B13" i="7"/>
  <c r="C12" i="7"/>
  <c r="B12" i="7"/>
  <c r="C10" i="7"/>
  <c r="B10" i="7"/>
  <c r="C9" i="7"/>
  <c r="B9" i="7"/>
  <c r="C8" i="7"/>
  <c r="B8" i="7"/>
  <c r="C6" i="7"/>
  <c r="B6" i="7"/>
  <c r="C5" i="7"/>
  <c r="B5" i="7"/>
  <c r="C4" i="7"/>
  <c r="B4" i="7"/>
  <c r="C10" i="6"/>
  <c r="B10" i="6"/>
  <c r="C9" i="6"/>
  <c r="B9" i="6"/>
  <c r="C14" i="5"/>
  <c r="B14" i="5"/>
  <c r="C13" i="5"/>
  <c r="B13" i="5"/>
  <c r="C10" i="5"/>
  <c r="B10" i="5"/>
  <c r="C9" i="5"/>
  <c r="B9" i="5"/>
  <c r="C6" i="5"/>
  <c r="C5" i="5"/>
  <c r="C14" i="4"/>
  <c r="B14" i="4"/>
  <c r="C13" i="4"/>
  <c r="B13" i="4"/>
  <c r="C10" i="4"/>
  <c r="B10" i="4"/>
  <c r="C9" i="4"/>
  <c r="B9" i="4"/>
  <c r="B6" i="4"/>
  <c r="C6" i="4" s="1"/>
  <c r="B5" i="4"/>
  <c r="C5" i="4" s="1"/>
  <c r="M10" i="1"/>
  <c r="M9" i="1"/>
  <c r="L10" i="1"/>
  <c r="L9" i="1"/>
  <c r="R14" i="1"/>
  <c r="Q14" i="1"/>
  <c r="R13" i="1"/>
  <c r="Q13" i="1"/>
  <c r="R12" i="1"/>
  <c r="Q12" i="1"/>
  <c r="R10" i="1"/>
  <c r="Q10" i="1"/>
  <c r="R9" i="1"/>
  <c r="Q9" i="1"/>
  <c r="R8" i="1"/>
  <c r="Q8" i="1"/>
  <c r="R6" i="1"/>
  <c r="Q6" i="1"/>
  <c r="R5" i="1"/>
  <c r="Q5" i="1"/>
  <c r="R4" i="1"/>
  <c r="Q4" i="1"/>
  <c r="G14" i="1"/>
  <c r="G13" i="1"/>
  <c r="G10" i="1"/>
  <c r="G9" i="1"/>
  <c r="H14" i="1"/>
  <c r="H13" i="1"/>
  <c r="H10" i="1"/>
  <c r="H9" i="1"/>
  <c r="H6" i="1"/>
  <c r="H5" i="1"/>
  <c r="C14" i="1"/>
  <c r="B14" i="1"/>
  <c r="C13" i="1"/>
  <c r="B13" i="1"/>
  <c r="C10" i="1"/>
  <c r="B10" i="1"/>
  <c r="C9" i="1"/>
  <c r="B9" i="1"/>
  <c r="B6" i="1"/>
  <c r="C6" i="1" s="1"/>
  <c r="B5" i="1"/>
  <c r="C5" i="1" s="1"/>
  <c r="S14" i="4" l="1"/>
  <c r="N47" i="5"/>
  <c r="N20" i="5"/>
  <c r="Q20" i="5" s="1"/>
  <c r="O50" i="5" s="1"/>
  <c r="O40" i="5" s="1"/>
  <c r="O31" i="5" s="1"/>
  <c r="N22" i="5"/>
  <c r="Q47" i="5"/>
  <c r="Q37" i="5" s="1"/>
  <c r="O47" i="5"/>
  <c r="O37" i="5" s="1"/>
  <c r="P47" i="5"/>
  <c r="P37" i="5" s="1"/>
  <c r="N49" i="9"/>
  <c r="P22" i="9"/>
  <c r="N49" i="10"/>
  <c r="P22" i="10"/>
  <c r="O24" i="5"/>
  <c r="P22" i="5"/>
  <c r="O22" i="5" s="1"/>
  <c r="P20" i="5"/>
  <c r="P24" i="9"/>
  <c r="Q24" i="9" s="1"/>
  <c r="Q50" i="9" s="1"/>
  <c r="Q40" i="9" s="1"/>
  <c r="Q31" i="9" s="1"/>
  <c r="O22" i="9"/>
  <c r="P20" i="9"/>
  <c r="Q20" i="9" s="1"/>
  <c r="O50" i="9" s="1"/>
  <c r="O40" i="9" s="1"/>
  <c r="O31" i="9" s="1"/>
  <c r="Q24" i="5"/>
  <c r="P24" i="10"/>
  <c r="Q49" i="10" s="1"/>
  <c r="Q39" i="10" s="1"/>
  <c r="Q30" i="10" s="1"/>
  <c r="P49" i="10"/>
  <c r="P39" i="10" s="1"/>
  <c r="P30" i="10" s="1"/>
  <c r="P20" i="10"/>
  <c r="O49" i="10" s="1"/>
  <c r="O39" i="10" s="1"/>
  <c r="O30" i="10" s="1"/>
  <c r="N16" i="10"/>
  <c r="N18" i="10" s="1"/>
  <c r="Q49" i="5"/>
  <c r="Q39" i="5" s="1"/>
  <c r="Q30" i="5" s="1"/>
  <c r="S18" i="9"/>
  <c r="S12" i="4"/>
  <c r="S8" i="4"/>
  <c r="O20" i="8"/>
  <c r="O48" i="8" s="1"/>
  <c r="O38" i="8" s="1"/>
  <c r="O29" i="8" s="1"/>
  <c r="O22" i="8"/>
  <c r="P48" i="8" s="1"/>
  <c r="P38" i="8" s="1"/>
  <c r="P29" i="8" s="1"/>
  <c r="O24" i="8"/>
  <c r="Q48" i="8" s="1"/>
  <c r="Q38" i="8" s="1"/>
  <c r="Q29" i="8" s="1"/>
  <c r="Q22" i="8"/>
  <c r="P50" i="8" s="1"/>
  <c r="P40" i="8" s="1"/>
  <c r="P31" i="8" s="1"/>
  <c r="Q24" i="8"/>
  <c r="Q50" i="8" s="1"/>
  <c r="Q40" i="8" s="1"/>
  <c r="Q31" i="8" s="1"/>
  <c r="Q20" i="8"/>
  <c r="O50" i="8" s="1"/>
  <c r="O40" i="8" s="1"/>
  <c r="O31" i="8" s="1"/>
  <c r="S13" i="4"/>
  <c r="S10" i="4"/>
  <c r="S4" i="4"/>
  <c r="Q16" i="4"/>
  <c r="Q18" i="4" s="1"/>
  <c r="N50" i="4" s="1"/>
  <c r="O16" i="11"/>
  <c r="O18" i="11" s="1"/>
  <c r="N48" i="11" s="1"/>
  <c r="S4" i="11"/>
  <c r="N6" i="11"/>
  <c r="S6" i="11" s="1"/>
  <c r="K6" i="11"/>
  <c r="N13" i="11"/>
  <c r="S13" i="11" s="1"/>
  <c r="K13" i="11"/>
  <c r="S12" i="11"/>
  <c r="P16" i="11"/>
  <c r="P18" i="11" s="1"/>
  <c r="N5" i="11"/>
  <c r="S5" i="11" s="1"/>
  <c r="K5" i="11"/>
  <c r="N14" i="11"/>
  <c r="S14" i="11" s="1"/>
  <c r="K14" i="11"/>
  <c r="O16" i="7"/>
  <c r="O18" i="7" s="1"/>
  <c r="N48" i="7" s="1"/>
  <c r="P16" i="7"/>
  <c r="P18" i="7" s="1"/>
  <c r="N49" i="7" s="1"/>
  <c r="S8" i="7"/>
  <c r="K9" i="7"/>
  <c r="N9" i="7"/>
  <c r="S9" i="7" s="1"/>
  <c r="N10" i="7"/>
  <c r="S10" i="7" s="1"/>
  <c r="K10" i="7"/>
  <c r="S18" i="5"/>
  <c r="K6" i="4"/>
  <c r="S6" i="4"/>
  <c r="K5" i="4"/>
  <c r="N5" i="4"/>
  <c r="S5" i="4" s="1"/>
  <c r="K13" i="4"/>
  <c r="K14" i="4"/>
  <c r="O16" i="4"/>
  <c r="O18" i="4" s="1"/>
  <c r="N48" i="4" s="1"/>
  <c r="P16" i="4"/>
  <c r="P18" i="4" s="1"/>
  <c r="S9" i="4"/>
  <c r="N49" i="4" l="1"/>
  <c r="P22" i="4"/>
  <c r="P20" i="4"/>
  <c r="O20" i="5"/>
  <c r="P22" i="11"/>
  <c r="N49" i="11"/>
  <c r="N22" i="10"/>
  <c r="N20" i="10"/>
  <c r="N47" i="10"/>
  <c r="Q22" i="5"/>
  <c r="P50" i="5" s="1"/>
  <c r="P40" i="5" s="1"/>
  <c r="P31" i="5" s="1"/>
  <c r="O20" i="9"/>
  <c r="S20" i="9" s="1"/>
  <c r="O24" i="9"/>
  <c r="Q22" i="9"/>
  <c r="P50" i="9" s="1"/>
  <c r="P40" i="9" s="1"/>
  <c r="P31" i="9" s="1"/>
  <c r="N24" i="10"/>
  <c r="Q24" i="10" s="1"/>
  <c r="Q22" i="10"/>
  <c r="O47" i="10"/>
  <c r="O37" i="10" s="1"/>
  <c r="S18" i="10"/>
  <c r="Q49" i="7"/>
  <c r="Q39" i="7" s="1"/>
  <c r="P22" i="7"/>
  <c r="P49" i="7" s="1"/>
  <c r="P39" i="7" s="1"/>
  <c r="P20" i="7"/>
  <c r="O49" i="7" s="1"/>
  <c r="O39" i="7" s="1"/>
  <c r="P24" i="11"/>
  <c r="Q49" i="11" s="1"/>
  <c r="Q39" i="11" s="1"/>
  <c r="Q30" i="11" s="1"/>
  <c r="P49" i="11"/>
  <c r="P39" i="11" s="1"/>
  <c r="P30" i="11" s="1"/>
  <c r="P20" i="11"/>
  <c r="O49" i="11" s="1"/>
  <c r="O39" i="11" s="1"/>
  <c r="O30" i="11" s="1"/>
  <c r="O42" i="8"/>
  <c r="O33" i="8"/>
  <c r="Q33" i="8"/>
  <c r="Q42" i="8"/>
  <c r="P49" i="9"/>
  <c r="P39" i="9" s="1"/>
  <c r="P30" i="9" s="1"/>
  <c r="Q49" i="9"/>
  <c r="Q39" i="9" s="1"/>
  <c r="Q30" i="9" s="1"/>
  <c r="O49" i="9"/>
  <c r="O39" i="9" s="1"/>
  <c r="O30" i="9" s="1"/>
  <c r="P49" i="5"/>
  <c r="P39" i="5" s="1"/>
  <c r="P30" i="5" s="1"/>
  <c r="O49" i="5"/>
  <c r="O39" i="5" s="1"/>
  <c r="O30" i="5" s="1"/>
  <c r="P42" i="8"/>
  <c r="P33" i="8"/>
  <c r="Q49" i="4"/>
  <c r="Q39" i="4" s="1"/>
  <c r="Q30" i="4" s="1"/>
  <c r="S24" i="8"/>
  <c r="N16" i="4"/>
  <c r="N18" i="4" s="1"/>
  <c r="Q50" i="5"/>
  <c r="Q40" i="5" s="1"/>
  <c r="Q31" i="5" s="1"/>
  <c r="Q48" i="5"/>
  <c r="Q38" i="5" s="1"/>
  <c r="O48" i="9"/>
  <c r="O38" i="9" s="1"/>
  <c r="P49" i="4"/>
  <c r="P39" i="4" s="1"/>
  <c r="P30" i="4" s="1"/>
  <c r="O49" i="4"/>
  <c r="O39" i="4" s="1"/>
  <c r="O30" i="4" s="1"/>
  <c r="S20" i="8"/>
  <c r="N16" i="11"/>
  <c r="N18" i="11" s="1"/>
  <c r="S22" i="8"/>
  <c r="N16" i="7"/>
  <c r="N18" i="7" s="1"/>
  <c r="N20" i="4" l="1"/>
  <c r="N47" i="4"/>
  <c r="N20" i="7"/>
  <c r="N47" i="7"/>
  <c r="N20" i="11"/>
  <c r="N22" i="11"/>
  <c r="N47" i="11"/>
  <c r="O22" i="10"/>
  <c r="P48" i="10" s="1"/>
  <c r="P38" i="10" s="1"/>
  <c r="P29" i="10" s="1"/>
  <c r="Q20" i="10"/>
  <c r="O20" i="10"/>
  <c r="O48" i="10" s="1"/>
  <c r="O38" i="10" s="1"/>
  <c r="O29" i="10" s="1"/>
  <c r="O24" i="10"/>
  <c r="Q48" i="10" s="1"/>
  <c r="Q38" i="10" s="1"/>
  <c r="Q29" i="10" s="1"/>
  <c r="O20" i="7"/>
  <c r="Q24" i="7"/>
  <c r="N22" i="7"/>
  <c r="Q22" i="7" s="1"/>
  <c r="N24" i="11"/>
  <c r="O22" i="11"/>
  <c r="O20" i="11"/>
  <c r="O48" i="11" s="1"/>
  <c r="O38" i="11" s="1"/>
  <c r="O29" i="11" s="1"/>
  <c r="O28" i="10"/>
  <c r="Q47" i="10"/>
  <c r="Q37" i="10" s="1"/>
  <c r="Q28" i="10" s="1"/>
  <c r="O50" i="10"/>
  <c r="O40" i="10" s="1"/>
  <c r="O31" i="10" s="1"/>
  <c r="P50" i="10"/>
  <c r="P40" i="10" s="1"/>
  <c r="P31" i="10" s="1"/>
  <c r="P47" i="10"/>
  <c r="P37" i="10" s="1"/>
  <c r="P28" i="10" s="1"/>
  <c r="O29" i="9"/>
  <c r="O33" i="9" s="1"/>
  <c r="O42" i="9"/>
  <c r="Q33" i="5"/>
  <c r="Q42" i="5"/>
  <c r="S22" i="5"/>
  <c r="P48" i="5"/>
  <c r="P38" i="5" s="1"/>
  <c r="P29" i="5" s="1"/>
  <c r="S24" i="9"/>
  <c r="Q48" i="9"/>
  <c r="Q38" i="9" s="1"/>
  <c r="S22" i="9"/>
  <c r="P48" i="9"/>
  <c r="P38" i="9" s="1"/>
  <c r="S20" i="5"/>
  <c r="O48" i="5"/>
  <c r="O38" i="5" s="1"/>
  <c r="N22" i="4"/>
  <c r="Q22" i="4" s="1"/>
  <c r="P50" i="4" s="1"/>
  <c r="P40" i="4" s="1"/>
  <c r="P31" i="4" s="1"/>
  <c r="O24" i="4"/>
  <c r="Q48" i="4" s="1"/>
  <c r="Q38" i="4" s="1"/>
  <c r="O20" i="4"/>
  <c r="O48" i="4" s="1"/>
  <c r="O38" i="4" s="1"/>
  <c r="O29" i="4" s="1"/>
  <c r="S18" i="4"/>
  <c r="S24" i="5"/>
  <c r="S18" i="11"/>
  <c r="S18" i="7"/>
  <c r="Q22" i="11" l="1"/>
  <c r="O22" i="7"/>
  <c r="P48" i="7" s="1"/>
  <c r="P38" i="7" s="1"/>
  <c r="O24" i="7"/>
  <c r="Q48" i="7" s="1"/>
  <c r="Q38" i="7" s="1"/>
  <c r="P47" i="11"/>
  <c r="P37" i="11" s="1"/>
  <c r="O24" i="11"/>
  <c r="Q48" i="11" s="1"/>
  <c r="Q38" i="11" s="1"/>
  <c r="Q29" i="11" s="1"/>
  <c r="Q24" i="11"/>
  <c r="Q50" i="11" s="1"/>
  <c r="Q40" i="11" s="1"/>
  <c r="Q31" i="11" s="1"/>
  <c r="Q20" i="7"/>
  <c r="O50" i="7" s="1"/>
  <c r="O40" i="7" s="1"/>
  <c r="O31" i="7" s="1"/>
  <c r="Q20" i="11"/>
  <c r="P33" i="10"/>
  <c r="Q47" i="7"/>
  <c r="Q37" i="7" s="1"/>
  <c r="O47" i="7"/>
  <c r="O37" i="7" s="1"/>
  <c r="P47" i="7"/>
  <c r="P37" i="7" s="1"/>
  <c r="Q47" i="11"/>
  <c r="Q37" i="11" s="1"/>
  <c r="Q28" i="11" s="1"/>
  <c r="O47" i="11"/>
  <c r="O37" i="11" s="1"/>
  <c r="O28" i="11" s="1"/>
  <c r="O47" i="4"/>
  <c r="O37" i="4" s="1"/>
  <c r="O28" i="4" s="1"/>
  <c r="S22" i="10"/>
  <c r="S20" i="10"/>
  <c r="P42" i="10"/>
  <c r="O33" i="10"/>
  <c r="S24" i="10"/>
  <c r="Q50" i="10"/>
  <c r="Q40" i="10" s="1"/>
  <c r="Q31" i="10" s="1"/>
  <c r="O42" i="10"/>
  <c r="O29" i="5"/>
  <c r="O33" i="5" s="1"/>
  <c r="O42" i="5"/>
  <c r="P29" i="9"/>
  <c r="P33" i="9" s="1"/>
  <c r="P42" i="9"/>
  <c r="Q29" i="9"/>
  <c r="Q33" i="9" s="1"/>
  <c r="Q42" i="9"/>
  <c r="P33" i="5"/>
  <c r="P42" i="5"/>
  <c r="P47" i="4"/>
  <c r="P37" i="4" s="1"/>
  <c r="Q20" i="4"/>
  <c r="O50" i="4" s="1"/>
  <c r="O40" i="4" s="1"/>
  <c r="O31" i="4" s="1"/>
  <c r="Q47" i="4"/>
  <c r="Q37" i="4" s="1"/>
  <c r="O22" i="4"/>
  <c r="P48" i="4" s="1"/>
  <c r="P38" i="4" s="1"/>
  <c r="P29" i="4" s="1"/>
  <c r="O48" i="7"/>
  <c r="O38" i="7" s="1"/>
  <c r="P48" i="11"/>
  <c r="P38" i="11" s="1"/>
  <c r="P29" i="11" s="1"/>
  <c r="P50" i="11"/>
  <c r="P40" i="11" s="1"/>
  <c r="P31" i="11" s="1"/>
  <c r="S22" i="4"/>
  <c r="Q24" i="4"/>
  <c r="Q33" i="10" l="1"/>
  <c r="S24" i="11"/>
  <c r="Q42" i="10"/>
  <c r="S20" i="7"/>
  <c r="P33" i="11"/>
  <c r="S24" i="7"/>
  <c r="Q50" i="7"/>
  <c r="Q40" i="7" s="1"/>
  <c r="Q31" i="7" s="1"/>
  <c r="P42" i="11"/>
  <c r="S20" i="11"/>
  <c r="O50" i="11"/>
  <c r="O40" i="11" s="1"/>
  <c r="O31" i="11" s="1"/>
  <c r="S22" i="7"/>
  <c r="P50" i="7"/>
  <c r="P40" i="7" s="1"/>
  <c r="P31" i="7" s="1"/>
  <c r="Q42" i="11"/>
  <c r="Q33" i="11"/>
  <c r="O42" i="7"/>
  <c r="O33" i="7"/>
  <c r="O42" i="4"/>
  <c r="O33" i="4"/>
  <c r="P33" i="4"/>
  <c r="S20" i="4"/>
  <c r="S24" i="4"/>
  <c r="Q50" i="4"/>
  <c r="Q40" i="4" s="1"/>
  <c r="Q31" i="4" s="1"/>
  <c r="P42" i="4"/>
  <c r="S22" i="11"/>
  <c r="K12" i="6"/>
  <c r="P14" i="6"/>
  <c r="P13" i="6"/>
  <c r="P12" i="6"/>
  <c r="S12" i="6" s="1"/>
  <c r="O33" i="11" l="1"/>
  <c r="P42" i="7"/>
  <c r="P33" i="7"/>
  <c r="O42" i="11"/>
  <c r="Q33" i="7"/>
  <c r="Q42" i="7"/>
  <c r="Q42" i="4"/>
  <c r="Q33" i="4"/>
  <c r="K13" i="6"/>
  <c r="K14" i="6"/>
  <c r="P16" i="6"/>
  <c r="P18" i="6" s="1"/>
  <c r="N49" i="6" s="1"/>
  <c r="N14" i="6"/>
  <c r="S14" i="6" s="1"/>
  <c r="N13" i="6"/>
  <c r="Q49" i="6" l="1"/>
  <c r="Q39" i="6" s="1"/>
  <c r="P22" i="6"/>
  <c r="P20" i="6"/>
  <c r="P49" i="6"/>
  <c r="P39" i="6" s="1"/>
  <c r="O49" i="6"/>
  <c r="O39" i="6" s="1"/>
  <c r="S13" i="6"/>
  <c r="N16" i="6"/>
  <c r="N18" i="6" s="1"/>
  <c r="N20" i="6" l="1"/>
  <c r="N47" i="6"/>
  <c r="Q24" i="6"/>
  <c r="N22" i="6"/>
  <c r="O20" i="6"/>
  <c r="Q22" i="6"/>
  <c r="O24" i="6"/>
  <c r="Q48" i="6" s="1"/>
  <c r="Q38" i="6" s="1"/>
  <c r="O22" i="6"/>
  <c r="P48" i="6"/>
  <c r="P38" i="6" s="1"/>
  <c r="S18" i="6"/>
  <c r="Q20" i="6" l="1"/>
  <c r="O50" i="6" s="1"/>
  <c r="O40" i="6" s="1"/>
  <c r="O31" i="6" s="1"/>
  <c r="O47" i="6"/>
  <c r="O37" i="6" s="1"/>
  <c r="P47" i="6"/>
  <c r="P37" i="6" s="1"/>
  <c r="Q47" i="6"/>
  <c r="Q37" i="6" s="1"/>
  <c r="P50" i="6"/>
  <c r="P40" i="6" s="1"/>
  <c r="P31" i="6" s="1"/>
  <c r="S22" i="6"/>
  <c r="S24" i="6" l="1"/>
  <c r="Q50" i="6"/>
  <c r="Q40" i="6" s="1"/>
  <c r="Q31" i="6" s="1"/>
  <c r="Q33" i="6" s="1"/>
  <c r="S20" i="6"/>
  <c r="O48" i="6"/>
  <c r="O38" i="6" s="1"/>
  <c r="P33" i="6"/>
  <c r="P42" i="6"/>
  <c r="O33" i="6"/>
  <c r="O42" i="6" l="1"/>
  <c r="Q42" i="6"/>
</calcChain>
</file>

<file path=xl/comments1.xml><?xml version="1.0" encoding="utf-8"?>
<comments xmlns="http://schemas.openxmlformats.org/spreadsheetml/2006/main">
  <authors>
    <author>Jill Gannon</author>
  </authors>
  <commentList>
    <comment ref="B23" authorId="0">
      <text>
        <r>
          <rPr>
            <b/>
            <sz val="8"/>
            <color indexed="81"/>
            <rFont val="Tahoma"/>
            <family val="2"/>
          </rPr>
          <t>Jill Gannon:</t>
        </r>
        <r>
          <rPr>
            <sz val="8"/>
            <color indexed="81"/>
            <rFont val="Tahoma"/>
            <family val="2"/>
          </rPr>
          <t xml:space="preserve">
</t>
        </r>
        <r>
          <rPr>
            <sz val="10"/>
            <color indexed="81"/>
            <rFont val="Tahoma"/>
            <family val="2"/>
          </rPr>
          <t xml:space="preserve">For the case of SB Dominance, we have created 9 different scenarios that are all categorized as SB dominant, but are different the following ways.  There is Low (67), Medium (85), and High (95) percentages of SB relative to KB.  Within each SB amount, there is a Low (0), Medium (30), and High (60) percentage of RM.  
For the case of KB Dominance, we have created 9 different scenarios that are all categorized as KB dominant, but are different the following ways.  There is Low (67), Medium (85), and High (95) percentages of KB relative to SB.  Within each KB amount, there is a Low (0), Medium (30), and High (60) percentage of RM.  
For the case of SB|KB Co-Dominance (CO), we have created 9 different scenarios that are all categorized as co-dominant, but are different in the following ways.  There is an equal proportion of SB and KB (50:50), a higher proportion of SB than KB (66:34), and a lower proportion of SB than KB (34:66).  Within each SB|KB amount, there is a Low (0), Medium (30), and High (60) percentage of RM.  
For the case of RM Dominance, we have created 9 different scenarios that are all categorized as RM dominant, but are different in the following ways.  There is Low (67), Medium (85), and High (95) percentages of RM.  Within each RM amount, there is an equal proportion of SB and KB (50:50), a higher proportion of SB than KB (75:25), and a lower proportion of SB than KB (25:75). </t>
        </r>
        <r>
          <rPr>
            <sz val="8"/>
            <color indexed="81"/>
            <rFont val="Tahoma"/>
            <family val="2"/>
          </rPr>
          <t xml:space="preserve">
</t>
        </r>
      </text>
    </comment>
  </commentList>
</comments>
</file>

<file path=xl/comments2.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half of the values used under the High Defoliation Level.  This is based on the values in the upper portion of the model elicitation spreadsheet.
For High Level, RM dom, Rest: the above|below split is 75|25.
For Low Level, RM dom, Rest:  the above|below spit is 50|50.
So, under a Low Level there is 2x the probability of NP decreasing (50% as opposed to 25%).  We assume this decrease is due to increases in SB and KB, which are more aggressive under the Low Level.  So we expect the probability of remaining RM dom to decline, and we  use the described relationship to decrease the probabilty by half.</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80, CO 20 values come from the upper portion of the model elicitation spreadsheet for SB dominance under a Low Defolation Level and Rest.  There is a 20|80 split in the values (above|below).  This means there is a 80% probability that NP will decrease (and we'll assume this means there is a 80% probability that SB will increase).  For this scenario, SB needs only to drop 1% for this to switch from SB dom to CO dom.  Since there is a 80% probability that SB will increase, we say that there is a 80% probability that SB will remain dominant.  Because there is a 20% probability that SB will decrease, we say that there is a 20% probability that dominance will shift from SB dom to CO dom.  
The values in the color-filled cells below are estimates based on these original 80, 20 probabilities.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will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H6" authorId="0">
      <text>
        <r>
          <rPr>
            <b/>
            <sz val="8"/>
            <color indexed="81"/>
            <rFont val="Tahoma"/>
            <family val="2"/>
          </rPr>
          <t>Jill Gannon:</t>
        </r>
        <r>
          <rPr>
            <sz val="8"/>
            <color indexed="81"/>
            <rFont val="Tahoma"/>
            <family val="2"/>
          </rPr>
          <t xml:space="preserve">
Prob KB will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52.5% and KB by 32.5%.
Burn decreases SB by 62.5% and KB by 52.5%.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3.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half of the values used under the High Defoliation Level.  This is based on the values in the upper portion of the model elicitation spreadsheet.
For High Level, RM dom, Rest: the above|below split is 75|25.
For Low Level, RM dom, Rest:  the above|below spit is 50|50.
So, under a Low Level there is 2x the probability of NP decreasing (50% as opposed to 25%).  We assume this decrease is due to increases in SB and KB, which are more aggressive under the Low Level.  So we expect the probability of remaining RM dom to decline, and we  use the described relationship to decrease the probabilty by half.</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70, CO 25 values come from the upper portion of the model elicitation spreadsheet for KB dominance under a Low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CO dom.  Since there is a 70% probability that KB will increase, we say that there is a 70% probability that KB will remain dominant.  Because there is a 30% probability that KB will decrease, we say that there is a 30% probability that dominance will shift from KB dom to CO dom and SB dom.  
The values in the color-filled cells below are estimates based on these original 70, 25 probabilities.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F8" authorId="0">
      <text>
        <r>
          <rPr>
            <b/>
            <sz val="8"/>
            <color indexed="81"/>
            <rFont val="Tahoma"/>
            <family val="2"/>
          </rPr>
          <t>Jill Gannon:</t>
        </r>
        <r>
          <rPr>
            <sz val="8"/>
            <color indexed="81"/>
            <rFont val="Tahoma"/>
            <family val="2"/>
          </rPr>
          <t xml:space="preserve">
Prob SB increase from 15%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52.5% and KB by 32.5%.
Burn decreases SB by 62.5% and KB by 52.5%.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4.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half of the values used under the High Defoliation Level.  This is based on the values in the upper portion of the model elicitation spreadsheet.
For High Level, RM dom, Rest: the above|below split is 75|25.
For Low Level, RM dom, Rest:  the above|below spit is 50|50.
So, under a Low Level there is 2x the probability of NP decreasing (50% as opposed to 25%).  We assume this decrease is due to increases in SB and KB, which are more aggressive under the Low Level.  So we expect the probability of remaining RM dom to decline, and we  use the described relationship to decrease the probabilty by half.</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Defolation Level and Rest.  There is a 25|75 split in the values (above|below).  This means there is a 25% probability that NP will stay the same and a 75% probability that NP will decrease due to an increase in SB and/or KB.   For this scenario, either SB or KB needs to increase from 50% to 67% for there to be a shift in dominance.  Since there is a 25% probability that no big changes in NP are occurring (and thus no big increase in SB or KB), then we'll assume there is a 25% probability of remaining CO dom.  Since there is a 75% probability that NP will decrease because of an increase in SB and or KB, we split that 75% up between the two species.  We give 55% of the 75% to SB and 45% of the 75%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F8" authorId="0">
      <text>
        <r>
          <rPr>
            <b/>
            <sz val="8"/>
            <color indexed="81"/>
            <rFont val="Tahoma"/>
            <family val="2"/>
          </rPr>
          <t>Jill Gannon:</t>
        </r>
        <r>
          <rPr>
            <sz val="8"/>
            <color indexed="81"/>
            <rFont val="Tahoma"/>
            <family val="2"/>
          </rPr>
          <t xml:space="preserve">
Probability SB increases from 66% to 67% or higher.</t>
        </r>
      </text>
    </comment>
    <comment ref="G8" authorId="0">
      <text>
        <r>
          <rPr>
            <b/>
            <sz val="8"/>
            <color indexed="81"/>
            <rFont val="Tahoma"/>
            <family val="2"/>
          </rPr>
          <t>Jill Gannon:</t>
        </r>
        <r>
          <rPr>
            <sz val="8"/>
            <color indexed="81"/>
            <rFont val="Tahoma"/>
            <family val="2"/>
          </rPr>
          <t xml:space="preserve">
Probability that SB will not increase from 66% to 67% or higher.  And KB will not increase from 34% to 67% or higher.
The 20 CO, 80 SB values come from the SB_Low spreadsheet for the first scenario.  The explanation of these values is explained on that spreadsheet.</t>
        </r>
      </text>
    </comment>
    <comment ref="H8" authorId="0">
      <text>
        <r>
          <rPr>
            <b/>
            <sz val="8"/>
            <color indexed="81"/>
            <rFont val="Tahoma"/>
            <family val="2"/>
          </rPr>
          <t>Jill Gannon:</t>
        </r>
        <r>
          <rPr>
            <sz val="8"/>
            <color indexed="81"/>
            <rFont val="Tahoma"/>
            <family val="2"/>
          </rPr>
          <t xml:space="preserve">
Probability KB increases from 34% to 67% or higher.</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F12" authorId="0">
      <text>
        <r>
          <rPr>
            <b/>
            <sz val="8"/>
            <color indexed="81"/>
            <rFont val="Tahoma"/>
            <family val="2"/>
          </rPr>
          <t>Jill Gannon:</t>
        </r>
        <r>
          <rPr>
            <sz val="8"/>
            <color indexed="81"/>
            <rFont val="Tahoma"/>
            <family val="2"/>
          </rPr>
          <t xml:space="preserve">
Probability SB increases from 34% to 67% or higher.</t>
        </r>
      </text>
    </comment>
    <comment ref="G12" authorId="0">
      <text>
        <r>
          <rPr>
            <b/>
            <sz val="8"/>
            <color indexed="81"/>
            <rFont val="Tahoma"/>
            <family val="2"/>
          </rPr>
          <t>Jill Gannon:</t>
        </r>
        <r>
          <rPr>
            <sz val="8"/>
            <color indexed="81"/>
            <rFont val="Tahoma"/>
            <family val="2"/>
          </rPr>
          <t xml:space="preserve">
Probability that SB does not increase from 34% to 67% and KB does not increase from 66% to 67% or higher.
The 25 CO, 70 KB values come from the KB_Low spreadsheet for the first scenario.  The explanation of these values is explained on that spreadsheet.</t>
        </r>
      </text>
    </comment>
    <comment ref="H12" authorId="0">
      <text>
        <r>
          <rPr>
            <b/>
            <sz val="8"/>
            <color indexed="81"/>
            <rFont val="Tahoma"/>
            <family val="2"/>
          </rPr>
          <t>Jill Gannon:</t>
        </r>
        <r>
          <rPr>
            <sz val="8"/>
            <color indexed="81"/>
            <rFont val="Tahoma"/>
            <family val="2"/>
          </rPr>
          <t xml:space="preserve">
Probability KB increases from 66% to 67% or higher.</t>
        </r>
      </text>
    </comment>
    <comment ref="F13" authorId="0">
      <text>
        <r>
          <rPr>
            <b/>
            <sz val="8"/>
            <color indexed="81"/>
            <rFont val="Tahoma"/>
            <family val="2"/>
          </rPr>
          <t>Jill Gannon:</t>
        </r>
        <r>
          <rPr>
            <sz val="8"/>
            <color indexed="81"/>
            <rFont val="Tahoma"/>
            <family val="2"/>
          </rPr>
          <t xml:space="preserve">
Probability SB increases from 46% to 47% or higher.</t>
        </r>
      </text>
    </comment>
    <comment ref="G13"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13" authorId="0">
      <text>
        <r>
          <rPr>
            <b/>
            <sz val="8"/>
            <color indexed="81"/>
            <rFont val="Tahoma"/>
            <family val="2"/>
          </rPr>
          <t>Jill Gannon:</t>
        </r>
        <r>
          <rPr>
            <sz val="8"/>
            <color indexed="81"/>
            <rFont val="Tahoma"/>
            <family val="2"/>
          </rPr>
          <t xml:space="preserve">
Probability KB increases from 24% to 47% or higher.</t>
        </r>
      </text>
    </comment>
    <comment ref="F14" authorId="0">
      <text>
        <r>
          <rPr>
            <b/>
            <sz val="8"/>
            <color indexed="81"/>
            <rFont val="Tahoma"/>
            <family val="2"/>
          </rPr>
          <t>Jill Gannon:</t>
        </r>
        <r>
          <rPr>
            <sz val="8"/>
            <color indexed="81"/>
            <rFont val="Tahoma"/>
            <family val="2"/>
          </rPr>
          <t xml:space="preserve">
Probability SB increases from 26% to 27% or higher.</t>
        </r>
      </text>
    </comment>
    <comment ref="G14"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4" authorId="0">
      <text>
        <r>
          <rPr>
            <b/>
            <sz val="8"/>
            <color indexed="81"/>
            <rFont val="Tahoma"/>
            <family val="2"/>
          </rPr>
          <t>Jill Gannon:</t>
        </r>
        <r>
          <rPr>
            <sz val="8"/>
            <color indexed="81"/>
            <rFont val="Tahoma"/>
            <family val="2"/>
          </rPr>
          <t xml:space="preserve">
Probabililty KB increases from 14%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52.5% and KB by 32.5%.
Burn decreases SB by 62.5% and KB by 52.5%.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5.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half of the values used under the High Defoliation Level.  This is based on the values in the upper portion of the model elicitation spreadsheet.
For High Level, RM dom, Rest: the above|below split is 75|25.
For Low Level, RM dom, Rest:  the above|below spit is 50|50.
So, under a Low Level there is 2x the probability of NP decreasing (50% as opposed to 25%).  We assume this decrease is due to increases in SB and KB, which are more aggressive under the Low Level.  So we expect the probability of remaining RM dom to decline, and we  use the described relationship to decrease the probabilty by half.</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Defoliation Level and Rest.  There is a 25|75 split in the values (above|below).  This means there is a 25% probability that NP will stay the same and a 75% probability that NP will decrease due to an increase in SB and/or KB.  
We've already set the probability of remaining RM dom.  We need to split the remaining probabilty among the other dominance states.  We use the same probabilities as used under CO_Low (that is, 25% to CO, 55% of the remaining to SB, and 45% of the remaining to KB - see CO_Low for an explanation of these values).</t>
        </r>
      </text>
    </comment>
    <comment ref="I4" authorId="0">
      <text>
        <r>
          <rPr>
            <b/>
            <sz val="8"/>
            <color indexed="81"/>
            <rFont val="Tahoma"/>
            <family val="2"/>
          </rPr>
          <t>Jill Gannon:</t>
        </r>
        <r>
          <rPr>
            <sz val="8"/>
            <color indexed="81"/>
            <rFont val="Tahoma"/>
            <family val="2"/>
          </rPr>
          <t xml:space="preserve">
Probability RM does not decrease from 67% to anything lower.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F8" authorId="0">
      <text>
        <r>
          <rPr>
            <b/>
            <sz val="8"/>
            <color indexed="81"/>
            <rFont val="Tahoma"/>
            <family val="2"/>
          </rPr>
          <t>Jill Gannon:</t>
        </r>
        <r>
          <rPr>
            <sz val="8"/>
            <color indexed="81"/>
            <rFont val="Tahoma"/>
            <family val="2"/>
          </rPr>
          <t xml:space="preserve">
If RM drops below 67%, probability SB does not drop below 23%</t>
        </r>
      </text>
    </comment>
    <comment ref="G8" authorId="0">
      <text>
        <r>
          <rPr>
            <b/>
            <sz val="8"/>
            <color indexed="81"/>
            <rFont val="Tahoma"/>
            <family val="2"/>
          </rPr>
          <t>Jill Gannon:</t>
        </r>
        <r>
          <rPr>
            <sz val="8"/>
            <color indexed="81"/>
            <rFont val="Tahoma"/>
            <family val="2"/>
          </rPr>
          <t xml:space="preserve">
0.15 comes from SB_Low; it is the interpolated value for CO for the interpolated scenario of 75% SB which is between the 20 and the 10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0.23 comes from KB_Low; it is the interpolated value for CO for the interpolated scenario of 75% KB which is between the 25 and the 20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52.5% and KB by 32.5%.
Burn decreases SB by 62.5% and KB by 52.5%.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6.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25 for the scenario of 60% RM, comes from the upper portion of the model elicitation spreadsheet, High Defoliation Level, RM dom, and Rest.  The above|below split for this situation is 75|25.  This means there is 25% probability that NP will decrease.  We will thus assume this is a 25% probability that RM will increase.  In this scenario, RM needs to increase from 60 to 67% to become dominant.  So we give it a 25% that this will happen.  
The other probabilities of 12.5% and 0% for the 30 and 0 RM scenarios are simply based on this 25%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20, CO 80 values come from the upper portion of the model elicitation spreadsheet for SB dominance under a High Defoliation Level and Rest.  There is a 80|20 split in the values (above|below).  This means there is a 20% probability that NP will decrease (and we'll assume this means there is a 20% probability that SB will increase).  For this scenario, SB needs only to drop 1% for this to switch from SB dom to CO dom.  Since there is a 20% probability that SB will increase, we say that there is a 20% probability that SB will remain dominant.  Because there is a 80% probability that SB will decrease, we say that there is a 80% probability that dominance will shift from SB dom to CO dom.  
The values in the color-filled cells below are estimates based on these original 20, 80 probabilities.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increase from 23% to 47%.</t>
        </r>
      </text>
    </comment>
    <comment ref="I5" authorId="0">
      <text>
        <r>
          <rPr>
            <b/>
            <sz val="8"/>
            <color indexed="81"/>
            <rFont val="Tahoma"/>
            <family val="2"/>
          </rPr>
          <t>Jill Gannon:</t>
        </r>
        <r>
          <rPr>
            <sz val="8"/>
            <color indexed="81"/>
            <rFont val="Tahoma"/>
            <family val="2"/>
          </rPr>
          <t xml:space="preserve">
Probability RM will incrase from 30% to 67%.</t>
        </r>
      </text>
    </comment>
    <comment ref="H6" authorId="0">
      <text>
        <r>
          <rPr>
            <b/>
            <sz val="8"/>
            <color indexed="81"/>
            <rFont val="Tahoma"/>
            <family val="2"/>
          </rPr>
          <t>Jill Gannon:</t>
        </r>
        <r>
          <rPr>
            <sz val="8"/>
            <color indexed="81"/>
            <rFont val="Tahoma"/>
            <family val="2"/>
          </rPr>
          <t xml:space="preserve">
Probability KB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H8" authorId="0">
      <text>
        <r>
          <rPr>
            <b/>
            <sz val="8"/>
            <color indexed="81"/>
            <rFont val="Tahoma"/>
            <family val="2"/>
          </rPr>
          <t>Jill Gannon:</t>
        </r>
        <r>
          <rPr>
            <sz val="8"/>
            <color indexed="81"/>
            <rFont val="Tahoma"/>
            <family val="2"/>
          </rPr>
          <t xml:space="preserve">
Prob KB increase from 15% to 67%.</t>
        </r>
      </text>
    </comment>
    <comment ref="H9" authorId="0">
      <text>
        <r>
          <rPr>
            <b/>
            <sz val="8"/>
            <color indexed="81"/>
            <rFont val="Tahoma"/>
            <family val="2"/>
          </rPr>
          <t>Jill Gannon:</t>
        </r>
        <r>
          <rPr>
            <sz val="8"/>
            <color indexed="81"/>
            <rFont val="Tahoma"/>
            <family val="2"/>
          </rPr>
          <t xml:space="preserve">
Prob KB increase from 11% to 47%</t>
        </r>
      </text>
    </comment>
    <comment ref="H10" authorId="0">
      <text>
        <r>
          <rPr>
            <b/>
            <sz val="8"/>
            <color indexed="81"/>
            <rFont val="Tahoma"/>
            <family val="2"/>
          </rPr>
          <t>Jill Gannon:</t>
        </r>
        <r>
          <rPr>
            <sz val="8"/>
            <color indexed="81"/>
            <rFont val="Tahoma"/>
            <family val="2"/>
          </rPr>
          <t xml:space="preserve">
Prob KB increase from 6%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and KB by 0%.
Burn decreases SB by 5% and KB by 0%.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7.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25 for the scenario of 60% RM, comes from the upper portion of the model elicitation spreadsheet, High Defoliation level, RM dom, and Rest.  The above|below split for this situation is 75|25.  This means there is 25% probability that NP will decrease.  We will thus assume this is a 25% probability that RM will increase.  In this scenario, RM needs to increase from 60 to 67% to become dominant.  So we give it a 25% that this will happen.  
The other probabilities of 12.5% and 0% for the 30 and 0 RM scenarios are simply based on this 25%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10, CO 90 values come from the upper portion of the model elicitation spreadsheet for KB dominance under a High Defoliation Level and Rest.  There is a 90|10 split in the values (above|below).  This means there is a 10% probability that NP will decrease (and we'll assume this means there is a 10% probability that KB will increase).  For this scenario, KB needs only to drop 1% for this to switch from KB dom to CO dom.  Since there is a 10% probability that KB will increase, we say that there is a 10% probability that KB will remain dominant.  Because there is a 90% probability that KB will decrease, we say that there is a 90% probability that dominance will shift from KB dom to CO dom.  
The values in the color-filled cells below are estimates based on these original 10, 90 probabilities.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and KB by 0%.
Burn decreases SB by 5% and KB by 0%.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8.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25 for the scenario of 60% RM, comes from the upper portion of the model elicitation spreadsheet, High Defoliation Level, RM dom, and Rest.  The above|below split for this situation is 75|25.  This means there is 25% probability that NP will decrease.  We will thus assume this is a 25% probability that RM will increase.  In this scenario, RM needs to increase from 60 to 67% to become dominant.  So we give it a 25% that this will happen.  
The other probabilities of 12.5% and 0% for the 30 and 0 RM scenarios are simply based on this 25%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85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For this scenario, either SB or KB needs to increase from 50% to 67% for there to be a shift in dominance.  Since there is a 85% probability that no big changes in NP are occurring (and thus no big increase in SB or KB), then we'll assume there is a 85% probability of remaining CO dom.  Since there is a 15% probability that NP will decrease because of an increase in SB and or KB, we split that 15% up between the two species.  We give 55% of the 15% to SB and 45% of the 15% to KB.  This difference is based on the idea that SB is more aggressive than KB.  </t>
        </r>
      </text>
    </comment>
    <comment ref="G8" authorId="0">
      <text>
        <r>
          <rPr>
            <b/>
            <sz val="8"/>
            <color indexed="81"/>
            <rFont val="Tahoma"/>
            <family val="2"/>
          </rPr>
          <t>Jill Gannon:</t>
        </r>
        <r>
          <rPr>
            <sz val="8"/>
            <color indexed="81"/>
            <rFont val="Tahoma"/>
            <family val="2"/>
          </rPr>
          <t xml:space="preserve">
The 80 CO, 20 SB values come from the SB_High spreadsheet for the first scenario.  The explanation of these values is explained on that spreadsheet.</t>
        </r>
      </text>
    </comment>
    <comment ref="G12" authorId="0">
      <text>
        <r>
          <rPr>
            <b/>
            <sz val="8"/>
            <color indexed="81"/>
            <rFont val="Tahoma"/>
            <family val="2"/>
          </rPr>
          <t>Jill Gannon:</t>
        </r>
        <r>
          <rPr>
            <sz val="8"/>
            <color indexed="81"/>
            <rFont val="Tahoma"/>
            <family val="2"/>
          </rPr>
          <t xml:space="preserve">
The 90 CO, 10 KB values come from the KB_High spreadsheet for the first scenario.  The explanation of these values is explained on that spreadsheet.</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and KB by 0%.
Burn decreases SB by 5% and KB by 0%.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9.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25 for the scenario of 67% RM, comes from the upper portion of the model elicitation spreadsheet, High Defoliation Level, RM dom, and Rest.  The above|below split for this situation is 75|25.  This means there is 25% probability that NP will decrease.  We will thus assume this is a 25% probability that RM will increase. In this scenario, RM needs to maintain its 67% to remain dominant.  So we give it a 25% that this will happen.  
The other probabilities of 35% and 40% for the 85 and 95 RM scenarios are simply based on this 25% anchor and an estimate.  The more RM there is, then the more likely it will remain dominant, even with some decreases in its amount.</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We've already set the probability of remaining RM dom.  We need to split the remaining probabilty among the other dominance states.  We use the same probabilities as used under CO_High (that is, 85% of the remaining to CO, and then 55% of the remaining15% to SB, and 45% of the remaining 15% to KB - see CO_High for an explanation of these values).</t>
        </r>
      </text>
    </comment>
    <comment ref="G8" authorId="0">
      <text>
        <r>
          <rPr>
            <b/>
            <sz val="8"/>
            <color indexed="81"/>
            <rFont val="Tahoma"/>
            <family val="2"/>
          </rPr>
          <t>Jill Gannon:</t>
        </r>
        <r>
          <rPr>
            <sz val="8"/>
            <color indexed="81"/>
            <rFont val="Tahoma"/>
            <family val="2"/>
          </rPr>
          <t xml:space="preserve">
0.71 comes from SB_High; it is the interpolated value for CO for the interpolated scenario of 75% SB which is between the 80 and the 60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0.81 comes from KB_High; it is the interpolated value for CO for the interpolated scenario of 75% KB which is between the 90 and the 70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0% and KB by 0%.
Burn decreases SB by 5% and KB by 0%.
Defoliate decreases SB by 0% and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sharedStrings.xml><?xml version="1.0" encoding="utf-8"?>
<sst xmlns="http://schemas.openxmlformats.org/spreadsheetml/2006/main" count="448" uniqueCount="35">
  <si>
    <t>Dominant SB</t>
  </si>
  <si>
    <t>SB</t>
  </si>
  <si>
    <t>KB</t>
  </si>
  <si>
    <t>RM</t>
  </si>
  <si>
    <t>Low</t>
  </si>
  <si>
    <t>Med</t>
  </si>
  <si>
    <t>High</t>
  </si>
  <si>
    <t>Dominant KB</t>
  </si>
  <si>
    <t>Dominant RM</t>
  </si>
  <si>
    <t>50:50</t>
  </si>
  <si>
    <t>75:25</t>
  </si>
  <si>
    <t>25:75</t>
  </si>
  <si>
    <t>66:34</t>
  </si>
  <si>
    <t>34:66</t>
  </si>
  <si>
    <t>CO</t>
  </si>
  <si>
    <t>sum</t>
  </si>
  <si>
    <t>Rest</t>
  </si>
  <si>
    <t>Burn</t>
  </si>
  <si>
    <t>Graze</t>
  </si>
  <si>
    <t>Probability of becoming Dominant</t>
  </si>
  <si>
    <t>Number of instances of becoming Dominant</t>
  </si>
  <si>
    <t>For SB to be dominant, SB/(SB + KB) &gt;= 0.67</t>
  </si>
  <si>
    <t>For KB to be dominant, KB/(SB + KB) &gt;= 0.67</t>
  </si>
  <si>
    <t>For RM to be dominant, RM/(SB + KB + RM) &gt;=0.67</t>
  </si>
  <si>
    <t>All other situations are categorized as SB|KB co-dominant</t>
  </si>
  <si>
    <t>The Rules of Dominance:</t>
  </si>
  <si>
    <t>R</t>
  </si>
  <si>
    <t>G</t>
  </si>
  <si>
    <t>B</t>
  </si>
  <si>
    <t>Differences</t>
  </si>
  <si>
    <t>Rounded Rest, Unrounded Treatments</t>
  </si>
  <si>
    <t>Defoliate</t>
  </si>
  <si>
    <t>D</t>
  </si>
  <si>
    <t>Dominant CO</t>
  </si>
  <si>
    <t>Final Dominance Values Copied to the Lower Section of the Elicitaiton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</si>
</sst>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b/>
      <sz val="10"/>
      <color indexed="81"/>
      <name val="Tahoma"/>
      <family val="2"/>
    </font>
  </fonts>
  <fills count="12">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horizontal="center" vertical="center"/>
    </xf>
    <xf numFmtId="0" fontId="1" fillId="0" borderId="0" xfId="0" applyFont="1"/>
    <xf numFmtId="2" fontId="1" fillId="0" borderId="0" xfId="0" applyNumberFormat="1" applyFont="1"/>
    <xf numFmtId="0" fontId="0" fillId="0" borderId="0" xfId="0" applyAlignment="1">
      <alignment horizontal="right"/>
    </xf>
    <xf numFmtId="2" fontId="1" fillId="0" borderId="0" xfId="0" applyNumberFormat="1" applyFont="1" applyAlignment="1">
      <alignment horizontal="center"/>
    </xf>
    <xf numFmtId="0" fontId="0" fillId="0" borderId="0" xfId="0" applyAlignment="1">
      <alignment horizontal="center" vertical="center"/>
    </xf>
    <xf numFmtId="1" fontId="0" fillId="0" borderId="0" xfId="0" applyNumberFormat="1" applyBorder="1"/>
    <xf numFmtId="0" fontId="0" fillId="0" borderId="0" xfId="0" applyBorder="1"/>
    <xf numFmtId="0" fontId="0" fillId="6" borderId="0" xfId="0" applyFill="1" applyBorder="1"/>
    <xf numFmtId="1" fontId="0" fillId="0" borderId="0" xfId="0" applyNumberFormat="1" applyFill="1" applyBorder="1"/>
    <xf numFmtId="0" fontId="0" fillId="0" borderId="0" xfId="0" applyFill="1" applyBorder="1"/>
    <xf numFmtId="0" fontId="0" fillId="0" borderId="4" xfId="0" applyBorder="1"/>
    <xf numFmtId="0" fontId="0" fillId="0" borderId="5" xfId="0" applyBorder="1"/>
    <xf numFmtId="0" fontId="0" fillId="6" borderId="4" xfId="0" applyFill="1" applyBorder="1"/>
    <xf numFmtId="1" fontId="0" fillId="0" borderId="4" xfId="0" applyNumberFormat="1" applyFill="1" applyBorder="1"/>
    <xf numFmtId="1" fontId="0" fillId="0" borderId="4" xfId="0" applyNumberFormat="1" applyBorder="1"/>
    <xf numFmtId="1" fontId="0" fillId="0" borderId="6" xfId="0" applyNumberFormat="1" applyFill="1" applyBorder="1"/>
    <xf numFmtId="1" fontId="0" fillId="0" borderId="7" xfId="0" applyNumberFormat="1" applyFill="1" applyBorder="1"/>
    <xf numFmtId="0" fontId="0" fillId="6" borderId="7" xfId="0" applyFill="1" applyBorder="1"/>
    <xf numFmtId="0" fontId="0" fillId="0" borderId="8" xfId="0" applyBorder="1"/>
    <xf numFmtId="0" fontId="0" fillId="6" borderId="1" xfId="0" applyFill="1" applyBorder="1"/>
    <xf numFmtId="0" fontId="0" fillId="6" borderId="2" xfId="0" applyFill="1" applyBorder="1"/>
    <xf numFmtId="0" fontId="0" fillId="6" borderId="3" xfId="0" applyFill="1" applyBorder="1"/>
    <xf numFmtId="0" fontId="0" fillId="6" borderId="5" xfId="0" applyFill="1" applyBorder="1"/>
    <xf numFmtId="0" fontId="0" fillId="0" borderId="5" xfId="0" applyFill="1" applyBorder="1"/>
    <xf numFmtId="1" fontId="0" fillId="0" borderId="6" xfId="0" applyNumberFormat="1" applyBorder="1"/>
    <xf numFmtId="1" fontId="0" fillId="0" borderId="7" xfId="0" applyNumberFormat="1" applyBorder="1"/>
    <xf numFmtId="1" fontId="0" fillId="9" borderId="4" xfId="0" applyNumberFormat="1" applyFill="1" applyBorder="1"/>
    <xf numFmtId="0" fontId="0" fillId="9" borderId="0" xfId="0" applyFill="1" applyBorder="1"/>
    <xf numFmtId="1" fontId="0" fillId="9" borderId="6" xfId="0" applyNumberFormat="1" applyFill="1" applyBorder="1"/>
    <xf numFmtId="0" fontId="0" fillId="9" borderId="1" xfId="0" applyFill="1" applyBorder="1"/>
    <xf numFmtId="0" fontId="0" fillId="9" borderId="2" xfId="0" applyFill="1" applyBorder="1"/>
    <xf numFmtId="0" fontId="0" fillId="9" borderId="3" xfId="0" applyFill="1" applyBorder="1"/>
    <xf numFmtId="0" fontId="0" fillId="10" borderId="3" xfId="0" applyFill="1" applyBorder="1"/>
    <xf numFmtId="0" fontId="0" fillId="10" borderId="5" xfId="0" applyFill="1" applyBorder="1"/>
    <xf numFmtId="1" fontId="0" fillId="10" borderId="4" xfId="0" applyNumberFormat="1" applyFill="1" applyBorder="1"/>
    <xf numFmtId="1" fontId="0" fillId="10" borderId="0" xfId="0" applyNumberFormat="1" applyFill="1" applyBorder="1"/>
    <xf numFmtId="1" fontId="0" fillId="10" borderId="1" xfId="0" applyNumberFormat="1" applyFill="1" applyBorder="1"/>
    <xf numFmtId="1" fontId="0" fillId="10" borderId="2" xfId="0" applyNumberFormat="1" applyFill="1" applyBorder="1"/>
    <xf numFmtId="1" fontId="0" fillId="11" borderId="1" xfId="0" applyNumberFormat="1" applyFill="1" applyBorder="1"/>
    <xf numFmtId="1" fontId="0" fillId="11" borderId="2" xfId="0" applyNumberFormat="1" applyFill="1" applyBorder="1"/>
    <xf numFmtId="1" fontId="0" fillId="11" borderId="4" xfId="0" applyNumberFormat="1" applyFill="1" applyBorder="1"/>
    <xf numFmtId="1" fontId="0" fillId="11" borderId="0" xfId="0" applyNumberFormat="1" applyFill="1" applyBorder="1"/>
    <xf numFmtId="0" fontId="0" fillId="8" borderId="3" xfId="0" applyFill="1" applyBorder="1"/>
    <xf numFmtId="0" fontId="0" fillId="8" borderId="5" xfId="0" applyFill="1" applyBorder="1"/>
    <xf numFmtId="1" fontId="0" fillId="11" borderId="0" xfId="0" applyNumberFormat="1" applyFill="1"/>
    <xf numFmtId="0" fontId="1" fillId="0" borderId="0" xfId="0" applyFont="1" applyAlignment="1">
      <alignment horizontal="center"/>
    </xf>
    <xf numFmtId="0" fontId="0" fillId="0" borderId="0" xfId="0" applyAlignment="1">
      <alignment horizontal="center"/>
    </xf>
    <xf numFmtId="0" fontId="0" fillId="8" borderId="1" xfId="0" applyFill="1" applyBorder="1"/>
    <xf numFmtId="0" fontId="0" fillId="8" borderId="2" xfId="0" applyFill="1" applyBorder="1"/>
    <xf numFmtId="1" fontId="0" fillId="8" borderId="4" xfId="0" applyNumberFormat="1" applyFill="1" applyBorder="1"/>
    <xf numFmtId="0" fontId="0" fillId="8" borderId="0" xfId="0" applyFill="1" applyBorder="1"/>
    <xf numFmtId="1" fontId="0" fillId="8" borderId="6" xfId="0" applyNumberFormat="1" applyFill="1" applyBorder="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0" fillId="0" borderId="0" xfId="0" applyAlignment="1">
      <alignment horizontal="center"/>
    </xf>
    <xf numFmtId="2" fontId="0" fillId="6" borderId="5" xfId="0" applyNumberFormat="1" applyFill="1" applyBorder="1"/>
    <xf numFmtId="2" fontId="0" fillId="0" borderId="5" xfId="0" applyNumberFormat="1" applyFill="1" applyBorder="1"/>
    <xf numFmtId="2" fontId="0" fillId="0" borderId="8" xfId="0" applyNumberFormat="1" applyFill="1" applyBorder="1"/>
    <xf numFmtId="2" fontId="0" fillId="9" borderId="5" xfId="0" applyNumberFormat="1" applyFill="1" applyBorder="1"/>
    <xf numFmtId="2" fontId="0" fillId="10" borderId="5" xfId="0" applyNumberFormat="1" applyFill="1" applyBorder="1"/>
    <xf numFmtId="164" fontId="0" fillId="11" borderId="3" xfId="0" applyNumberFormat="1" applyFill="1" applyBorder="1"/>
    <xf numFmtId="164" fontId="0" fillId="11" borderId="5" xfId="0" applyNumberFormat="1" applyFill="1" applyBorder="1"/>
    <xf numFmtId="164" fontId="0" fillId="0" borderId="5" xfId="0" applyNumberFormat="1" applyBorder="1"/>
    <xf numFmtId="164" fontId="0" fillId="0" borderId="8" xfId="0" applyNumberFormat="1" applyBorder="1"/>
    <xf numFmtId="0" fontId="1"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0" fontId="0" fillId="4" borderId="0" xfId="0" applyFill="1" applyAlignment="1">
      <alignment horizontal="center"/>
    </xf>
    <xf numFmtId="46" fontId="0" fillId="0" borderId="0" xfId="0" quotePrefix="1" applyNumberFormat="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xf>
    <xf numFmtId="0" fontId="0" fillId="5"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7"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sheetViews>
  <sheetFormatPr defaultRowHeight="15" x14ac:dyDescent="0.25"/>
  <sheetData>
    <row r="1" spans="1:19" x14ac:dyDescent="0.25">
      <c r="B1" s="80" t="s">
        <v>0</v>
      </c>
      <c r="C1" s="80"/>
      <c r="D1" s="80"/>
      <c r="G1" s="81" t="s">
        <v>7</v>
      </c>
      <c r="H1" s="81"/>
      <c r="I1" s="81"/>
      <c r="L1" s="75" t="s">
        <v>33</v>
      </c>
      <c r="M1" s="75"/>
      <c r="N1" s="75"/>
      <c r="Q1" s="79" t="s">
        <v>8</v>
      </c>
      <c r="R1" s="79"/>
      <c r="S1" s="79"/>
    </row>
    <row r="3" spans="1:19" x14ac:dyDescent="0.25">
      <c r="B3" s="2" t="s">
        <v>1</v>
      </c>
      <c r="C3" s="2" t="s">
        <v>2</v>
      </c>
      <c r="D3" s="2" t="s">
        <v>3</v>
      </c>
      <c r="G3" s="2" t="s">
        <v>1</v>
      </c>
      <c r="H3" s="2" t="s">
        <v>2</v>
      </c>
      <c r="I3" s="2" t="s">
        <v>3</v>
      </c>
      <c r="L3" s="2" t="s">
        <v>1</v>
      </c>
      <c r="M3" s="2" t="s">
        <v>2</v>
      </c>
      <c r="N3" s="2" t="s">
        <v>3</v>
      </c>
      <c r="Q3" s="2" t="s">
        <v>1</v>
      </c>
      <c r="R3" s="2" t="s">
        <v>2</v>
      </c>
      <c r="S3" s="2" t="s">
        <v>3</v>
      </c>
    </row>
    <row r="4" spans="1:19" ht="15" customHeight="1" x14ac:dyDescent="0.25">
      <c r="A4" s="77" t="s">
        <v>4</v>
      </c>
      <c r="B4">
        <v>67</v>
      </c>
      <c r="C4">
        <v>33</v>
      </c>
      <c r="D4">
        <v>0</v>
      </c>
      <c r="F4" s="77" t="s">
        <v>4</v>
      </c>
      <c r="G4">
        <v>33</v>
      </c>
      <c r="H4">
        <v>67</v>
      </c>
      <c r="I4">
        <v>0</v>
      </c>
      <c r="K4" s="76" t="s">
        <v>9</v>
      </c>
      <c r="L4">
        <v>50</v>
      </c>
      <c r="M4">
        <v>50</v>
      </c>
      <c r="N4">
        <v>0</v>
      </c>
      <c r="P4" s="76" t="s">
        <v>9</v>
      </c>
      <c r="Q4" s="1">
        <f>0.5*(100-S4)</f>
        <v>16.5</v>
      </c>
      <c r="R4" s="1">
        <f>0.5*(100-S4)</f>
        <v>16.5</v>
      </c>
      <c r="S4">
        <v>67</v>
      </c>
    </row>
    <row r="5" spans="1:19" x14ac:dyDescent="0.25">
      <c r="A5" s="77"/>
      <c r="B5" s="1">
        <f>0.67*70</f>
        <v>46.900000000000006</v>
      </c>
      <c r="C5" s="1">
        <f>100-B5-D5</f>
        <v>23.099999999999994</v>
      </c>
      <c r="D5">
        <v>30</v>
      </c>
      <c r="F5" s="77"/>
      <c r="G5" s="1">
        <f>0.33*70</f>
        <v>23.1</v>
      </c>
      <c r="H5" s="1">
        <f>0.67*70</f>
        <v>46.900000000000006</v>
      </c>
      <c r="I5">
        <v>30</v>
      </c>
      <c r="K5" s="77"/>
      <c r="L5" s="1">
        <v>35</v>
      </c>
      <c r="M5" s="1">
        <v>35</v>
      </c>
      <c r="N5">
        <v>30</v>
      </c>
      <c r="P5" s="77"/>
      <c r="Q5" s="1">
        <f>0.5*(100-S5)</f>
        <v>7.5</v>
      </c>
      <c r="R5" s="1">
        <f>0.5*(100-S5)</f>
        <v>7.5</v>
      </c>
      <c r="S5">
        <v>85</v>
      </c>
    </row>
    <row r="6" spans="1:19" x14ac:dyDescent="0.25">
      <c r="A6" s="77"/>
      <c r="B6" s="1">
        <f>0.67*40</f>
        <v>26.8</v>
      </c>
      <c r="C6" s="1">
        <f>100-B6-D6</f>
        <v>13.200000000000003</v>
      </c>
      <c r="D6">
        <v>60</v>
      </c>
      <c r="F6" s="77"/>
      <c r="G6" s="1">
        <f>0.33*40</f>
        <v>13.200000000000001</v>
      </c>
      <c r="H6" s="1">
        <f>0.67*40</f>
        <v>26.8</v>
      </c>
      <c r="I6">
        <v>60</v>
      </c>
      <c r="K6" s="77"/>
      <c r="L6" s="1">
        <v>20</v>
      </c>
      <c r="M6" s="1">
        <v>20</v>
      </c>
      <c r="N6">
        <v>60</v>
      </c>
      <c r="P6" s="77"/>
      <c r="Q6" s="1">
        <f>0.5*(100-S6)</f>
        <v>2.5</v>
      </c>
      <c r="R6" s="1">
        <f>0.5*(100-S6)</f>
        <v>2.5</v>
      </c>
      <c r="S6">
        <v>95</v>
      </c>
    </row>
    <row r="7" spans="1:19" x14ac:dyDescent="0.25">
      <c r="A7" s="3"/>
      <c r="F7" s="10"/>
      <c r="K7" s="3"/>
      <c r="P7" s="3"/>
      <c r="Q7" s="1"/>
      <c r="R7" s="1"/>
    </row>
    <row r="8" spans="1:19" ht="15" customHeight="1" x14ac:dyDescent="0.25">
      <c r="A8" s="77" t="s">
        <v>5</v>
      </c>
      <c r="B8">
        <v>85</v>
      </c>
      <c r="C8">
        <v>15</v>
      </c>
      <c r="D8">
        <v>0</v>
      </c>
      <c r="F8" s="77" t="s">
        <v>5</v>
      </c>
      <c r="G8">
        <v>15</v>
      </c>
      <c r="H8">
        <v>85</v>
      </c>
      <c r="I8">
        <v>0</v>
      </c>
      <c r="K8" s="76" t="s">
        <v>12</v>
      </c>
      <c r="L8">
        <v>66</v>
      </c>
      <c r="M8">
        <v>34</v>
      </c>
      <c r="N8">
        <v>0</v>
      </c>
      <c r="P8" s="78" t="s">
        <v>10</v>
      </c>
      <c r="Q8" s="1">
        <f>0.75*(100-S8)</f>
        <v>24.75</v>
      </c>
      <c r="R8" s="1">
        <f>0.25*(100-S8)</f>
        <v>8.25</v>
      </c>
      <c r="S8">
        <v>67</v>
      </c>
    </row>
    <row r="9" spans="1:19" x14ac:dyDescent="0.25">
      <c r="A9" s="77"/>
      <c r="B9" s="1">
        <f>0.85*70</f>
        <v>59.5</v>
      </c>
      <c r="C9" s="1">
        <f>0.15*70</f>
        <v>10.5</v>
      </c>
      <c r="D9">
        <v>30</v>
      </c>
      <c r="F9" s="77"/>
      <c r="G9" s="1">
        <f>0.15*70</f>
        <v>10.5</v>
      </c>
      <c r="H9" s="1">
        <f>0.85*70</f>
        <v>59.5</v>
      </c>
      <c r="I9">
        <v>30</v>
      </c>
      <c r="K9" s="77"/>
      <c r="L9" s="1">
        <f>0.66*70</f>
        <v>46.2</v>
      </c>
      <c r="M9" s="1">
        <f>0.34*70</f>
        <v>23.8</v>
      </c>
      <c r="N9">
        <v>30</v>
      </c>
      <c r="P9" s="77"/>
      <c r="Q9" s="1">
        <f>0.75*(100-S9)</f>
        <v>11.25</v>
      </c>
      <c r="R9" s="1">
        <f>0.25*(100-S9)</f>
        <v>3.75</v>
      </c>
      <c r="S9">
        <v>85</v>
      </c>
    </row>
    <row r="10" spans="1:19" x14ac:dyDescent="0.25">
      <c r="A10" s="77"/>
      <c r="B10" s="1">
        <f>0.85*40</f>
        <v>34</v>
      </c>
      <c r="C10" s="1">
        <f>0.15*40</f>
        <v>6</v>
      </c>
      <c r="D10">
        <v>60</v>
      </c>
      <c r="F10" s="77"/>
      <c r="G10" s="1">
        <f>0.15*40</f>
        <v>6</v>
      </c>
      <c r="H10" s="1">
        <f>0.85*40</f>
        <v>34</v>
      </c>
      <c r="I10">
        <v>60</v>
      </c>
      <c r="K10" s="77"/>
      <c r="L10" s="1">
        <f>0.66*40</f>
        <v>26.400000000000002</v>
      </c>
      <c r="M10" s="1">
        <f>0.34*40</f>
        <v>13.600000000000001</v>
      </c>
      <c r="N10">
        <v>60</v>
      </c>
      <c r="P10" s="77"/>
      <c r="Q10" s="1">
        <f>0.75*(100-S10)</f>
        <v>3.75</v>
      </c>
      <c r="R10" s="1">
        <f>0.25*(100-S10)</f>
        <v>1.25</v>
      </c>
      <c r="S10">
        <v>95</v>
      </c>
    </row>
    <row r="11" spans="1:19" x14ac:dyDescent="0.25">
      <c r="A11" s="3"/>
      <c r="F11" s="10"/>
      <c r="K11" s="3"/>
      <c r="P11" s="3"/>
      <c r="Q11" s="1"/>
      <c r="R11" s="1"/>
    </row>
    <row r="12" spans="1:19" ht="15" customHeight="1" x14ac:dyDescent="0.25">
      <c r="A12" s="77" t="s">
        <v>6</v>
      </c>
      <c r="B12">
        <v>95</v>
      </c>
      <c r="C12">
        <v>5</v>
      </c>
      <c r="D12">
        <v>0</v>
      </c>
      <c r="F12" s="77" t="s">
        <v>6</v>
      </c>
      <c r="G12">
        <v>5</v>
      </c>
      <c r="H12">
        <v>95</v>
      </c>
      <c r="I12">
        <v>0</v>
      </c>
      <c r="K12" s="78" t="s">
        <v>13</v>
      </c>
      <c r="L12" s="1">
        <v>34</v>
      </c>
      <c r="M12" s="1">
        <v>66</v>
      </c>
      <c r="N12">
        <v>0</v>
      </c>
      <c r="P12" s="78" t="s">
        <v>11</v>
      </c>
      <c r="Q12" s="1">
        <f>0.25*(100-S12)</f>
        <v>8.25</v>
      </c>
      <c r="R12" s="1">
        <f>0.75*(100-S12)</f>
        <v>24.75</v>
      </c>
      <c r="S12">
        <v>67</v>
      </c>
    </row>
    <row r="13" spans="1:19" x14ac:dyDescent="0.25">
      <c r="A13" s="77"/>
      <c r="B13" s="1">
        <f>0.95*70</f>
        <v>66.5</v>
      </c>
      <c r="C13" s="1">
        <f>0.05*70</f>
        <v>3.5</v>
      </c>
      <c r="D13">
        <v>30</v>
      </c>
      <c r="F13" s="77"/>
      <c r="G13" s="1">
        <f>0.05*70</f>
        <v>3.5</v>
      </c>
      <c r="H13" s="1">
        <f>0.95*70</f>
        <v>66.5</v>
      </c>
      <c r="I13">
        <v>30</v>
      </c>
      <c r="K13" s="77"/>
      <c r="L13" s="1">
        <v>24</v>
      </c>
      <c r="M13" s="1">
        <v>46</v>
      </c>
      <c r="N13">
        <v>30</v>
      </c>
      <c r="P13" s="77"/>
      <c r="Q13" s="1">
        <f>0.25*(100-S13)</f>
        <v>3.75</v>
      </c>
      <c r="R13" s="1">
        <f>0.75*(100-S13)</f>
        <v>11.25</v>
      </c>
      <c r="S13">
        <v>85</v>
      </c>
    </row>
    <row r="14" spans="1:19" x14ac:dyDescent="0.25">
      <c r="A14" s="77"/>
      <c r="B14" s="1">
        <f>0.95*40</f>
        <v>38</v>
      </c>
      <c r="C14" s="1">
        <f>0.05*40</f>
        <v>2</v>
      </c>
      <c r="D14">
        <v>60</v>
      </c>
      <c r="F14" s="77"/>
      <c r="G14" s="1">
        <f>0.05*40</f>
        <v>2</v>
      </c>
      <c r="H14" s="1">
        <f>0.95*40</f>
        <v>38</v>
      </c>
      <c r="I14">
        <v>60</v>
      </c>
      <c r="K14" s="77"/>
      <c r="L14">
        <v>14</v>
      </c>
      <c r="M14">
        <v>26</v>
      </c>
      <c r="N14">
        <v>60</v>
      </c>
      <c r="P14" s="77"/>
      <c r="Q14" s="1">
        <f>0.25*(100-S14)</f>
        <v>1.25</v>
      </c>
      <c r="R14" s="1">
        <f>0.75*(100-S14)</f>
        <v>3.75</v>
      </c>
      <c r="S14">
        <v>95</v>
      </c>
    </row>
    <row r="15" spans="1:19" x14ac:dyDescent="0.25">
      <c r="A15" s="5"/>
      <c r="B15" s="1"/>
      <c r="C15" s="1"/>
      <c r="F15" s="5"/>
      <c r="G15" s="1"/>
      <c r="H15" s="1"/>
      <c r="K15" s="5"/>
      <c r="P15" s="5"/>
      <c r="Q15" s="1"/>
      <c r="R15" s="1"/>
    </row>
    <row r="17" spans="2:19" x14ac:dyDescent="0.25">
      <c r="B17" s="6" t="s">
        <v>25</v>
      </c>
      <c r="C17" s="6"/>
      <c r="D17" s="6"/>
    </row>
    <row r="18" spans="2:19" x14ac:dyDescent="0.25">
      <c r="B18" t="s">
        <v>23</v>
      </c>
      <c r="C18" s="6"/>
      <c r="D18" s="6"/>
    </row>
    <row r="19" spans="2:19" x14ac:dyDescent="0.25">
      <c r="B19" t="s">
        <v>21</v>
      </c>
    </row>
    <row r="20" spans="2:19" x14ac:dyDescent="0.25">
      <c r="B20" t="s">
        <v>22</v>
      </c>
    </row>
    <row r="21" spans="2:19" x14ac:dyDescent="0.25">
      <c r="B21" t="s">
        <v>24</v>
      </c>
    </row>
    <row r="23" spans="2:19" x14ac:dyDescent="0.25">
      <c r="B23" s="74"/>
      <c r="C23" s="74"/>
      <c r="D23" s="74"/>
      <c r="E23" s="74"/>
      <c r="F23" s="74"/>
      <c r="G23" s="74"/>
      <c r="H23" s="74"/>
      <c r="I23" s="74"/>
      <c r="J23" s="74"/>
      <c r="K23" s="74"/>
      <c r="L23" s="74"/>
      <c r="M23" s="74"/>
      <c r="N23" s="74"/>
      <c r="O23" s="74"/>
      <c r="P23" s="74"/>
      <c r="Q23" s="74"/>
      <c r="R23" s="74"/>
      <c r="S23" s="74"/>
    </row>
    <row r="24" spans="2:19" x14ac:dyDescent="0.25">
      <c r="B24" s="74"/>
      <c r="C24" s="74"/>
      <c r="D24" s="74"/>
      <c r="E24" s="74"/>
      <c r="F24" s="74"/>
      <c r="G24" s="74"/>
      <c r="H24" s="74"/>
      <c r="I24" s="74"/>
      <c r="J24" s="74"/>
      <c r="K24" s="74"/>
      <c r="L24" s="74"/>
      <c r="M24" s="74"/>
      <c r="N24" s="74"/>
      <c r="O24" s="74"/>
      <c r="P24" s="74"/>
      <c r="Q24" s="74"/>
      <c r="R24" s="74"/>
      <c r="S24" s="74"/>
    </row>
    <row r="25" spans="2:19" x14ac:dyDescent="0.25">
      <c r="B25" s="74"/>
      <c r="C25" s="74"/>
      <c r="D25" s="74"/>
      <c r="E25" s="74"/>
      <c r="F25" s="74"/>
      <c r="G25" s="74"/>
      <c r="H25" s="74"/>
      <c r="I25" s="74"/>
      <c r="J25" s="74"/>
      <c r="K25" s="74"/>
      <c r="L25" s="74"/>
      <c r="M25" s="74"/>
      <c r="N25" s="74"/>
      <c r="O25" s="74"/>
      <c r="P25" s="74"/>
      <c r="Q25" s="74"/>
      <c r="R25" s="74"/>
      <c r="S25" s="74"/>
    </row>
    <row r="26" spans="2:19" x14ac:dyDescent="0.25">
      <c r="B26" s="74"/>
      <c r="C26" s="74"/>
      <c r="D26" s="74"/>
      <c r="E26" s="74"/>
      <c r="F26" s="74"/>
      <c r="G26" s="74"/>
      <c r="H26" s="74"/>
      <c r="I26" s="74"/>
      <c r="J26" s="74"/>
      <c r="K26" s="74"/>
      <c r="L26" s="74"/>
      <c r="M26" s="74"/>
      <c r="N26" s="74"/>
      <c r="O26" s="74"/>
      <c r="P26" s="74"/>
      <c r="Q26" s="74"/>
      <c r="R26" s="74"/>
      <c r="S26" s="74"/>
    </row>
    <row r="27" spans="2:19" x14ac:dyDescent="0.25">
      <c r="B27" s="74"/>
      <c r="C27" s="74"/>
      <c r="D27" s="74"/>
      <c r="E27" s="74"/>
      <c r="F27" s="74"/>
      <c r="G27" s="74"/>
      <c r="H27" s="74"/>
      <c r="I27" s="74"/>
      <c r="J27" s="74"/>
      <c r="K27" s="74"/>
      <c r="L27" s="74"/>
      <c r="M27" s="74"/>
      <c r="N27" s="74"/>
      <c r="O27" s="74"/>
      <c r="P27" s="74"/>
      <c r="Q27" s="74"/>
      <c r="R27" s="74"/>
      <c r="S27" s="74"/>
    </row>
    <row r="28" spans="2:19" x14ac:dyDescent="0.25">
      <c r="B28" s="74"/>
      <c r="C28" s="74"/>
      <c r="D28" s="74"/>
      <c r="E28" s="74"/>
      <c r="F28" s="74"/>
      <c r="G28" s="74"/>
      <c r="H28" s="74"/>
      <c r="I28" s="74"/>
      <c r="J28" s="74"/>
      <c r="K28" s="74"/>
      <c r="L28" s="74"/>
      <c r="M28" s="74"/>
      <c r="N28" s="74"/>
      <c r="O28" s="74"/>
      <c r="P28" s="74"/>
      <c r="Q28" s="74"/>
      <c r="R28" s="74"/>
      <c r="S28" s="74"/>
    </row>
    <row r="29" spans="2:19" x14ac:dyDescent="0.25">
      <c r="B29" s="74"/>
      <c r="C29" s="74"/>
      <c r="D29" s="74"/>
      <c r="E29" s="74"/>
      <c r="F29" s="74"/>
      <c r="G29" s="74"/>
      <c r="H29" s="74"/>
      <c r="I29" s="74"/>
      <c r="J29" s="74"/>
      <c r="K29" s="74"/>
      <c r="L29" s="74"/>
      <c r="M29" s="74"/>
      <c r="N29" s="74"/>
      <c r="O29" s="74"/>
      <c r="P29" s="74"/>
      <c r="Q29" s="74"/>
      <c r="R29" s="74"/>
      <c r="S29" s="74"/>
    </row>
    <row r="30" spans="2:19" x14ac:dyDescent="0.25">
      <c r="B30" s="74"/>
      <c r="C30" s="74"/>
      <c r="D30" s="74"/>
      <c r="E30" s="74"/>
      <c r="F30" s="74"/>
      <c r="G30" s="74"/>
      <c r="H30" s="74"/>
      <c r="I30" s="74"/>
      <c r="J30" s="74"/>
      <c r="K30" s="74"/>
      <c r="L30" s="74"/>
      <c r="M30" s="74"/>
      <c r="N30" s="74"/>
      <c r="O30" s="74"/>
      <c r="P30" s="74"/>
      <c r="Q30" s="74"/>
      <c r="R30" s="74"/>
      <c r="S30" s="74"/>
    </row>
    <row r="31" spans="2:19" x14ac:dyDescent="0.25">
      <c r="B31" s="74"/>
      <c r="C31" s="74"/>
      <c r="D31" s="74"/>
      <c r="E31" s="74"/>
      <c r="F31" s="74"/>
      <c r="G31" s="74"/>
      <c r="H31" s="74"/>
      <c r="I31" s="74"/>
      <c r="J31" s="74"/>
      <c r="K31" s="74"/>
      <c r="L31" s="74"/>
      <c r="M31" s="74"/>
      <c r="N31" s="74"/>
      <c r="O31" s="74"/>
      <c r="P31" s="74"/>
      <c r="Q31" s="74"/>
      <c r="R31" s="74"/>
      <c r="S31" s="74"/>
    </row>
    <row r="32" spans="2:19" x14ac:dyDescent="0.25">
      <c r="B32" s="74"/>
      <c r="C32" s="74"/>
      <c r="D32" s="74"/>
      <c r="E32" s="74"/>
      <c r="F32" s="74"/>
      <c r="G32" s="74"/>
      <c r="H32" s="74"/>
      <c r="I32" s="74"/>
      <c r="J32" s="74"/>
      <c r="K32" s="74"/>
      <c r="L32" s="74"/>
      <c r="M32" s="74"/>
      <c r="N32" s="74"/>
      <c r="O32" s="74"/>
      <c r="P32" s="74"/>
      <c r="Q32" s="74"/>
      <c r="R32" s="74"/>
      <c r="S32" s="74"/>
    </row>
    <row r="33" spans="2:19" x14ac:dyDescent="0.25">
      <c r="B33" s="74"/>
      <c r="C33" s="74"/>
      <c r="D33" s="74"/>
      <c r="E33" s="74"/>
      <c r="F33" s="74"/>
      <c r="G33" s="74"/>
      <c r="H33" s="74"/>
      <c r="I33" s="74"/>
      <c r="J33" s="74"/>
      <c r="K33" s="74"/>
      <c r="L33" s="74"/>
      <c r="M33" s="74"/>
      <c r="N33" s="74"/>
      <c r="O33" s="74"/>
      <c r="P33" s="74"/>
      <c r="Q33" s="74"/>
      <c r="R33" s="74"/>
      <c r="S33" s="74"/>
    </row>
    <row r="34" spans="2:19" x14ac:dyDescent="0.25">
      <c r="B34" s="74"/>
      <c r="C34" s="74"/>
      <c r="D34" s="74"/>
      <c r="E34" s="74"/>
      <c r="F34" s="74"/>
      <c r="G34" s="74"/>
      <c r="H34" s="74"/>
      <c r="I34" s="74"/>
      <c r="J34" s="74"/>
      <c r="K34" s="74"/>
      <c r="L34" s="74"/>
      <c r="M34" s="74"/>
      <c r="N34" s="74"/>
      <c r="O34" s="74"/>
      <c r="P34" s="74"/>
      <c r="Q34" s="74"/>
      <c r="R34" s="74"/>
      <c r="S34" s="74"/>
    </row>
    <row r="35" spans="2:19" x14ac:dyDescent="0.25">
      <c r="B35" s="74"/>
      <c r="C35" s="74"/>
      <c r="D35" s="74"/>
      <c r="E35" s="74"/>
      <c r="F35" s="74"/>
      <c r="G35" s="74"/>
      <c r="H35" s="74"/>
      <c r="I35" s="74"/>
      <c r="J35" s="74"/>
      <c r="K35" s="74"/>
      <c r="L35" s="74"/>
      <c r="M35" s="74"/>
      <c r="N35" s="74"/>
      <c r="O35" s="74"/>
      <c r="P35" s="74"/>
      <c r="Q35" s="74"/>
      <c r="R35" s="74"/>
      <c r="S35" s="74"/>
    </row>
    <row r="36" spans="2:19" x14ac:dyDescent="0.25">
      <c r="B36" s="74"/>
      <c r="C36" s="74"/>
      <c r="D36" s="74"/>
      <c r="E36" s="74"/>
      <c r="F36" s="74"/>
      <c r="G36" s="74"/>
      <c r="H36" s="74"/>
      <c r="I36" s="74"/>
      <c r="J36" s="74"/>
      <c r="K36" s="74"/>
      <c r="L36" s="74"/>
      <c r="M36" s="74"/>
      <c r="N36" s="74"/>
      <c r="O36" s="74"/>
      <c r="P36" s="74"/>
      <c r="Q36" s="74"/>
      <c r="R36" s="74"/>
      <c r="S36" s="74"/>
    </row>
  </sheetData>
  <mergeCells count="17">
    <mergeCell ref="A4:A6"/>
    <mergeCell ref="A8:A10"/>
    <mergeCell ref="A12:A14"/>
    <mergeCell ref="B1:D1"/>
    <mergeCell ref="G1:I1"/>
    <mergeCell ref="F4:F6"/>
    <mergeCell ref="F8:F10"/>
    <mergeCell ref="F12:F14"/>
    <mergeCell ref="B23:S36"/>
    <mergeCell ref="L1:N1"/>
    <mergeCell ref="K4:K6"/>
    <mergeCell ref="K8:K10"/>
    <mergeCell ref="K12:K14"/>
    <mergeCell ref="Q1:S1"/>
    <mergeCell ref="P4:P6"/>
    <mergeCell ref="P8:P10"/>
    <mergeCell ref="P12:P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7109375" customWidth="1"/>
    <col min="11" max="11" width="4.7109375" customWidth="1"/>
    <col min="12" max="13" width="9.28515625" customWidth="1"/>
    <col min="18" max="18" width="2.85546875" customWidth="1"/>
    <col min="19" max="19" width="6.28515625" customWidth="1"/>
  </cols>
  <sheetData>
    <row r="1" spans="1:19" x14ac:dyDescent="0.25">
      <c r="B1" s="80" t="s">
        <v>0</v>
      </c>
      <c r="C1" s="80"/>
      <c r="D1" s="80"/>
      <c r="F1" s="84" t="s">
        <v>19</v>
      </c>
      <c r="G1" s="84"/>
      <c r="H1" s="84"/>
      <c r="I1" s="84"/>
      <c r="J1" s="84"/>
      <c r="K1" s="84"/>
      <c r="N1" s="82" t="s">
        <v>20</v>
      </c>
      <c r="O1" s="82"/>
      <c r="P1" s="82"/>
      <c r="Q1" s="82"/>
      <c r="R1" s="82"/>
      <c r="S1" s="82"/>
    </row>
    <row r="3" spans="1:19" ht="15.75" thickBot="1" x14ac:dyDescent="0.3">
      <c r="B3" s="2" t="s">
        <v>1</v>
      </c>
      <c r="C3" s="2" t="s">
        <v>2</v>
      </c>
      <c r="D3" s="2" t="s">
        <v>3</v>
      </c>
      <c r="F3" s="2" t="s">
        <v>1</v>
      </c>
      <c r="G3" s="2" t="s">
        <v>14</v>
      </c>
      <c r="H3" s="2" t="s">
        <v>2</v>
      </c>
      <c r="I3" s="62" t="s">
        <v>3</v>
      </c>
      <c r="K3" s="2" t="s">
        <v>15</v>
      </c>
      <c r="L3" s="2"/>
      <c r="N3" s="2" t="s">
        <v>1</v>
      </c>
      <c r="O3" s="2" t="s">
        <v>14</v>
      </c>
      <c r="P3" s="2" t="s">
        <v>2</v>
      </c>
      <c r="Q3" s="2" t="s">
        <v>3</v>
      </c>
      <c r="S3" s="2" t="s">
        <v>15</v>
      </c>
    </row>
    <row r="4" spans="1:19" x14ac:dyDescent="0.25">
      <c r="A4" s="77" t="s">
        <v>4</v>
      </c>
      <c r="B4">
        <v>67</v>
      </c>
      <c r="C4">
        <v>33</v>
      </c>
      <c r="D4">
        <v>0</v>
      </c>
      <c r="F4" s="25">
        <f>0.8*(100-I4)</f>
        <v>80</v>
      </c>
      <c r="G4" s="26">
        <f>0.2*(100-I4)</f>
        <v>20</v>
      </c>
      <c r="H4" s="26">
        <v>0</v>
      </c>
      <c r="I4" s="27">
        <f>0.5*SB_High!I4</f>
        <v>0</v>
      </c>
      <c r="K4">
        <f>SUM(F4:I4)</f>
        <v>100</v>
      </c>
      <c r="N4">
        <f t="shared" ref="N4:Q6" si="0">(100/9)*F4/100</f>
        <v>8.8888888888888893</v>
      </c>
      <c r="O4">
        <f t="shared" si="0"/>
        <v>2.2222222222222223</v>
      </c>
      <c r="P4">
        <f t="shared" si="0"/>
        <v>0</v>
      </c>
      <c r="Q4">
        <f t="shared" si="0"/>
        <v>0</v>
      </c>
      <c r="S4">
        <f>SUM(N4:Q4)</f>
        <v>11.111111111111111</v>
      </c>
    </row>
    <row r="5" spans="1:19" x14ac:dyDescent="0.25">
      <c r="A5" s="77"/>
      <c r="B5" s="1">
        <f>0.67*70</f>
        <v>46.900000000000006</v>
      </c>
      <c r="C5" s="1">
        <f>100-B5-D5</f>
        <v>23.099999999999994</v>
      </c>
      <c r="D5">
        <v>30</v>
      </c>
      <c r="F5" s="20">
        <f>0.8*(100-I5)</f>
        <v>75</v>
      </c>
      <c r="G5" s="11">
        <f>0.2*(100-I5)</f>
        <v>18.75</v>
      </c>
      <c r="H5" s="13">
        <v>0</v>
      </c>
      <c r="I5" s="63">
        <f>0.5*SB_High!I5</f>
        <v>6.25</v>
      </c>
      <c r="K5">
        <f>SUM(F5:I5)</f>
        <v>100</v>
      </c>
      <c r="N5">
        <f t="shared" si="0"/>
        <v>8.3333333333333321</v>
      </c>
      <c r="O5">
        <f t="shared" si="0"/>
        <v>2.083333333333333</v>
      </c>
      <c r="P5">
        <f t="shared" si="0"/>
        <v>0</v>
      </c>
      <c r="Q5">
        <f t="shared" si="0"/>
        <v>0.69444444444444442</v>
      </c>
      <c r="S5">
        <f>SUM(N5:Q5)</f>
        <v>11.111111111111109</v>
      </c>
    </row>
    <row r="6" spans="1:19" x14ac:dyDescent="0.25">
      <c r="A6" s="77"/>
      <c r="B6" s="1">
        <f>0.67*40</f>
        <v>26.8</v>
      </c>
      <c r="C6" s="1">
        <f>100-B6-D6</f>
        <v>13.200000000000003</v>
      </c>
      <c r="D6">
        <v>60</v>
      </c>
      <c r="F6" s="20">
        <f>0.8*(100-I6)</f>
        <v>70</v>
      </c>
      <c r="G6" s="11">
        <f>0.2*(100-I6)</f>
        <v>17.5</v>
      </c>
      <c r="H6" s="13">
        <v>0</v>
      </c>
      <c r="I6" s="63">
        <f>0.5*SB_High!I6</f>
        <v>12.5</v>
      </c>
      <c r="K6">
        <f>SUM(F6:I6)</f>
        <v>100</v>
      </c>
      <c r="N6">
        <f t="shared" si="0"/>
        <v>7.7777777777777768</v>
      </c>
      <c r="O6">
        <f t="shared" si="0"/>
        <v>1.9444444444444442</v>
      </c>
      <c r="P6">
        <f t="shared" si="0"/>
        <v>0</v>
      </c>
      <c r="Q6">
        <f t="shared" si="0"/>
        <v>1.3888888888888888</v>
      </c>
      <c r="S6">
        <f>SUM(N6:Q6)</f>
        <v>11.111111111111111</v>
      </c>
    </row>
    <row r="7" spans="1:19" x14ac:dyDescent="0.25">
      <c r="A7" s="3"/>
      <c r="F7" s="20"/>
      <c r="G7" s="11"/>
      <c r="H7" s="12"/>
      <c r="I7" s="17"/>
    </row>
    <row r="8" spans="1:19" x14ac:dyDescent="0.25">
      <c r="A8" s="77" t="s">
        <v>5</v>
      </c>
      <c r="B8">
        <v>85</v>
      </c>
      <c r="C8">
        <v>15</v>
      </c>
      <c r="D8">
        <v>0</v>
      </c>
      <c r="F8" s="18">
        <v>90</v>
      </c>
      <c r="G8" s="13">
        <v>10</v>
      </c>
      <c r="H8" s="13">
        <v>0</v>
      </c>
      <c r="I8" s="29">
        <f>I4</f>
        <v>0</v>
      </c>
      <c r="K8">
        <f>SUM(F8:I8)</f>
        <v>100</v>
      </c>
      <c r="N8">
        <f t="shared" ref="N8:Q10" si="1">(100/9)*F8/100</f>
        <v>10</v>
      </c>
      <c r="O8">
        <f t="shared" si="1"/>
        <v>1.1111111111111112</v>
      </c>
      <c r="P8">
        <f t="shared" si="1"/>
        <v>0</v>
      </c>
      <c r="Q8">
        <f t="shared" si="1"/>
        <v>0</v>
      </c>
      <c r="S8">
        <f>SUM(N8:Q8)</f>
        <v>11.111111111111111</v>
      </c>
    </row>
    <row r="9" spans="1:19" x14ac:dyDescent="0.25">
      <c r="A9" s="77"/>
      <c r="B9" s="1">
        <f>0.85*70</f>
        <v>59.5</v>
      </c>
      <c r="C9" s="1">
        <f>0.15*70</f>
        <v>10.5</v>
      </c>
      <c r="D9">
        <v>30</v>
      </c>
      <c r="F9" s="19">
        <f>F8/100*(100-H9-I9)</f>
        <v>84.375</v>
      </c>
      <c r="G9" s="14">
        <f>G8/100*(100-H9-I9)</f>
        <v>9.375</v>
      </c>
      <c r="H9" s="13">
        <v>0</v>
      </c>
      <c r="I9" s="29">
        <f>I5</f>
        <v>6.25</v>
      </c>
      <c r="K9">
        <f>SUM(F9:I9)</f>
        <v>100</v>
      </c>
      <c r="N9">
        <f t="shared" si="1"/>
        <v>9.375</v>
      </c>
      <c r="O9">
        <f t="shared" si="1"/>
        <v>1.0416666666666665</v>
      </c>
      <c r="P9">
        <f t="shared" si="1"/>
        <v>0</v>
      </c>
      <c r="Q9">
        <f t="shared" si="1"/>
        <v>0.69444444444444442</v>
      </c>
      <c r="S9">
        <f>SUM(N9:Q9)</f>
        <v>11.111111111111111</v>
      </c>
    </row>
    <row r="10" spans="1:19" x14ac:dyDescent="0.25">
      <c r="A10" s="77"/>
      <c r="B10" s="1">
        <f>0.85*40</f>
        <v>34</v>
      </c>
      <c r="C10" s="1">
        <f>0.15*40</f>
        <v>6</v>
      </c>
      <c r="D10">
        <v>60</v>
      </c>
      <c r="F10" s="19">
        <f>F8/100*(100-H10-I10)</f>
        <v>78.75</v>
      </c>
      <c r="G10" s="14">
        <f>G8/100*(100-H10-I10)</f>
        <v>8.75</v>
      </c>
      <c r="H10" s="13">
        <v>0</v>
      </c>
      <c r="I10" s="64">
        <f>I6</f>
        <v>12.5</v>
      </c>
      <c r="K10">
        <f>SUM(F10:I10)</f>
        <v>100</v>
      </c>
      <c r="N10">
        <f t="shared" si="1"/>
        <v>8.75</v>
      </c>
      <c r="O10">
        <f t="shared" si="1"/>
        <v>0.9722222222222221</v>
      </c>
      <c r="P10">
        <f t="shared" si="1"/>
        <v>0</v>
      </c>
      <c r="Q10">
        <f t="shared" si="1"/>
        <v>1.3888888888888888</v>
      </c>
      <c r="S10">
        <f>SUM(N10:Q10)</f>
        <v>11.111111111111111</v>
      </c>
    </row>
    <row r="11" spans="1:19" x14ac:dyDescent="0.25">
      <c r="A11" s="3"/>
      <c r="F11" s="16"/>
      <c r="G11" s="12"/>
      <c r="H11" s="12"/>
      <c r="I11" s="29"/>
    </row>
    <row r="12" spans="1:19" x14ac:dyDescent="0.25">
      <c r="A12" s="77" t="s">
        <v>6</v>
      </c>
      <c r="B12">
        <v>95</v>
      </c>
      <c r="C12">
        <v>5</v>
      </c>
      <c r="D12">
        <v>0</v>
      </c>
      <c r="F12" s="18">
        <v>95</v>
      </c>
      <c r="G12" s="13">
        <v>5</v>
      </c>
      <c r="H12" s="13">
        <v>0</v>
      </c>
      <c r="I12" s="29">
        <f>I4</f>
        <v>0</v>
      </c>
      <c r="K12">
        <f>SUM(F12:I12)</f>
        <v>100</v>
      </c>
      <c r="N12">
        <f t="shared" ref="N12:Q14" si="2">(100/9)*F12/100</f>
        <v>10.555555555555554</v>
      </c>
      <c r="O12">
        <f t="shared" si="2"/>
        <v>0.55555555555555558</v>
      </c>
      <c r="P12">
        <f t="shared" si="2"/>
        <v>0</v>
      </c>
      <c r="Q12">
        <f t="shared" si="2"/>
        <v>0</v>
      </c>
      <c r="S12">
        <f>SUM(N12:Q12)</f>
        <v>11.111111111111109</v>
      </c>
    </row>
    <row r="13" spans="1:19" x14ac:dyDescent="0.25">
      <c r="A13" s="77"/>
      <c r="B13" s="1">
        <f>0.95*70</f>
        <v>66.5</v>
      </c>
      <c r="C13" s="1">
        <f>0.05*70</f>
        <v>3.5</v>
      </c>
      <c r="D13">
        <v>30</v>
      </c>
      <c r="F13" s="19">
        <f>F12/100*(100-H13-I13)</f>
        <v>89.0625</v>
      </c>
      <c r="G13" s="14">
        <f>G12/100*(100-H13-I13)</f>
        <v>4.6875</v>
      </c>
      <c r="H13" s="13">
        <v>0</v>
      </c>
      <c r="I13" s="29">
        <f>I5</f>
        <v>6.25</v>
      </c>
      <c r="K13">
        <f>SUM(F13:I13)</f>
        <v>100</v>
      </c>
      <c r="N13">
        <f t="shared" si="2"/>
        <v>9.8958333333333321</v>
      </c>
      <c r="O13">
        <f t="shared" si="2"/>
        <v>0.52083333333333326</v>
      </c>
      <c r="P13">
        <f t="shared" si="2"/>
        <v>0</v>
      </c>
      <c r="Q13">
        <f t="shared" si="2"/>
        <v>0.69444444444444442</v>
      </c>
      <c r="S13">
        <f>SUM(N13:Q13)</f>
        <v>11.111111111111111</v>
      </c>
    </row>
    <row r="14" spans="1:19" ht="15.75" thickBot="1" x14ac:dyDescent="0.3">
      <c r="A14" s="77"/>
      <c r="B14" s="1">
        <f>0.95*40</f>
        <v>38</v>
      </c>
      <c r="C14" s="1">
        <f>0.05*40</f>
        <v>2</v>
      </c>
      <c r="D14">
        <v>60</v>
      </c>
      <c r="F14" s="21">
        <f>F12/100*(100-H14-I14)</f>
        <v>83.125</v>
      </c>
      <c r="G14" s="22">
        <f>G12/100*(100-H14-I14)</f>
        <v>4.375</v>
      </c>
      <c r="H14" s="23">
        <v>0</v>
      </c>
      <c r="I14" s="65">
        <f>I6</f>
        <v>12.5</v>
      </c>
      <c r="K14">
        <f>SUM(F14:I14)</f>
        <v>100</v>
      </c>
      <c r="N14">
        <f t="shared" si="2"/>
        <v>9.2361111111111107</v>
      </c>
      <c r="O14">
        <f t="shared" si="2"/>
        <v>0.48611111111111105</v>
      </c>
      <c r="P14">
        <f t="shared" si="2"/>
        <v>0</v>
      </c>
      <c r="Q14">
        <f t="shared" si="2"/>
        <v>1.3888888888888888</v>
      </c>
      <c r="S14">
        <f>SUM(N14:Q14)</f>
        <v>11.111111111111111</v>
      </c>
    </row>
    <row r="16" spans="1:19" x14ac:dyDescent="0.25">
      <c r="M16" t="s">
        <v>15</v>
      </c>
      <c r="N16" s="4">
        <f>SUM(N4:N14)</f>
        <v>82.8125</v>
      </c>
      <c r="O16" s="4">
        <f>SUM(O4:O14)</f>
        <v>10.937499999999998</v>
      </c>
      <c r="P16" s="4">
        <f>SUM(P4:P14)</f>
        <v>0</v>
      </c>
      <c r="Q16" s="4">
        <f>SUM(Q4:Q14)</f>
        <v>6.25</v>
      </c>
    </row>
    <row r="17" spans="12:19" x14ac:dyDescent="0.25">
      <c r="S17" s="2" t="s">
        <v>15</v>
      </c>
    </row>
    <row r="18" spans="12:19" x14ac:dyDescent="0.25">
      <c r="L18" s="83"/>
      <c r="M18" s="6" t="s">
        <v>16</v>
      </c>
      <c r="N18" s="9">
        <f>N16</f>
        <v>82.8125</v>
      </c>
      <c r="O18" s="9">
        <f>O16</f>
        <v>10.937499999999998</v>
      </c>
      <c r="P18" s="9">
        <f>P16</f>
        <v>0</v>
      </c>
      <c r="Q18" s="9">
        <f>Q16</f>
        <v>6.25</v>
      </c>
      <c r="S18">
        <f>SUM(N18:Q18)</f>
        <v>100</v>
      </c>
    </row>
    <row r="19" spans="12:19" x14ac:dyDescent="0.25">
      <c r="L19" s="83"/>
      <c r="M19" s="6"/>
      <c r="N19" s="9"/>
      <c r="O19" s="9"/>
      <c r="P19" s="9"/>
      <c r="Q19" s="9"/>
    </row>
    <row r="20" spans="12:19" x14ac:dyDescent="0.25">
      <c r="L20" s="83"/>
      <c r="M20" s="6" t="s">
        <v>18</v>
      </c>
      <c r="N20" s="9">
        <f>N$18-(0.525*N$18)</f>
        <v>39.3359375</v>
      </c>
      <c r="O20" s="9">
        <f>O$18+(O$18/($O$18+$Q$18))*(($N$18-$N20)+($P$18-$P20))</f>
        <v>38.604403409090899</v>
      </c>
      <c r="P20" s="9">
        <f>P$18-(0.325*P$18)</f>
        <v>0</v>
      </c>
      <c r="Q20" s="9">
        <f>Q$18+(Q$18/($O$18+$Q$18))*(($N$18-$N20)+($P$18-$P20))</f>
        <v>22.059659090909093</v>
      </c>
      <c r="S20">
        <f>SUM(N20:Q20)</f>
        <v>100</v>
      </c>
    </row>
    <row r="21" spans="12:19" x14ac:dyDescent="0.25">
      <c r="L21" s="83"/>
      <c r="M21" s="6"/>
      <c r="N21" s="9"/>
      <c r="O21" s="9"/>
      <c r="P21" s="9"/>
      <c r="Q21" s="9"/>
    </row>
    <row r="22" spans="12:19" x14ac:dyDescent="0.25">
      <c r="L22" s="83"/>
      <c r="M22" s="6" t="s">
        <v>17</v>
      </c>
      <c r="N22" s="9">
        <f>N$18-(0.625*N$18)</f>
        <v>31.0546875</v>
      </c>
      <c r="O22" s="9">
        <f>O$18+(O$18/($O$18+$Q$18))*(($N$18-$N22)+($P$18-$P22))</f>
        <v>43.874289772727266</v>
      </c>
      <c r="P22" s="9">
        <f>P$18-(0.525*P$18)</f>
        <v>0</v>
      </c>
      <c r="Q22" s="9">
        <f>Q$18+(Q$18/($O$18+$Q$18))*(($N$18-$N22)+($P$18-$P22))</f>
        <v>25.071022727272727</v>
      </c>
      <c r="S22">
        <f>SUM(N22:Q22)</f>
        <v>100</v>
      </c>
    </row>
    <row r="23" spans="12:19" x14ac:dyDescent="0.25">
      <c r="L23" s="83"/>
      <c r="M23" s="6"/>
      <c r="N23" s="9"/>
      <c r="O23" s="9"/>
      <c r="P23" s="9"/>
      <c r="Q23" s="9"/>
    </row>
    <row r="24" spans="12:19" x14ac:dyDescent="0.25">
      <c r="L24" s="83"/>
      <c r="M24" s="6" t="s">
        <v>31</v>
      </c>
      <c r="N24" s="9">
        <f>N$18-(0*N$18)</f>
        <v>82.8125</v>
      </c>
      <c r="O24" s="9">
        <f>O$18+(O$18/($O$18+$Q$18))*(($N$18-$N24)+($P$18-$P24))</f>
        <v>10.937499999999998</v>
      </c>
      <c r="P24" s="9">
        <f>P$18-(0*P$18)</f>
        <v>0</v>
      </c>
      <c r="Q24" s="9">
        <f>Q$18+(Q$18/($O$18+$Q$18))*(($N$18-$N24)+($P$18-$P24))</f>
        <v>6.25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85</v>
      </c>
      <c r="O28" s="58">
        <f>MROUND(O37,5)</f>
        <v>40</v>
      </c>
      <c r="P28" s="58">
        <v>30</v>
      </c>
      <c r="Q28" s="58">
        <f t="shared" ref="Q28" si="3">MROUND(Q37,5)</f>
        <v>85</v>
      </c>
    </row>
    <row r="29" spans="12:19" x14ac:dyDescent="0.25">
      <c r="M29" t="s">
        <v>14</v>
      </c>
      <c r="N29" s="58">
        <f>N38</f>
        <v>10</v>
      </c>
      <c r="O29" s="58">
        <f t="shared" ref="O29:Q29" si="4">MROUND(O38,5)</f>
        <v>40</v>
      </c>
      <c r="P29" s="58">
        <f t="shared" si="4"/>
        <v>45</v>
      </c>
      <c r="Q29" s="58">
        <f t="shared" si="4"/>
        <v>10</v>
      </c>
    </row>
    <row r="30" spans="12:19" x14ac:dyDescent="0.25">
      <c r="M30" t="s">
        <v>2</v>
      </c>
      <c r="N30" s="58">
        <f>N39</f>
        <v>0</v>
      </c>
      <c r="O30" s="58">
        <f t="shared" ref="O30:Q30" si="5">MROUND(O39,5)</f>
        <v>0</v>
      </c>
      <c r="P30" s="58">
        <f t="shared" si="5"/>
        <v>0</v>
      </c>
      <c r="Q30" s="58">
        <f t="shared" si="5"/>
        <v>0</v>
      </c>
    </row>
    <row r="31" spans="12:19" x14ac:dyDescent="0.25">
      <c r="M31" t="s">
        <v>3</v>
      </c>
      <c r="N31" s="58">
        <f>N40</f>
        <v>5</v>
      </c>
      <c r="O31" s="58">
        <f t="shared" ref="O31:Q31" si="6">MROUND(O40,5)</f>
        <v>20</v>
      </c>
      <c r="P31" s="58">
        <f t="shared" si="6"/>
        <v>25</v>
      </c>
      <c r="Q31" s="58">
        <f t="shared" si="6"/>
        <v>5</v>
      </c>
    </row>
    <row r="32" spans="12:19" x14ac:dyDescent="0.25">
      <c r="N32" s="4"/>
      <c r="O32" s="4"/>
    </row>
    <row r="33" spans="13:17" x14ac:dyDescent="0.25">
      <c r="N33" s="58">
        <f>SUM(N28:N31)</f>
        <v>100</v>
      </c>
      <c r="O33" s="58">
        <f t="shared" ref="O33:Q33" si="7">SUM(O28:O31)</f>
        <v>100</v>
      </c>
      <c r="P33" s="58">
        <f t="shared" si="7"/>
        <v>100</v>
      </c>
      <c r="Q33" s="58">
        <f t="shared" si="7"/>
        <v>100</v>
      </c>
    </row>
    <row r="35" spans="13:17" x14ac:dyDescent="0.25">
      <c r="M35" t="s">
        <v>30</v>
      </c>
    </row>
    <row r="36" spans="13:17" x14ac:dyDescent="0.25">
      <c r="N36" s="52" t="s">
        <v>26</v>
      </c>
      <c r="O36" s="52" t="s">
        <v>27</v>
      </c>
      <c r="P36" s="52" t="s">
        <v>28</v>
      </c>
      <c r="Q36" s="52" t="s">
        <v>32</v>
      </c>
    </row>
    <row r="37" spans="13:17" x14ac:dyDescent="0.25">
      <c r="M37" t="s">
        <v>1</v>
      </c>
      <c r="N37" s="58">
        <v>85</v>
      </c>
      <c r="O37" s="59">
        <f>N37-O47</f>
        <v>41.5234375</v>
      </c>
      <c r="P37" s="59">
        <f>N37-P47</f>
        <v>33.2421875</v>
      </c>
      <c r="Q37" s="59">
        <f>N37-Q47</f>
        <v>85</v>
      </c>
    </row>
    <row r="38" spans="13:17" x14ac:dyDescent="0.25">
      <c r="M38" t="s">
        <v>14</v>
      </c>
      <c r="N38" s="58">
        <v>10</v>
      </c>
      <c r="O38" s="59">
        <f>N38-O48</f>
        <v>37.666903409090899</v>
      </c>
      <c r="P38" s="59">
        <f>N38-P48</f>
        <v>42.936789772727266</v>
      </c>
      <c r="Q38" s="59">
        <f>N38-Q48</f>
        <v>10</v>
      </c>
    </row>
    <row r="39" spans="13:17" x14ac:dyDescent="0.25">
      <c r="M39" t="s">
        <v>2</v>
      </c>
      <c r="N39" s="58">
        <v>0</v>
      </c>
      <c r="O39" s="59">
        <f>N39-O49</f>
        <v>0</v>
      </c>
      <c r="P39" s="59">
        <f>N39-P49</f>
        <v>0</v>
      </c>
      <c r="Q39" s="59">
        <f>N39-Q49</f>
        <v>0</v>
      </c>
    </row>
    <row r="40" spans="13:17" x14ac:dyDescent="0.25">
      <c r="M40" t="s">
        <v>3</v>
      </c>
      <c r="N40" s="58">
        <v>5</v>
      </c>
      <c r="O40" s="59">
        <f>N40-O50</f>
        <v>20.809659090909093</v>
      </c>
      <c r="P40" s="59">
        <f>N40-P50</f>
        <v>23.821022727272727</v>
      </c>
      <c r="Q40" s="59">
        <f>N40-Q50</f>
        <v>5</v>
      </c>
    </row>
    <row r="41" spans="13:17" x14ac:dyDescent="0.25">
      <c r="N41" s="4"/>
      <c r="O41" s="4"/>
    </row>
    <row r="42" spans="13:17" x14ac:dyDescent="0.25">
      <c r="N42" s="58">
        <f>SUM(N37:N40)</f>
        <v>100</v>
      </c>
      <c r="O42" s="58">
        <f t="shared" ref="O42:Q42" si="8">SUM(O37:O40)</f>
        <v>100</v>
      </c>
      <c r="P42" s="58">
        <f t="shared" si="8"/>
        <v>100</v>
      </c>
      <c r="Q42" s="58">
        <f t="shared" si="8"/>
        <v>100</v>
      </c>
    </row>
    <row r="43" spans="13:17" x14ac:dyDescent="0.25">
      <c r="N43" s="4"/>
    </row>
    <row r="45" spans="13:17" x14ac:dyDescent="0.25">
      <c r="M45" t="s">
        <v>29</v>
      </c>
      <c r="P45" s="4"/>
    </row>
    <row r="46" spans="13:17" x14ac:dyDescent="0.25">
      <c r="N46" s="52" t="s">
        <v>26</v>
      </c>
      <c r="O46" s="52" t="s">
        <v>27</v>
      </c>
      <c r="P46" s="52" t="s">
        <v>28</v>
      </c>
      <c r="Q46" s="52" t="s">
        <v>32</v>
      </c>
    </row>
    <row r="47" spans="13:17" x14ac:dyDescent="0.25">
      <c r="M47" t="s">
        <v>1</v>
      </c>
      <c r="N47" s="59">
        <f>N18</f>
        <v>82.8125</v>
      </c>
      <c r="O47" s="59">
        <f>N18-N20</f>
        <v>43.4765625</v>
      </c>
      <c r="P47" s="59">
        <f>N18-N22</f>
        <v>51.7578125</v>
      </c>
      <c r="Q47" s="59">
        <f>N18-N24</f>
        <v>0</v>
      </c>
    </row>
    <row r="48" spans="13:17" x14ac:dyDescent="0.25">
      <c r="M48" t="s">
        <v>14</v>
      </c>
      <c r="N48" s="59">
        <f>O18</f>
        <v>10.937499999999998</v>
      </c>
      <c r="O48" s="59">
        <f>O18-O20</f>
        <v>-27.666903409090899</v>
      </c>
      <c r="P48" s="59">
        <f>O18-O22</f>
        <v>-32.936789772727266</v>
      </c>
      <c r="Q48" s="59">
        <f>O18-O24</f>
        <v>0</v>
      </c>
    </row>
    <row r="49" spans="13:17" x14ac:dyDescent="0.25">
      <c r="M49" t="s">
        <v>2</v>
      </c>
      <c r="N49" s="59">
        <f>P18</f>
        <v>0</v>
      </c>
      <c r="O49" s="59">
        <f>P18-P20</f>
        <v>0</v>
      </c>
      <c r="P49" s="59">
        <f>P18-P22</f>
        <v>0</v>
      </c>
      <c r="Q49" s="59">
        <f>P18-P24</f>
        <v>0</v>
      </c>
    </row>
    <row r="50" spans="13:17" x14ac:dyDescent="0.25">
      <c r="M50" t="s">
        <v>3</v>
      </c>
      <c r="N50" s="59">
        <f>Q18</f>
        <v>6.25</v>
      </c>
      <c r="O50" s="59">
        <f>Q18-Q20</f>
        <v>-15.809659090909093</v>
      </c>
      <c r="P50" s="59">
        <f>Q18-Q22</f>
        <v>-18.821022727272727</v>
      </c>
      <c r="Q50" s="59">
        <f>Q18-Q24</f>
        <v>0</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1" width="6.7109375" customWidth="1"/>
    <col min="13" max="13" width="10.140625" customWidth="1"/>
    <col min="18" max="18" width="3.85546875" customWidth="1"/>
    <col min="19" max="19" width="8" customWidth="1"/>
  </cols>
  <sheetData>
    <row r="1" spans="1:19" x14ac:dyDescent="0.25">
      <c r="B1" s="81" t="s">
        <v>7</v>
      </c>
      <c r="C1" s="81"/>
      <c r="D1" s="81"/>
      <c r="F1" s="85" t="s">
        <v>19</v>
      </c>
      <c r="G1" s="85"/>
      <c r="H1" s="85"/>
      <c r="I1" s="85"/>
      <c r="J1" s="85"/>
      <c r="K1" s="85"/>
      <c r="L1" s="72"/>
      <c r="N1" s="82" t="s">
        <v>20</v>
      </c>
      <c r="O1" s="82"/>
      <c r="P1" s="82"/>
      <c r="Q1" s="82"/>
      <c r="R1" s="82"/>
      <c r="S1" s="82"/>
    </row>
    <row r="3" spans="1:19" ht="15.75" thickBot="1" x14ac:dyDescent="0.3">
      <c r="B3" s="2" t="s">
        <v>1</v>
      </c>
      <c r="C3" s="2" t="s">
        <v>2</v>
      </c>
      <c r="D3" s="2" t="s">
        <v>3</v>
      </c>
      <c r="F3" s="2" t="s">
        <v>1</v>
      </c>
      <c r="G3" s="2" t="s">
        <v>14</v>
      </c>
      <c r="H3" s="2" t="s">
        <v>2</v>
      </c>
      <c r="I3" s="73" t="s">
        <v>3</v>
      </c>
      <c r="K3" s="73" t="s">
        <v>15</v>
      </c>
      <c r="L3" s="2"/>
      <c r="N3" s="2" t="s">
        <v>1</v>
      </c>
      <c r="O3" s="2" t="s">
        <v>14</v>
      </c>
      <c r="P3" s="2" t="s">
        <v>2</v>
      </c>
      <c r="Q3" s="2" t="s">
        <v>3</v>
      </c>
      <c r="S3" s="2" t="s">
        <v>15</v>
      </c>
    </row>
    <row r="4" spans="1:19" x14ac:dyDescent="0.25">
      <c r="A4" s="77" t="s">
        <v>4</v>
      </c>
      <c r="B4">
        <v>33</v>
      </c>
      <c r="C4">
        <v>67</v>
      </c>
      <c r="D4">
        <v>0</v>
      </c>
      <c r="F4" s="35">
        <v>5</v>
      </c>
      <c r="G4" s="36">
        <v>25</v>
      </c>
      <c r="H4" s="36">
        <f>0.7*(100-I4)</f>
        <v>70</v>
      </c>
      <c r="I4" s="37">
        <f>0.5*KB_High!I4</f>
        <v>0</v>
      </c>
      <c r="K4">
        <f>SUM(F4:I4)</f>
        <v>100</v>
      </c>
      <c r="N4">
        <f t="shared" ref="N4:Q6" si="0">(100/9)*F4/100</f>
        <v>0.55555555555555558</v>
      </c>
      <c r="O4">
        <f t="shared" si="0"/>
        <v>2.7777777777777777</v>
      </c>
      <c r="P4">
        <f t="shared" si="0"/>
        <v>7.7777777777777768</v>
      </c>
      <c r="Q4">
        <f t="shared" si="0"/>
        <v>0</v>
      </c>
      <c r="S4">
        <f>SUM(N4:Q4)</f>
        <v>11.111111111111111</v>
      </c>
    </row>
    <row r="5" spans="1:19" x14ac:dyDescent="0.25">
      <c r="A5" s="77"/>
      <c r="B5" s="1">
        <f>0.33*70</f>
        <v>23.1</v>
      </c>
      <c r="C5" s="1">
        <f>0.67*70</f>
        <v>46.900000000000006</v>
      </c>
      <c r="D5">
        <v>30</v>
      </c>
      <c r="F5" s="32">
        <v>5</v>
      </c>
      <c r="G5" s="11">
        <f>($G4/(G4+H4))*(100-F5-$I5)</f>
        <v>23.355263157894736</v>
      </c>
      <c r="H5" s="11">
        <f>($H4/(G4+H4))*(100-F5-$I5)</f>
        <v>65.39473684210526</v>
      </c>
      <c r="I5" s="66">
        <f>0.5*KB_High!I5</f>
        <v>6.25</v>
      </c>
      <c r="K5">
        <f>SUM(F5:I5)</f>
        <v>100</v>
      </c>
      <c r="N5">
        <f t="shared" si="0"/>
        <v>0.55555555555555558</v>
      </c>
      <c r="O5">
        <f t="shared" si="0"/>
        <v>2.5950292397660815</v>
      </c>
      <c r="P5">
        <f t="shared" si="0"/>
        <v>7.2660818713450279</v>
      </c>
      <c r="Q5">
        <f t="shared" si="0"/>
        <v>0.69444444444444442</v>
      </c>
      <c r="S5">
        <f>SUM(N5:Q5)</f>
        <v>11.111111111111109</v>
      </c>
    </row>
    <row r="6" spans="1:19" x14ac:dyDescent="0.25">
      <c r="A6" s="77"/>
      <c r="B6" s="1">
        <f>0.33*40</f>
        <v>13.200000000000001</v>
      </c>
      <c r="C6" s="1">
        <f>0.67*40</f>
        <v>26.8</v>
      </c>
      <c r="D6">
        <v>60</v>
      </c>
      <c r="F6" s="32">
        <v>5</v>
      </c>
      <c r="G6" s="11">
        <f>($G4/(G4+H4))*(100-F6-$I6)</f>
        <v>21.710526315789473</v>
      </c>
      <c r="H6" s="11">
        <f>($H4/(G4+H4))*(100-F6-$I6)</f>
        <v>60.78947368421052</v>
      </c>
      <c r="I6" s="66">
        <f>0.5*KB_High!I6</f>
        <v>12.5</v>
      </c>
      <c r="K6">
        <f>SUM(F6:I6)</f>
        <v>100</v>
      </c>
      <c r="N6">
        <f t="shared" si="0"/>
        <v>0.55555555555555558</v>
      </c>
      <c r="O6">
        <f t="shared" si="0"/>
        <v>2.4122807017543857</v>
      </c>
      <c r="P6">
        <f t="shared" si="0"/>
        <v>6.7543859649122791</v>
      </c>
      <c r="Q6">
        <f t="shared" si="0"/>
        <v>1.3888888888888888</v>
      </c>
      <c r="S6">
        <f>SUM(N6:Q6)</f>
        <v>11.111111111111111</v>
      </c>
    </row>
    <row r="7" spans="1:19" x14ac:dyDescent="0.25">
      <c r="A7" s="3"/>
      <c r="F7" s="20"/>
      <c r="G7" s="11"/>
      <c r="H7" s="12"/>
      <c r="I7" s="17"/>
    </row>
    <row r="8" spans="1:19" x14ac:dyDescent="0.25">
      <c r="A8" s="77" t="s">
        <v>5</v>
      </c>
      <c r="B8">
        <v>15</v>
      </c>
      <c r="C8">
        <v>85</v>
      </c>
      <c r="D8">
        <v>0</v>
      </c>
      <c r="F8" s="32">
        <v>0</v>
      </c>
      <c r="G8" s="33">
        <v>20</v>
      </c>
      <c r="H8" s="33">
        <v>80</v>
      </c>
      <c r="I8" s="29">
        <f>I4</f>
        <v>0</v>
      </c>
      <c r="K8">
        <f>SUM(F8:I8)</f>
        <v>100</v>
      </c>
      <c r="N8">
        <f t="shared" ref="N8:Q10" si="1">(100/9)*F8/100</f>
        <v>0</v>
      </c>
      <c r="O8">
        <f t="shared" si="1"/>
        <v>2.2222222222222223</v>
      </c>
      <c r="P8">
        <f t="shared" si="1"/>
        <v>8.8888888888888893</v>
      </c>
      <c r="Q8">
        <f t="shared" si="1"/>
        <v>0</v>
      </c>
      <c r="S8">
        <f>SUM(N8:Q8)</f>
        <v>11.111111111111111</v>
      </c>
    </row>
    <row r="9" spans="1:19" x14ac:dyDescent="0.25">
      <c r="A9" s="77"/>
      <c r="B9" s="1">
        <f>0.15*70</f>
        <v>10.5</v>
      </c>
      <c r="C9" s="1">
        <f>0.85*70</f>
        <v>59.5</v>
      </c>
      <c r="D9">
        <v>30</v>
      </c>
      <c r="F9" s="32">
        <v>0</v>
      </c>
      <c r="G9" s="11">
        <f>($G8/(G8+H8))*(100-F9-$I9)</f>
        <v>18.75</v>
      </c>
      <c r="H9" s="11">
        <f>($H8/(G8+H8))*(100-F9-$I9)</f>
        <v>75</v>
      </c>
      <c r="I9" s="29">
        <f>I5</f>
        <v>6.25</v>
      </c>
      <c r="K9">
        <f>SUM(F9:I9)</f>
        <v>100</v>
      </c>
      <c r="N9">
        <f t="shared" si="1"/>
        <v>0</v>
      </c>
      <c r="O9">
        <f t="shared" si="1"/>
        <v>2.083333333333333</v>
      </c>
      <c r="P9">
        <f t="shared" si="1"/>
        <v>8.3333333333333321</v>
      </c>
      <c r="Q9">
        <f t="shared" si="1"/>
        <v>0.69444444444444442</v>
      </c>
      <c r="S9">
        <f>SUM(N9:Q9)</f>
        <v>11.111111111111109</v>
      </c>
    </row>
    <row r="10" spans="1:19" x14ac:dyDescent="0.25">
      <c r="A10" s="77"/>
      <c r="B10" s="1">
        <f>0.15*40</f>
        <v>6</v>
      </c>
      <c r="C10" s="1">
        <f>0.85*40</f>
        <v>34</v>
      </c>
      <c r="D10">
        <v>60</v>
      </c>
      <c r="F10" s="32">
        <v>0</v>
      </c>
      <c r="G10" s="11">
        <f>($G8/(G8+H8))*(100-F10-$I10)</f>
        <v>17.5</v>
      </c>
      <c r="H10" s="11">
        <f>($H8/(G8+H8))*(100-F10-$I10)</f>
        <v>70</v>
      </c>
      <c r="I10" s="64">
        <f>I6</f>
        <v>12.5</v>
      </c>
      <c r="K10">
        <f>SUM(F10:I10)</f>
        <v>100</v>
      </c>
      <c r="N10">
        <f t="shared" si="1"/>
        <v>0</v>
      </c>
      <c r="O10">
        <f t="shared" si="1"/>
        <v>1.9444444444444442</v>
      </c>
      <c r="P10">
        <f t="shared" si="1"/>
        <v>7.7777777777777768</v>
      </c>
      <c r="Q10">
        <f t="shared" si="1"/>
        <v>1.3888888888888888</v>
      </c>
      <c r="S10">
        <f>SUM(N10:Q10)</f>
        <v>11.111111111111111</v>
      </c>
    </row>
    <row r="11" spans="1:19" x14ac:dyDescent="0.25">
      <c r="A11" s="3"/>
      <c r="F11" s="16"/>
      <c r="G11" s="12"/>
      <c r="H11" s="12"/>
      <c r="I11" s="29"/>
    </row>
    <row r="12" spans="1:19" x14ac:dyDescent="0.25">
      <c r="A12" s="77" t="s">
        <v>6</v>
      </c>
      <c r="B12">
        <v>5</v>
      </c>
      <c r="C12">
        <v>95</v>
      </c>
      <c r="D12">
        <v>0</v>
      </c>
      <c r="F12" s="32">
        <v>0</v>
      </c>
      <c r="G12" s="33">
        <v>10</v>
      </c>
      <c r="H12" s="33">
        <v>90</v>
      </c>
      <c r="I12" s="29">
        <f>I4</f>
        <v>0</v>
      </c>
      <c r="K12">
        <f>SUM(F12:I12)</f>
        <v>100</v>
      </c>
      <c r="N12">
        <f t="shared" ref="N12:Q14" si="2">(100/9)*F12/100</f>
        <v>0</v>
      </c>
      <c r="O12">
        <f t="shared" si="2"/>
        <v>1.1111111111111112</v>
      </c>
      <c r="P12">
        <f t="shared" si="2"/>
        <v>10</v>
      </c>
      <c r="Q12">
        <f t="shared" si="2"/>
        <v>0</v>
      </c>
      <c r="S12">
        <f>SUM(N12:Q12)</f>
        <v>11.111111111111111</v>
      </c>
    </row>
    <row r="13" spans="1:19" x14ac:dyDescent="0.25">
      <c r="A13" s="77"/>
      <c r="B13" s="1">
        <f>0.05*70</f>
        <v>3.5</v>
      </c>
      <c r="C13" s="1">
        <f>0.95*70</f>
        <v>66.5</v>
      </c>
      <c r="D13">
        <v>30</v>
      </c>
      <c r="F13" s="32">
        <v>0</v>
      </c>
      <c r="G13" s="11">
        <f>($G12/(G12+H12))*(100-F13-$I13)</f>
        <v>9.375</v>
      </c>
      <c r="H13" s="11">
        <f>($H12/(G12+H12))*(100-F13-$I13)</f>
        <v>84.375</v>
      </c>
      <c r="I13" s="29">
        <f>I5</f>
        <v>6.25</v>
      </c>
      <c r="K13">
        <f>SUM(F13:I13)</f>
        <v>100</v>
      </c>
      <c r="N13">
        <f t="shared" si="2"/>
        <v>0</v>
      </c>
      <c r="O13">
        <f t="shared" si="2"/>
        <v>1.0416666666666665</v>
      </c>
      <c r="P13">
        <f t="shared" si="2"/>
        <v>9.375</v>
      </c>
      <c r="Q13">
        <f t="shared" si="2"/>
        <v>0.69444444444444442</v>
      </c>
      <c r="S13">
        <f>SUM(N13:Q13)</f>
        <v>11.111111111111111</v>
      </c>
    </row>
    <row r="14" spans="1:19" ht="15.75" thickBot="1" x14ac:dyDescent="0.3">
      <c r="A14" s="77"/>
      <c r="B14" s="1">
        <f>0.05*40</f>
        <v>2</v>
      </c>
      <c r="C14" s="1">
        <f>0.95*40</f>
        <v>38</v>
      </c>
      <c r="D14">
        <v>60</v>
      </c>
      <c r="F14" s="34">
        <v>0</v>
      </c>
      <c r="G14" s="31">
        <f>($G12/(G12+H12))*(100-F14-$I14)</f>
        <v>8.75</v>
      </c>
      <c r="H14" s="31">
        <f>($H12/(G12+H12))*(100-F14-$I14)</f>
        <v>78.75</v>
      </c>
      <c r="I14" s="65">
        <f>I6</f>
        <v>12.5</v>
      </c>
      <c r="K14">
        <f>SUM(F14:I14)</f>
        <v>100</v>
      </c>
      <c r="N14">
        <f t="shared" si="2"/>
        <v>0</v>
      </c>
      <c r="O14">
        <f t="shared" si="2"/>
        <v>0.9722222222222221</v>
      </c>
      <c r="P14">
        <f t="shared" si="2"/>
        <v>8.75</v>
      </c>
      <c r="Q14">
        <f t="shared" si="2"/>
        <v>1.3888888888888888</v>
      </c>
      <c r="S14">
        <f>SUM(N14:Q14)</f>
        <v>11.111111111111111</v>
      </c>
    </row>
    <row r="16" spans="1:19" x14ac:dyDescent="0.25">
      <c r="M16" t="s">
        <v>15</v>
      </c>
      <c r="N16" s="4">
        <f>SUM(N4:N14)</f>
        <v>1.6666666666666667</v>
      </c>
      <c r="O16" s="4">
        <f>SUM(O4:O14)</f>
        <v>17.160087719298243</v>
      </c>
      <c r="P16" s="4">
        <f>SUM(P4:P14)</f>
        <v>74.923245614035082</v>
      </c>
      <c r="Q16" s="4">
        <f>SUM(Q4:Q14)</f>
        <v>6.25</v>
      </c>
    </row>
    <row r="17" spans="12:19" x14ac:dyDescent="0.25">
      <c r="S17" s="2" t="s">
        <v>15</v>
      </c>
    </row>
    <row r="18" spans="12:19" x14ac:dyDescent="0.25">
      <c r="L18" s="83"/>
      <c r="M18" s="6" t="s">
        <v>16</v>
      </c>
      <c r="N18" s="9">
        <f>N16</f>
        <v>1.6666666666666667</v>
      </c>
      <c r="O18" s="9">
        <f>O16</f>
        <v>17.160087719298243</v>
      </c>
      <c r="P18" s="9">
        <f>P16</f>
        <v>74.923245614035082</v>
      </c>
      <c r="Q18" s="9">
        <f>Q16</f>
        <v>6.25</v>
      </c>
      <c r="S18">
        <f>SUM(N18:Q18)</f>
        <v>100</v>
      </c>
    </row>
    <row r="19" spans="12:19" x14ac:dyDescent="0.25">
      <c r="L19" s="83"/>
      <c r="M19" s="6"/>
      <c r="N19" s="9"/>
      <c r="O19" s="9"/>
      <c r="P19" s="9"/>
      <c r="Q19" s="9"/>
    </row>
    <row r="20" spans="12:19" x14ac:dyDescent="0.25">
      <c r="L20" s="83"/>
      <c r="M20" s="6" t="s">
        <v>18</v>
      </c>
      <c r="N20" s="9">
        <f>N$18-(0.525*N$18)</f>
        <v>0.79166666666666663</v>
      </c>
      <c r="O20" s="9">
        <f>O$18+(O$18/($O$18+$Q$18))*(($N$18-$N20)+($P$18-$P20))</f>
        <v>35.650584581330371</v>
      </c>
      <c r="P20" s="9">
        <f>P$18-(0.325*P$18)</f>
        <v>50.573190789473678</v>
      </c>
      <c r="Q20" s="9">
        <f>Q$18+(Q$18/($O$18+$Q$18))*(($N$18-$N20)+($P$18-$P20))</f>
        <v>12.984557962529275</v>
      </c>
      <c r="S20">
        <f>SUM(N20:Q20)</f>
        <v>99.999999999999986</v>
      </c>
    </row>
    <row r="21" spans="12:19" x14ac:dyDescent="0.25">
      <c r="L21" s="83"/>
      <c r="M21" s="6"/>
      <c r="N21" s="9"/>
      <c r="O21" s="9"/>
      <c r="P21" s="9"/>
      <c r="Q21" s="9"/>
    </row>
    <row r="22" spans="12:19" x14ac:dyDescent="0.25">
      <c r="L22" s="83"/>
      <c r="M22" s="6" t="s">
        <v>17</v>
      </c>
      <c r="N22" s="9">
        <f>N$18-(0.625*N$18)</f>
        <v>0.625</v>
      </c>
      <c r="O22" s="9">
        <f>O$18+(O$18/($O$18+$Q$18))*(($N$18-$N22)+($P$18-$P22))</f>
        <v>46.756818403590934</v>
      </c>
      <c r="P22" s="9">
        <f>P$18-(0.525*P$18)</f>
        <v>35.588541666666664</v>
      </c>
      <c r="Q22" s="9">
        <f>Q$18+(Q$18/($O$18+$Q$18))*(($N$18-$N22)+($P$18-$P22))</f>
        <v>17.029639929742387</v>
      </c>
      <c r="S22">
        <f>SUM(N22:Q22)</f>
        <v>99.999999999999986</v>
      </c>
    </row>
    <row r="23" spans="12:19" x14ac:dyDescent="0.25">
      <c r="L23" s="83"/>
      <c r="M23" s="6"/>
      <c r="N23" s="9"/>
      <c r="O23" s="9"/>
      <c r="P23" s="9"/>
      <c r="Q23" s="9"/>
    </row>
    <row r="24" spans="12:19" x14ac:dyDescent="0.25">
      <c r="L24" s="83"/>
      <c r="M24" s="6" t="s">
        <v>31</v>
      </c>
      <c r="N24" s="9">
        <f>N$18-(0*N$18)</f>
        <v>1.6666666666666667</v>
      </c>
      <c r="O24" s="9">
        <f>O$18+(O$18/($O$18+$Q$18))*(($N$18-$N24)+($P$18-$P24))</f>
        <v>17.160087719298243</v>
      </c>
      <c r="P24" s="9">
        <f>P$18-(0*P$18)</f>
        <v>74.923245614035082</v>
      </c>
      <c r="Q24" s="9">
        <f>Q$18+(Q$18/($O$18+$Q$18))*(($N$18-$N24)+($P$18-$P24))</f>
        <v>6.25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0</v>
      </c>
      <c r="O28" s="58">
        <v>0</v>
      </c>
      <c r="P28" s="58">
        <v>0</v>
      </c>
      <c r="Q28" s="58">
        <v>0</v>
      </c>
    </row>
    <row r="29" spans="12:19" x14ac:dyDescent="0.25">
      <c r="M29" t="s">
        <v>14</v>
      </c>
      <c r="N29" s="58">
        <f>N38</f>
        <v>20</v>
      </c>
      <c r="O29" s="58">
        <f t="shared" ref="O29" si="3">MROUND(O38,5)</f>
        <v>40</v>
      </c>
      <c r="P29" s="58">
        <f t="shared" ref="P29" si="4">MROUND(P38,5)</f>
        <v>50</v>
      </c>
      <c r="Q29" s="58">
        <f t="shared" ref="O29:Q30" si="5">MROUND(Q38,5)</f>
        <v>20</v>
      </c>
    </row>
    <row r="30" spans="12:19" x14ac:dyDescent="0.25">
      <c r="M30" t="s">
        <v>2</v>
      </c>
      <c r="N30" s="58">
        <f>N39</f>
        <v>75</v>
      </c>
      <c r="O30" s="58">
        <f t="shared" si="5"/>
        <v>50</v>
      </c>
      <c r="P30" s="58">
        <f t="shared" si="5"/>
        <v>35</v>
      </c>
      <c r="Q30" s="58">
        <f t="shared" si="5"/>
        <v>75</v>
      </c>
    </row>
    <row r="31" spans="12:19" x14ac:dyDescent="0.25">
      <c r="M31" t="s">
        <v>3</v>
      </c>
      <c r="N31" s="58">
        <f>N40</f>
        <v>5</v>
      </c>
      <c r="O31" s="58">
        <f t="shared" ref="O31:Q31" si="6">MROUND(O40,5)</f>
        <v>10</v>
      </c>
      <c r="P31" s="58">
        <f t="shared" si="6"/>
        <v>15</v>
      </c>
      <c r="Q31" s="58">
        <f t="shared" si="6"/>
        <v>5</v>
      </c>
    </row>
    <row r="32" spans="12:19" x14ac:dyDescent="0.25">
      <c r="N32" s="4"/>
      <c r="O32" s="4"/>
    </row>
    <row r="33" spans="9:17" x14ac:dyDescent="0.25">
      <c r="N33" s="58">
        <f>SUM(N28:N31)</f>
        <v>100</v>
      </c>
      <c r="O33" s="58">
        <f t="shared" ref="O33:Q33" si="7">SUM(O28:O31)</f>
        <v>100</v>
      </c>
      <c r="P33" s="58">
        <f t="shared" si="7"/>
        <v>100</v>
      </c>
      <c r="Q33" s="58">
        <f t="shared" si="7"/>
        <v>100</v>
      </c>
    </row>
    <row r="35" spans="9:17" x14ac:dyDescent="0.25">
      <c r="M35" t="s">
        <v>30</v>
      </c>
    </row>
    <row r="36" spans="9:17" x14ac:dyDescent="0.25">
      <c r="N36" s="52" t="s">
        <v>26</v>
      </c>
      <c r="O36" s="52" t="s">
        <v>27</v>
      </c>
      <c r="P36" s="52" t="s">
        <v>28</v>
      </c>
      <c r="Q36" s="52" t="s">
        <v>32</v>
      </c>
    </row>
    <row r="37" spans="9:17" x14ac:dyDescent="0.25">
      <c r="M37" t="s">
        <v>1</v>
      </c>
      <c r="N37" s="58">
        <v>0</v>
      </c>
      <c r="O37" s="59">
        <f>N37-O47</f>
        <v>-0.87500000000000011</v>
      </c>
      <c r="P37" s="59">
        <f>N37-P47</f>
        <v>-1.0416666666666667</v>
      </c>
      <c r="Q37" s="59">
        <f>N37-Q47</f>
        <v>0</v>
      </c>
    </row>
    <row r="38" spans="9:17" x14ac:dyDescent="0.25">
      <c r="M38" t="s">
        <v>14</v>
      </c>
      <c r="N38" s="58">
        <v>20</v>
      </c>
      <c r="O38" s="59">
        <f>N38-O48</f>
        <v>38.490496862032131</v>
      </c>
      <c r="P38" s="59">
        <f>N38-P48</f>
        <v>49.596730684292694</v>
      </c>
      <c r="Q38" s="59">
        <f>N38-Q48</f>
        <v>20</v>
      </c>
    </row>
    <row r="39" spans="9:17" x14ac:dyDescent="0.25">
      <c r="M39" t="s">
        <v>2</v>
      </c>
      <c r="N39" s="58">
        <v>75</v>
      </c>
      <c r="O39" s="59">
        <f>N39-O49</f>
        <v>50.649945175438596</v>
      </c>
      <c r="P39" s="59">
        <f>N39-P49</f>
        <v>35.665296052631582</v>
      </c>
      <c r="Q39" s="59">
        <f>N39-Q49</f>
        <v>75</v>
      </c>
    </row>
    <row r="40" spans="9:17" x14ac:dyDescent="0.25">
      <c r="M40" t="s">
        <v>3</v>
      </c>
      <c r="N40" s="58">
        <v>5</v>
      </c>
      <c r="O40" s="59">
        <f>N40-O50</f>
        <v>11.734557962529275</v>
      </c>
      <c r="P40" s="59">
        <f>N40-P50</f>
        <v>15.779639929742387</v>
      </c>
      <c r="Q40" s="59">
        <f>N40-Q50</f>
        <v>5</v>
      </c>
    </row>
    <row r="41" spans="9:17" x14ac:dyDescent="0.25">
      <c r="N41" s="4"/>
      <c r="O41" s="4"/>
    </row>
    <row r="42" spans="9:17" x14ac:dyDescent="0.25">
      <c r="N42" s="58">
        <f>SUM(N37:N40)</f>
        <v>100</v>
      </c>
      <c r="O42" s="58">
        <f t="shared" ref="O42:Q42" si="8">SUM(O37:O40)</f>
        <v>100.00000000000001</v>
      </c>
      <c r="P42" s="58">
        <f t="shared" si="8"/>
        <v>100</v>
      </c>
      <c r="Q42" s="58">
        <f t="shared" si="8"/>
        <v>100</v>
      </c>
    </row>
    <row r="43" spans="9:17" x14ac:dyDescent="0.25">
      <c r="N43" s="4"/>
    </row>
    <row r="45" spans="9:17" x14ac:dyDescent="0.25">
      <c r="M45" t="s">
        <v>29</v>
      </c>
      <c r="P45" s="4"/>
    </row>
    <row r="46" spans="9:17" x14ac:dyDescent="0.25">
      <c r="N46" s="52" t="s">
        <v>26</v>
      </c>
      <c r="O46" s="52" t="s">
        <v>27</v>
      </c>
      <c r="P46" s="52" t="s">
        <v>28</v>
      </c>
      <c r="Q46" s="52" t="s">
        <v>32</v>
      </c>
    </row>
    <row r="47" spans="9:17" x14ac:dyDescent="0.25">
      <c r="M47" t="s">
        <v>1</v>
      </c>
      <c r="N47" s="59">
        <f>N18</f>
        <v>1.6666666666666667</v>
      </c>
      <c r="O47" s="59">
        <f>N18-N20</f>
        <v>0.87500000000000011</v>
      </c>
      <c r="P47" s="59">
        <f>N18-N22</f>
        <v>1.0416666666666667</v>
      </c>
      <c r="Q47" s="59">
        <f>N18-N24</f>
        <v>0</v>
      </c>
    </row>
    <row r="48" spans="9:17" x14ac:dyDescent="0.25">
      <c r="I48" s="61"/>
      <c r="M48" t="s">
        <v>14</v>
      </c>
      <c r="N48" s="59">
        <f>O18</f>
        <v>17.160087719298243</v>
      </c>
      <c r="O48" s="59">
        <f>O18-O20</f>
        <v>-18.490496862032128</v>
      </c>
      <c r="P48" s="59">
        <f>O18-O22</f>
        <v>-29.596730684292691</v>
      </c>
      <c r="Q48" s="59">
        <f>O18-O24</f>
        <v>0</v>
      </c>
    </row>
    <row r="49" spans="13:17" x14ac:dyDescent="0.25">
      <c r="M49" t="s">
        <v>2</v>
      </c>
      <c r="N49" s="59">
        <f>P18</f>
        <v>74.923245614035082</v>
      </c>
      <c r="O49" s="59">
        <f>P18-P20</f>
        <v>24.350054824561404</v>
      </c>
      <c r="P49" s="59">
        <f>P18-P22</f>
        <v>39.334703947368418</v>
      </c>
      <c r="Q49" s="59">
        <f>P18-P24</f>
        <v>0</v>
      </c>
    </row>
    <row r="50" spans="13:17" x14ac:dyDescent="0.25">
      <c r="M50" t="s">
        <v>3</v>
      </c>
      <c r="N50" s="59">
        <f>Q18</f>
        <v>6.25</v>
      </c>
      <c r="O50" s="59">
        <f>Q18-Q20</f>
        <v>-6.7345579625292746</v>
      </c>
      <c r="P50" s="59">
        <f>Q18-Q22</f>
        <v>-10.779639929742387</v>
      </c>
      <c r="Q50" s="59">
        <f>Q18-Q24</f>
        <v>0</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5703125" customWidth="1"/>
    <col min="11" max="12" width="6.7109375" customWidth="1"/>
    <col min="18" max="18" width="3.85546875" customWidth="1"/>
    <col min="19" max="19" width="6.28515625" customWidth="1"/>
  </cols>
  <sheetData>
    <row r="1" spans="1:19" x14ac:dyDescent="0.25">
      <c r="B1" s="86" t="s">
        <v>33</v>
      </c>
      <c r="C1" s="86"/>
      <c r="D1" s="86"/>
      <c r="F1" s="86" t="s">
        <v>19</v>
      </c>
      <c r="G1" s="86"/>
      <c r="H1" s="86"/>
      <c r="I1" s="86"/>
      <c r="J1" s="86"/>
      <c r="K1" s="86"/>
      <c r="N1" s="82" t="s">
        <v>20</v>
      </c>
      <c r="O1" s="82"/>
      <c r="P1" s="82"/>
      <c r="Q1" s="82"/>
      <c r="R1" s="82"/>
      <c r="S1" s="82"/>
    </row>
    <row r="3" spans="1:19" ht="15.75" thickBot="1" x14ac:dyDescent="0.3">
      <c r="B3" s="2" t="s">
        <v>1</v>
      </c>
      <c r="C3" s="2" t="s">
        <v>2</v>
      </c>
      <c r="D3" s="2" t="s">
        <v>3</v>
      </c>
      <c r="F3" s="2" t="s">
        <v>1</v>
      </c>
      <c r="G3" s="2" t="s">
        <v>14</v>
      </c>
      <c r="H3" s="2" t="s">
        <v>2</v>
      </c>
      <c r="I3" s="73" t="s">
        <v>3</v>
      </c>
      <c r="K3" s="73" t="s">
        <v>15</v>
      </c>
      <c r="L3" s="2"/>
      <c r="N3" s="2" t="s">
        <v>1</v>
      </c>
      <c r="O3" s="2" t="s">
        <v>14</v>
      </c>
      <c r="P3" s="2" t="s">
        <v>2</v>
      </c>
      <c r="Q3" s="2" t="s">
        <v>3</v>
      </c>
      <c r="S3" s="2" t="s">
        <v>15</v>
      </c>
    </row>
    <row r="4" spans="1:19" x14ac:dyDescent="0.25">
      <c r="A4" s="76" t="s">
        <v>9</v>
      </c>
      <c r="B4">
        <v>50</v>
      </c>
      <c r="C4">
        <v>50</v>
      </c>
      <c r="D4">
        <v>0</v>
      </c>
      <c r="F4" s="42">
        <f>0.55*(100-G4-I4)</f>
        <v>41.25</v>
      </c>
      <c r="G4" s="43">
        <f>0.25*(100-I4)</f>
        <v>25</v>
      </c>
      <c r="H4" s="43">
        <f>0.45*(100-G4-I4)</f>
        <v>33.75</v>
      </c>
      <c r="I4" s="38">
        <f>0.5*CO_High!I4</f>
        <v>0</v>
      </c>
      <c r="K4">
        <f>SUM(F4:I4)</f>
        <v>100</v>
      </c>
      <c r="N4">
        <f t="shared" ref="N4:Q6" si="0">(100/9)*F4/100</f>
        <v>4.583333333333333</v>
      </c>
      <c r="O4">
        <f t="shared" si="0"/>
        <v>2.7777777777777777</v>
      </c>
      <c r="P4">
        <f t="shared" si="0"/>
        <v>3.75</v>
      </c>
      <c r="Q4">
        <f t="shared" si="0"/>
        <v>0</v>
      </c>
      <c r="S4">
        <f>SUM(N4:Q4)</f>
        <v>11.111111111111111</v>
      </c>
    </row>
    <row r="5" spans="1:19" x14ac:dyDescent="0.25">
      <c r="A5" s="77"/>
      <c r="B5" s="1">
        <v>35</v>
      </c>
      <c r="C5" s="1">
        <v>35</v>
      </c>
      <c r="D5">
        <v>30</v>
      </c>
      <c r="F5" s="20">
        <f>($F$4/($F$4+$H$4))*(100-G5-I5)</f>
        <v>38.671875</v>
      </c>
      <c r="G5" s="11">
        <f>G4/100*(100-I5)</f>
        <v>23.4375</v>
      </c>
      <c r="H5" s="11">
        <f>($H$4/($F$4+$H$4))*(100-G5-I5)</f>
        <v>31.640625</v>
      </c>
      <c r="I5" s="67">
        <f>0.5*CO_High!I5</f>
        <v>6.25</v>
      </c>
      <c r="K5">
        <f>SUM(F5:I5)</f>
        <v>100</v>
      </c>
      <c r="N5">
        <f t="shared" si="0"/>
        <v>4.296875</v>
      </c>
      <c r="O5">
        <f t="shared" si="0"/>
        <v>2.604166666666667</v>
      </c>
      <c r="P5">
        <f t="shared" si="0"/>
        <v>3.515625</v>
      </c>
      <c r="Q5">
        <f t="shared" si="0"/>
        <v>0.69444444444444442</v>
      </c>
      <c r="S5">
        <f>SUM(N5:Q5)</f>
        <v>11.111111111111112</v>
      </c>
    </row>
    <row r="6" spans="1:19" x14ac:dyDescent="0.25">
      <c r="A6" s="77"/>
      <c r="B6" s="1">
        <v>20</v>
      </c>
      <c r="C6" s="1">
        <v>20</v>
      </c>
      <c r="D6">
        <v>60</v>
      </c>
      <c r="F6" s="20">
        <f>($F$4/($F$4+$H$4))*(100-G6-I6)</f>
        <v>36.09375</v>
      </c>
      <c r="G6" s="11">
        <f>G4/100*(100-I6)</f>
        <v>21.875</v>
      </c>
      <c r="H6" s="11">
        <f>($H$4/($F$4+$H$4))*(100-G6-I6)</f>
        <v>29.53125</v>
      </c>
      <c r="I6" s="67">
        <f>0.5*CO_High!I6</f>
        <v>12.5</v>
      </c>
      <c r="K6">
        <f>SUM(F6:I6)</f>
        <v>100</v>
      </c>
      <c r="N6">
        <f t="shared" si="0"/>
        <v>4.0104166666666661</v>
      </c>
      <c r="O6">
        <f t="shared" si="0"/>
        <v>2.4305555555555554</v>
      </c>
      <c r="P6">
        <f t="shared" si="0"/>
        <v>3.28125</v>
      </c>
      <c r="Q6">
        <f t="shared" si="0"/>
        <v>1.3888888888888888</v>
      </c>
      <c r="S6">
        <f>SUM(N6:Q6)</f>
        <v>11.111111111111111</v>
      </c>
    </row>
    <row r="7" spans="1:19" x14ac:dyDescent="0.25">
      <c r="A7" s="3"/>
      <c r="F7" s="20"/>
      <c r="G7" s="11"/>
      <c r="H7" s="11"/>
      <c r="I7" s="17"/>
    </row>
    <row r="8" spans="1:19" x14ac:dyDescent="0.25">
      <c r="A8" s="76" t="s">
        <v>12</v>
      </c>
      <c r="B8">
        <v>66</v>
      </c>
      <c r="C8">
        <v>34</v>
      </c>
      <c r="D8">
        <v>0</v>
      </c>
      <c r="F8" s="40">
        <f>1*(100-G8-I8)</f>
        <v>80</v>
      </c>
      <c r="G8" s="41">
        <f>0.2*(100-I8)</f>
        <v>20</v>
      </c>
      <c r="H8" s="41">
        <f>0*(100-G8-I8)</f>
        <v>0</v>
      </c>
      <c r="I8" s="29">
        <f>I4</f>
        <v>0</v>
      </c>
      <c r="K8">
        <f>SUM(F8:I8)</f>
        <v>100</v>
      </c>
      <c r="N8">
        <f t="shared" ref="N8:Q10" si="1">(100/9)*F8/100</f>
        <v>8.8888888888888893</v>
      </c>
      <c r="O8">
        <f t="shared" si="1"/>
        <v>2.2222222222222223</v>
      </c>
      <c r="P8">
        <f t="shared" si="1"/>
        <v>0</v>
      </c>
      <c r="Q8">
        <f t="shared" si="1"/>
        <v>0</v>
      </c>
      <c r="S8">
        <f>SUM(N8:Q8)</f>
        <v>11.111111111111111</v>
      </c>
    </row>
    <row r="9" spans="1:19" x14ac:dyDescent="0.25">
      <c r="A9" s="77"/>
      <c r="B9" s="1">
        <f>0.66*70</f>
        <v>46.2</v>
      </c>
      <c r="C9" s="1">
        <f>0.34*70</f>
        <v>23.8</v>
      </c>
      <c r="D9">
        <v>30</v>
      </c>
      <c r="F9" s="20">
        <f>(F8/(F8+H8))*(100-G9-I9)</f>
        <v>75</v>
      </c>
      <c r="G9" s="11">
        <f>G8/100*(100-I9)</f>
        <v>18.75</v>
      </c>
      <c r="H9" s="11">
        <f>(H8/(F8+H8))*(100-G9-I9)</f>
        <v>0</v>
      </c>
      <c r="I9" s="29">
        <f>I5</f>
        <v>6.25</v>
      </c>
      <c r="K9">
        <f>SUM(F9:I9)</f>
        <v>100</v>
      </c>
      <c r="N9">
        <f t="shared" si="1"/>
        <v>8.3333333333333321</v>
      </c>
      <c r="O9">
        <f t="shared" si="1"/>
        <v>2.083333333333333</v>
      </c>
      <c r="P9">
        <f t="shared" si="1"/>
        <v>0</v>
      </c>
      <c r="Q9">
        <f t="shared" si="1"/>
        <v>0.69444444444444442</v>
      </c>
      <c r="S9">
        <f>SUM(N9:Q9)</f>
        <v>11.111111111111109</v>
      </c>
    </row>
    <row r="10" spans="1:19" x14ac:dyDescent="0.25">
      <c r="A10" s="77"/>
      <c r="B10" s="1">
        <f>0.66*40</f>
        <v>26.400000000000002</v>
      </c>
      <c r="C10" s="1">
        <f>0.34*40</f>
        <v>13.600000000000001</v>
      </c>
      <c r="D10">
        <v>60</v>
      </c>
      <c r="F10" s="20">
        <f>(F8/(F8+H8))*(100-G10-I10)</f>
        <v>70</v>
      </c>
      <c r="G10" s="11">
        <f>G8/100*(100-I10)</f>
        <v>17.5</v>
      </c>
      <c r="H10" s="11">
        <f>(H8/(F8+H8))*(100-G10-I10)</f>
        <v>0</v>
      </c>
      <c r="I10" s="64">
        <f>I6</f>
        <v>12.5</v>
      </c>
      <c r="K10">
        <f>SUM(F10:I10)</f>
        <v>100</v>
      </c>
      <c r="N10">
        <f t="shared" si="1"/>
        <v>7.7777777777777768</v>
      </c>
      <c r="O10">
        <f t="shared" si="1"/>
        <v>1.9444444444444442</v>
      </c>
      <c r="P10">
        <f t="shared" si="1"/>
        <v>0</v>
      </c>
      <c r="Q10">
        <f t="shared" si="1"/>
        <v>1.3888888888888888</v>
      </c>
      <c r="S10">
        <f>SUM(N10:Q10)</f>
        <v>11.111111111111111</v>
      </c>
    </row>
    <row r="11" spans="1:19" x14ac:dyDescent="0.25">
      <c r="A11" s="3"/>
      <c r="F11" s="20"/>
      <c r="G11" s="11"/>
      <c r="H11" s="11"/>
      <c r="I11" s="29"/>
    </row>
    <row r="12" spans="1:19" x14ac:dyDescent="0.25">
      <c r="A12" s="78" t="s">
        <v>13</v>
      </c>
      <c r="B12" s="1">
        <v>34</v>
      </c>
      <c r="C12" s="1">
        <v>66</v>
      </c>
      <c r="D12">
        <v>0</v>
      </c>
      <c r="F12" s="40">
        <f>(5/75)*(100-G12-I12)</f>
        <v>5</v>
      </c>
      <c r="G12" s="41">
        <f>0.25*(100-I12)</f>
        <v>25</v>
      </c>
      <c r="H12" s="41">
        <f>(70/75)*(100-G12-I12)</f>
        <v>70</v>
      </c>
      <c r="I12" s="29">
        <f>I4</f>
        <v>0</v>
      </c>
      <c r="K12">
        <f>SUM(F12:I12)</f>
        <v>100</v>
      </c>
      <c r="N12">
        <f t="shared" ref="N12:Q14" si="2">(100/9)*F12/100</f>
        <v>0.55555555555555558</v>
      </c>
      <c r="O12">
        <f t="shared" si="2"/>
        <v>2.7777777777777777</v>
      </c>
      <c r="P12">
        <f t="shared" si="2"/>
        <v>7.7777777777777768</v>
      </c>
      <c r="Q12">
        <f t="shared" si="2"/>
        <v>0</v>
      </c>
      <c r="S12">
        <f>SUM(N12:Q12)</f>
        <v>11.111111111111111</v>
      </c>
    </row>
    <row r="13" spans="1:19" x14ac:dyDescent="0.25">
      <c r="A13" s="77"/>
      <c r="B13" s="1">
        <v>24</v>
      </c>
      <c r="C13" s="1">
        <v>46</v>
      </c>
      <c r="D13">
        <v>30</v>
      </c>
      <c r="F13" s="20">
        <f>(F12/(F12+H12))*(100-G13-I13)</f>
        <v>4.6875</v>
      </c>
      <c r="G13" s="11">
        <f>G12/100*(100-I13)</f>
        <v>23.4375</v>
      </c>
      <c r="H13" s="11">
        <f>(H12/(F12+H12))*(100-G13-I13)</f>
        <v>65.625</v>
      </c>
      <c r="I13" s="29">
        <f>I5</f>
        <v>6.25</v>
      </c>
      <c r="K13">
        <f>SUM(F13:I13)</f>
        <v>100</v>
      </c>
      <c r="N13">
        <f t="shared" si="2"/>
        <v>0.52083333333333326</v>
      </c>
      <c r="O13">
        <f t="shared" si="2"/>
        <v>2.604166666666667</v>
      </c>
      <c r="P13">
        <f t="shared" si="2"/>
        <v>7.2916666666666661</v>
      </c>
      <c r="Q13">
        <f t="shared" si="2"/>
        <v>0.69444444444444442</v>
      </c>
      <c r="S13">
        <f>SUM(N13:Q13)</f>
        <v>11.111111111111111</v>
      </c>
    </row>
    <row r="14" spans="1:19" ht="15.75" thickBot="1" x14ac:dyDescent="0.3">
      <c r="A14" s="77"/>
      <c r="B14">
        <v>14</v>
      </c>
      <c r="C14">
        <v>26</v>
      </c>
      <c r="D14">
        <v>60</v>
      </c>
      <c r="F14" s="30">
        <f>(F12/(F12+H12))*(100-G14-I14)</f>
        <v>4.375</v>
      </c>
      <c r="G14" s="31">
        <f>G12/100*(100-I14)</f>
        <v>21.875</v>
      </c>
      <c r="H14" s="31">
        <f>(H12/(F12+H12))*(100-G14-I14)</f>
        <v>61.25</v>
      </c>
      <c r="I14" s="65">
        <f>I6</f>
        <v>12.5</v>
      </c>
      <c r="K14">
        <f>SUM(F14:I14)</f>
        <v>100</v>
      </c>
      <c r="N14">
        <f t="shared" si="2"/>
        <v>0.48611111111111105</v>
      </c>
      <c r="O14">
        <f t="shared" si="2"/>
        <v>2.4305555555555554</v>
      </c>
      <c r="P14">
        <f t="shared" si="2"/>
        <v>6.8055555555555554</v>
      </c>
      <c r="Q14">
        <f t="shared" si="2"/>
        <v>1.3888888888888888</v>
      </c>
      <c r="S14">
        <f>SUM(N14:Q14)</f>
        <v>11.111111111111111</v>
      </c>
    </row>
    <row r="16" spans="1:19" x14ac:dyDescent="0.25">
      <c r="M16" s="8" t="s">
        <v>15</v>
      </c>
      <c r="N16" s="4">
        <f>SUM(N4:N14)</f>
        <v>39.453125</v>
      </c>
      <c r="O16" s="4">
        <f>SUM(O4:O14)</f>
        <v>21.875</v>
      </c>
      <c r="P16" s="4">
        <f>SUM(P4:P14)</f>
        <v>32.421875</v>
      </c>
      <c r="Q16" s="4">
        <f>SUM(Q4:Q14)</f>
        <v>6.25</v>
      </c>
    </row>
    <row r="17" spans="12:19" x14ac:dyDescent="0.25">
      <c r="S17" s="2" t="s">
        <v>15</v>
      </c>
    </row>
    <row r="18" spans="12:19" x14ac:dyDescent="0.25">
      <c r="L18" s="83"/>
      <c r="M18" s="6" t="s">
        <v>16</v>
      </c>
      <c r="N18" s="9">
        <f>N16</f>
        <v>39.453125</v>
      </c>
      <c r="O18" s="9">
        <f>O16</f>
        <v>21.875</v>
      </c>
      <c r="P18" s="9">
        <f>P16</f>
        <v>32.421875</v>
      </c>
      <c r="Q18" s="9">
        <f>Q16</f>
        <v>6.25</v>
      </c>
      <c r="S18">
        <f>SUM(N18:Q18)</f>
        <v>100</v>
      </c>
    </row>
    <row r="19" spans="12:19" x14ac:dyDescent="0.25">
      <c r="L19" s="83"/>
      <c r="M19" s="6"/>
      <c r="N19" s="9"/>
      <c r="O19" s="9"/>
      <c r="P19" s="9"/>
      <c r="Q19" s="9"/>
    </row>
    <row r="20" spans="12:19" x14ac:dyDescent="0.25">
      <c r="L20" s="83"/>
      <c r="M20" s="6" t="s">
        <v>18</v>
      </c>
      <c r="N20" s="9">
        <f>N$18-(0.525*N$18)</f>
        <v>18.740234375</v>
      </c>
      <c r="O20" s="9">
        <f>O$18+(O$18/($O$18+$Q$18))*(($N$18-$N20)+($P$18-$P20))</f>
        <v>46.180555555555557</v>
      </c>
      <c r="P20" s="9">
        <f>P$18-(0.325*P$18)</f>
        <v>21.884765625</v>
      </c>
      <c r="Q20" s="9">
        <f>Q$18+(Q$18/($O$18+$Q$18))*(($N$18-$N20)+($P$18-$P20))</f>
        <v>13.194444444444443</v>
      </c>
      <c r="S20">
        <f>SUM(N20:Q20)</f>
        <v>100</v>
      </c>
    </row>
    <row r="21" spans="12:19" x14ac:dyDescent="0.25">
      <c r="L21" s="83"/>
      <c r="M21" s="6"/>
      <c r="N21" s="9"/>
      <c r="O21" s="9"/>
      <c r="P21" s="9"/>
      <c r="Q21" s="9"/>
    </row>
    <row r="22" spans="12:19" x14ac:dyDescent="0.25">
      <c r="L22" s="83"/>
      <c r="M22" s="6" t="s">
        <v>17</v>
      </c>
      <c r="N22" s="9">
        <f>N$18-(0.625*N$18)</f>
        <v>14.794921875</v>
      </c>
      <c r="O22" s="9">
        <f>O$18+(O$18/($O$18+$Q$18))*(($N$18-$N22)+($P$18-$P22))</f>
        <v>54.292534722222221</v>
      </c>
      <c r="P22" s="9">
        <f>P$18-(0.525*P$18)</f>
        <v>15.400390625</v>
      </c>
      <c r="Q22" s="9">
        <f>Q$18+(Q$18/($O$18+$Q$18))*(($N$18-$N22)+($P$18-$P22))</f>
        <v>15.512152777777777</v>
      </c>
      <c r="S22">
        <f>SUM(N22:Q22)</f>
        <v>100</v>
      </c>
    </row>
    <row r="23" spans="12:19" x14ac:dyDescent="0.25">
      <c r="L23" s="83"/>
      <c r="M23" s="6"/>
      <c r="N23" s="9"/>
      <c r="O23" s="9"/>
      <c r="P23" s="9"/>
      <c r="Q23" s="9"/>
    </row>
    <row r="24" spans="12:19" x14ac:dyDescent="0.25">
      <c r="L24" s="83"/>
      <c r="M24" s="6" t="s">
        <v>31</v>
      </c>
      <c r="N24" s="9">
        <f>N$18-(0*N$18)</f>
        <v>39.453125</v>
      </c>
      <c r="O24" s="9">
        <f>O$18+(O$18/($O$18+$Q$18))*(($N$18-$N24)+($P$18-$P24))</f>
        <v>21.875</v>
      </c>
      <c r="P24" s="9">
        <f>P$18-(0*P$18)</f>
        <v>32.421875</v>
      </c>
      <c r="Q24" s="9">
        <f>Q$18+(Q$18/($O$18+$Q$18))*(($N$18-$N24)+($P$18-$P24))</f>
        <v>6.25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40</v>
      </c>
      <c r="O28" s="58">
        <f t="shared" ref="O28:Q28" si="3">MROUND(O37,5)</f>
        <v>20</v>
      </c>
      <c r="P28" s="58">
        <f t="shared" si="3"/>
        <v>15</v>
      </c>
      <c r="Q28" s="58">
        <f t="shared" si="3"/>
        <v>40</v>
      </c>
    </row>
    <row r="29" spans="12:19" x14ac:dyDescent="0.25">
      <c r="M29" t="s">
        <v>14</v>
      </c>
      <c r="N29" s="58">
        <f>N38</f>
        <v>20</v>
      </c>
      <c r="O29" s="58">
        <f t="shared" ref="O29:Q29" si="4">MROUND(O38,5)</f>
        <v>45</v>
      </c>
      <c r="P29" s="58">
        <f t="shared" si="4"/>
        <v>50</v>
      </c>
      <c r="Q29" s="58">
        <f t="shared" si="4"/>
        <v>20</v>
      </c>
    </row>
    <row r="30" spans="12:19" x14ac:dyDescent="0.25">
      <c r="M30" t="s">
        <v>2</v>
      </c>
      <c r="N30" s="58">
        <f>N39</f>
        <v>35</v>
      </c>
      <c r="O30" s="58">
        <f t="shared" ref="O30:Q30" si="5">MROUND(O39,5)</f>
        <v>25</v>
      </c>
      <c r="P30" s="58">
        <f t="shared" si="5"/>
        <v>20</v>
      </c>
      <c r="Q30" s="58">
        <f t="shared" si="5"/>
        <v>35</v>
      </c>
    </row>
    <row r="31" spans="12:19" x14ac:dyDescent="0.25">
      <c r="M31" t="s">
        <v>3</v>
      </c>
      <c r="N31" s="58">
        <f>N40</f>
        <v>5</v>
      </c>
      <c r="O31" s="58">
        <f t="shared" ref="O29:Q31" si="6">MROUND(O40,5)</f>
        <v>10</v>
      </c>
      <c r="P31" s="58">
        <f t="shared" si="6"/>
        <v>15</v>
      </c>
      <c r="Q31" s="58">
        <f t="shared" si="6"/>
        <v>5</v>
      </c>
    </row>
    <row r="32" spans="12:19" x14ac:dyDescent="0.25">
      <c r="N32" s="4"/>
      <c r="O32" s="4"/>
    </row>
    <row r="33" spans="13:19" x14ac:dyDescent="0.25">
      <c r="N33" s="58">
        <f>SUM(N28:N31)</f>
        <v>100</v>
      </c>
      <c r="O33" s="58">
        <f t="shared" ref="O33:Q33" si="7">SUM(O28:O31)</f>
        <v>100</v>
      </c>
      <c r="P33" s="58">
        <f t="shared" si="7"/>
        <v>100</v>
      </c>
      <c r="Q33" s="58">
        <f t="shared" si="7"/>
        <v>100</v>
      </c>
    </row>
    <row r="35" spans="13:19" x14ac:dyDescent="0.25">
      <c r="M35" t="s">
        <v>30</v>
      </c>
    </row>
    <row r="36" spans="13:19" x14ac:dyDescent="0.25">
      <c r="N36" s="52" t="s">
        <v>26</v>
      </c>
      <c r="O36" s="52" t="s">
        <v>27</v>
      </c>
      <c r="P36" s="52" t="s">
        <v>28</v>
      </c>
      <c r="Q36" s="52" t="s">
        <v>32</v>
      </c>
    </row>
    <row r="37" spans="13:19" x14ac:dyDescent="0.25">
      <c r="M37" t="s">
        <v>1</v>
      </c>
      <c r="N37" s="58">
        <v>40</v>
      </c>
      <c r="O37" s="59">
        <f>N37-O47</f>
        <v>19.287109375</v>
      </c>
      <c r="P37" s="59">
        <f>N37-P47</f>
        <v>15.341796875</v>
      </c>
      <c r="Q37" s="59">
        <f>N37-Q47</f>
        <v>40</v>
      </c>
    </row>
    <row r="38" spans="13:19" x14ac:dyDescent="0.25">
      <c r="M38" t="s">
        <v>14</v>
      </c>
      <c r="N38" s="58">
        <v>20</v>
      </c>
      <c r="O38" s="59">
        <f>N38-O48</f>
        <v>44.305555555555557</v>
      </c>
      <c r="P38" s="59">
        <f>N38-P48</f>
        <v>52.417534722222221</v>
      </c>
      <c r="Q38" s="59">
        <f>N38-Q48</f>
        <v>20</v>
      </c>
    </row>
    <row r="39" spans="13:19" x14ac:dyDescent="0.25">
      <c r="M39" t="s">
        <v>2</v>
      </c>
      <c r="N39" s="58">
        <v>35</v>
      </c>
      <c r="O39" s="59">
        <f>N39-O49</f>
        <v>24.462890625</v>
      </c>
      <c r="P39" s="59">
        <f>N39-P49</f>
        <v>17.978515625</v>
      </c>
      <c r="Q39" s="59">
        <f>N39-Q49</f>
        <v>35</v>
      </c>
    </row>
    <row r="40" spans="13:19" x14ac:dyDescent="0.25">
      <c r="M40" t="s">
        <v>3</v>
      </c>
      <c r="N40" s="58">
        <v>5</v>
      </c>
      <c r="O40" s="59">
        <f>N40-O50</f>
        <v>11.944444444444443</v>
      </c>
      <c r="P40" s="59">
        <f>N40-P50</f>
        <v>14.262152777777777</v>
      </c>
      <c r="Q40" s="59">
        <f>N40-Q50</f>
        <v>5</v>
      </c>
    </row>
    <row r="41" spans="13:19" x14ac:dyDescent="0.25">
      <c r="N41" s="4"/>
      <c r="O41" s="4"/>
    </row>
    <row r="42" spans="13:19" x14ac:dyDescent="0.25">
      <c r="N42" s="58">
        <f>SUM(N37:N40)</f>
        <v>100</v>
      </c>
      <c r="O42" s="58">
        <f t="shared" ref="O42:Q42" si="8">SUM(O37:O40)</f>
        <v>100</v>
      </c>
      <c r="P42" s="58">
        <f t="shared" si="8"/>
        <v>100</v>
      </c>
      <c r="Q42" s="58">
        <f t="shared" si="8"/>
        <v>100</v>
      </c>
    </row>
    <row r="43" spans="13:19" x14ac:dyDescent="0.25">
      <c r="N43" s="4"/>
    </row>
    <row r="45" spans="13:19" x14ac:dyDescent="0.25">
      <c r="M45" t="s">
        <v>29</v>
      </c>
      <c r="P45" s="4"/>
    </row>
    <row r="46" spans="13:19" x14ac:dyDescent="0.25">
      <c r="N46" s="52" t="s">
        <v>26</v>
      </c>
      <c r="O46" s="52" t="s">
        <v>27</v>
      </c>
      <c r="P46" s="52" t="s">
        <v>28</v>
      </c>
      <c r="Q46" s="52" t="s">
        <v>32</v>
      </c>
    </row>
    <row r="47" spans="13:19" x14ac:dyDescent="0.25">
      <c r="M47" t="s">
        <v>1</v>
      </c>
      <c r="N47" s="59">
        <f>N18</f>
        <v>39.453125</v>
      </c>
      <c r="O47" s="59">
        <f>N18-N20</f>
        <v>20.712890625</v>
      </c>
      <c r="P47" s="59">
        <f>N18-N22</f>
        <v>24.658203125</v>
      </c>
      <c r="Q47" s="59">
        <f>N18-N24</f>
        <v>0</v>
      </c>
      <c r="S47" s="58"/>
    </row>
    <row r="48" spans="13:19" x14ac:dyDescent="0.25">
      <c r="M48" t="s">
        <v>14</v>
      </c>
      <c r="N48" s="59">
        <f>O18</f>
        <v>21.875</v>
      </c>
      <c r="O48" s="59">
        <f>O18-O20</f>
        <v>-24.305555555555557</v>
      </c>
      <c r="P48" s="59">
        <f>O18-O22</f>
        <v>-32.417534722222221</v>
      </c>
      <c r="Q48" s="59">
        <f>O18-O24</f>
        <v>0</v>
      </c>
      <c r="S48" s="58"/>
    </row>
    <row r="49" spans="13:19" x14ac:dyDescent="0.25">
      <c r="M49" t="s">
        <v>2</v>
      </c>
      <c r="N49" s="59">
        <f>P18</f>
        <v>32.421875</v>
      </c>
      <c r="O49" s="59">
        <f>P18-P20</f>
        <v>10.537109375</v>
      </c>
      <c r="P49" s="59">
        <f>P18-P22</f>
        <v>17.021484375</v>
      </c>
      <c r="Q49" s="59">
        <f>P18-P24</f>
        <v>0</v>
      </c>
      <c r="S49" s="58"/>
    </row>
    <row r="50" spans="13:19" x14ac:dyDescent="0.25">
      <c r="M50" t="s">
        <v>3</v>
      </c>
      <c r="N50" s="59">
        <f>Q18</f>
        <v>6.25</v>
      </c>
      <c r="O50" s="59">
        <f>Q18-Q20</f>
        <v>-6.9444444444444429</v>
      </c>
      <c r="P50" s="59">
        <f>Q18-Q22</f>
        <v>-9.2621527777777768</v>
      </c>
      <c r="Q50" s="59">
        <f>Q18-Q24</f>
        <v>0</v>
      </c>
      <c r="S50" s="58"/>
    </row>
  </sheetData>
  <mergeCells count="7">
    <mergeCell ref="L18:L24"/>
    <mergeCell ref="F1:K1"/>
    <mergeCell ref="N1:S1"/>
    <mergeCell ref="A8:A10"/>
    <mergeCell ref="A12:A14"/>
    <mergeCell ref="B1:D1"/>
    <mergeCell ref="A4:A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
  <sheetViews>
    <sheetView zoomScaleNormal="100" workbookViewId="0">
      <selection activeCell="F36" sqref="F36"/>
    </sheetView>
  </sheetViews>
  <sheetFormatPr defaultRowHeight="15" x14ac:dyDescent="0.25"/>
  <cols>
    <col min="10" max="10" width="2.140625" customWidth="1"/>
    <col min="11" max="12" width="6.7109375" customWidth="1"/>
    <col min="18" max="18" width="4" customWidth="1"/>
    <col min="19" max="19" width="6.85546875" customWidth="1"/>
  </cols>
  <sheetData>
    <row r="1" spans="1:19" x14ac:dyDescent="0.25">
      <c r="B1" s="87" t="s">
        <v>8</v>
      </c>
      <c r="C1" s="87"/>
      <c r="D1" s="87"/>
      <c r="F1" s="87" t="s">
        <v>19</v>
      </c>
      <c r="G1" s="87"/>
      <c r="H1" s="87"/>
      <c r="I1" s="87"/>
      <c r="J1" s="87"/>
      <c r="K1" s="87"/>
      <c r="N1" s="82" t="s">
        <v>20</v>
      </c>
      <c r="O1" s="82"/>
      <c r="P1" s="82"/>
      <c r="Q1" s="82"/>
      <c r="R1" s="82"/>
      <c r="S1" s="82"/>
    </row>
    <row r="3" spans="1:19" ht="15.75" thickBot="1" x14ac:dyDescent="0.3">
      <c r="B3" s="2" t="s">
        <v>1</v>
      </c>
      <c r="C3" s="2" t="s">
        <v>2</v>
      </c>
      <c r="D3" s="2" t="s">
        <v>3</v>
      </c>
      <c r="F3" s="2" t="s">
        <v>1</v>
      </c>
      <c r="G3" s="2" t="s">
        <v>14</v>
      </c>
      <c r="H3" s="2" t="s">
        <v>2</v>
      </c>
      <c r="I3" s="52" t="s">
        <v>3</v>
      </c>
      <c r="K3" s="73" t="s">
        <v>15</v>
      </c>
      <c r="L3" s="2"/>
      <c r="N3" s="2" t="s">
        <v>1</v>
      </c>
      <c r="O3" s="2" t="s">
        <v>14</v>
      </c>
      <c r="P3" s="2" t="s">
        <v>2</v>
      </c>
      <c r="Q3" s="2" t="s">
        <v>3</v>
      </c>
      <c r="S3" s="2" t="s">
        <v>15</v>
      </c>
    </row>
    <row r="4" spans="1:19" x14ac:dyDescent="0.25">
      <c r="A4" s="76" t="s">
        <v>9</v>
      </c>
      <c r="B4" s="1">
        <f>0.5*(100-D4)</f>
        <v>16.5</v>
      </c>
      <c r="C4" s="1">
        <f>0.5*(100-D4)</f>
        <v>16.5</v>
      </c>
      <c r="D4">
        <v>67</v>
      </c>
      <c r="F4" s="44">
        <f>0.55*(100-G4-I4)</f>
        <v>36.09375</v>
      </c>
      <c r="G4" s="45">
        <f>0.25*(100-I4)</f>
        <v>21.875</v>
      </c>
      <c r="H4" s="45">
        <f>0.45*(100-I4-G4)</f>
        <v>29.53125</v>
      </c>
      <c r="I4" s="68">
        <f>0.5*RM_High!I4</f>
        <v>12.5</v>
      </c>
      <c r="K4">
        <f>SUM(F4:I4)</f>
        <v>100</v>
      </c>
      <c r="N4">
        <f t="shared" ref="N4:Q6" si="0">(100/9)*F4/100</f>
        <v>4.0104166666666661</v>
      </c>
      <c r="O4">
        <f t="shared" si="0"/>
        <v>2.4305555555555554</v>
      </c>
      <c r="P4">
        <f t="shared" si="0"/>
        <v>3.28125</v>
      </c>
      <c r="Q4">
        <f t="shared" si="0"/>
        <v>1.3888888888888888</v>
      </c>
      <c r="S4">
        <f>SUM(N4:Q4)</f>
        <v>11.111111111111111</v>
      </c>
    </row>
    <row r="5" spans="1:19" x14ac:dyDescent="0.25">
      <c r="A5" s="77"/>
      <c r="B5" s="1">
        <f>0.5*(100-D5)</f>
        <v>7.5</v>
      </c>
      <c r="C5" s="1">
        <f>0.5*(100-D5)</f>
        <v>7.5</v>
      </c>
      <c r="D5">
        <v>85</v>
      </c>
      <c r="F5" s="20">
        <f>($F$4/($F$4+$G$4+$H$4))*(100-I5)</f>
        <v>34.03125</v>
      </c>
      <c r="G5" s="11">
        <f>($G$4/($F$4+$G$4+$H$4))*(100-I5)</f>
        <v>20.625</v>
      </c>
      <c r="H5" s="11">
        <f>($H$4/($F$4+$G$4+$H$4))*(100-I5)</f>
        <v>27.843750000000004</v>
      </c>
      <c r="I5" s="69">
        <f>0.5*RM_High!I5</f>
        <v>17.5</v>
      </c>
      <c r="K5">
        <f>SUM(F5:I5)</f>
        <v>100</v>
      </c>
      <c r="N5">
        <f t="shared" si="0"/>
        <v>3.78125</v>
      </c>
      <c r="O5">
        <f t="shared" si="0"/>
        <v>2.2916666666666665</v>
      </c>
      <c r="P5">
        <f t="shared" si="0"/>
        <v>3.0937500000000004</v>
      </c>
      <c r="Q5">
        <f t="shared" si="0"/>
        <v>1.9444444444444442</v>
      </c>
      <c r="S5">
        <f>SUM(N5:Q5)</f>
        <v>11.111111111111111</v>
      </c>
    </row>
    <row r="6" spans="1:19" x14ac:dyDescent="0.25">
      <c r="A6" s="77"/>
      <c r="B6" s="1">
        <f>0.5*(100-D6)</f>
        <v>2.5</v>
      </c>
      <c r="C6" s="1">
        <f>0.5*(100-D6)</f>
        <v>2.5</v>
      </c>
      <c r="D6">
        <v>95</v>
      </c>
      <c r="F6" s="20">
        <f>($F$4/($F$4+$G$4+$H$4))*(100-I6)</f>
        <v>33</v>
      </c>
      <c r="G6" s="11">
        <f>($G$4/($F$4+$G$4+$H$4))*(100-I6)</f>
        <v>20</v>
      </c>
      <c r="H6" s="11">
        <f>($H$4/($F$4+$G$4+$H$4))*(100-I6)</f>
        <v>27</v>
      </c>
      <c r="I6" s="69">
        <f>0.5*RM_High!I6</f>
        <v>20</v>
      </c>
      <c r="K6">
        <f>SUM(F6:I6)</f>
        <v>100</v>
      </c>
      <c r="N6">
        <f t="shared" si="0"/>
        <v>3.6666666666666661</v>
      </c>
      <c r="O6">
        <f t="shared" si="0"/>
        <v>2.2222222222222223</v>
      </c>
      <c r="P6">
        <f t="shared" si="0"/>
        <v>3</v>
      </c>
      <c r="Q6">
        <f t="shared" si="0"/>
        <v>2.2222222222222223</v>
      </c>
      <c r="S6">
        <f>SUM(N6:Q6)</f>
        <v>11.111111111111111</v>
      </c>
    </row>
    <row r="7" spans="1:19" x14ac:dyDescent="0.25">
      <c r="A7" s="3"/>
      <c r="B7" s="1"/>
      <c r="C7" s="1"/>
      <c r="F7" s="20"/>
      <c r="G7" s="11"/>
      <c r="H7" s="11"/>
      <c r="I7" s="70"/>
    </row>
    <row r="8" spans="1:19" x14ac:dyDescent="0.25">
      <c r="A8" s="78" t="s">
        <v>10</v>
      </c>
      <c r="B8" s="1">
        <f>0.75*(100-D8)</f>
        <v>24.75</v>
      </c>
      <c r="C8" s="1">
        <f>0.25*(100-D8)</f>
        <v>8.25</v>
      </c>
      <c r="D8">
        <v>67</v>
      </c>
      <c r="F8" s="46">
        <f>0.85*(100-I8)</f>
        <v>74.375</v>
      </c>
      <c r="G8" s="47">
        <f>0.15*(100-I8)</f>
        <v>13.125</v>
      </c>
      <c r="H8" s="47">
        <f>0*(100-I8-G8)</f>
        <v>0</v>
      </c>
      <c r="I8" s="70">
        <f>I4</f>
        <v>12.5</v>
      </c>
      <c r="K8">
        <f>SUM(F8:I8)</f>
        <v>100</v>
      </c>
      <c r="N8">
        <f t="shared" ref="N8:Q10" si="1">(100/9)*F8/100</f>
        <v>8.2638888888888893</v>
      </c>
      <c r="O8">
        <f t="shared" si="1"/>
        <v>1.458333333333333</v>
      </c>
      <c r="P8">
        <f t="shared" si="1"/>
        <v>0</v>
      </c>
      <c r="Q8">
        <f t="shared" si="1"/>
        <v>1.3888888888888888</v>
      </c>
      <c r="S8">
        <f>SUM(N8:Q8)</f>
        <v>11.111111111111111</v>
      </c>
    </row>
    <row r="9" spans="1:19" x14ac:dyDescent="0.25">
      <c r="A9" s="77"/>
      <c r="B9" s="1">
        <f>0.75*(100-D9)</f>
        <v>11.25</v>
      </c>
      <c r="C9" s="1">
        <f>0.25*(100-D9)</f>
        <v>3.75</v>
      </c>
      <c r="D9">
        <v>85</v>
      </c>
      <c r="F9" s="20">
        <f>($F$8/($F$8+$G$8+$H$8))*(100-I9)</f>
        <v>70.125</v>
      </c>
      <c r="G9" s="11">
        <f>($G$8/($F$8+$G$8+$H$8))*(100-I9)</f>
        <v>12.375</v>
      </c>
      <c r="H9" s="11">
        <f>($H$8/($F$8+$G$8+$H$8))*(100-I9)</f>
        <v>0</v>
      </c>
      <c r="I9" s="70">
        <f>I5</f>
        <v>17.5</v>
      </c>
      <c r="K9">
        <f>SUM(F9:I9)</f>
        <v>100</v>
      </c>
      <c r="N9">
        <f t="shared" si="1"/>
        <v>7.7916666666666661</v>
      </c>
      <c r="O9">
        <f t="shared" si="1"/>
        <v>1.375</v>
      </c>
      <c r="P9">
        <f t="shared" si="1"/>
        <v>0</v>
      </c>
      <c r="Q9">
        <f t="shared" si="1"/>
        <v>1.9444444444444442</v>
      </c>
      <c r="S9">
        <f>SUM(N9:Q9)</f>
        <v>11.111111111111111</v>
      </c>
    </row>
    <row r="10" spans="1:19" x14ac:dyDescent="0.25">
      <c r="A10" s="77"/>
      <c r="B10" s="1">
        <f>0.75*(100-D10)</f>
        <v>3.75</v>
      </c>
      <c r="C10" s="1">
        <f>0.25*(100-D10)</f>
        <v>1.25</v>
      </c>
      <c r="D10">
        <v>95</v>
      </c>
      <c r="F10" s="20">
        <f>($F$8/($F$8+$G$8+$H$8))*(100-I10)</f>
        <v>68</v>
      </c>
      <c r="G10" s="11">
        <f>($G$8/($F$8+$G$8+$H$8))*(100-I10)</f>
        <v>12</v>
      </c>
      <c r="H10" s="11">
        <f>($H$8/($F$8+$G$8+$H$8))*(100-I10)</f>
        <v>0</v>
      </c>
      <c r="I10" s="70">
        <f>I6</f>
        <v>20</v>
      </c>
      <c r="K10">
        <f>SUM(F10:I10)</f>
        <v>100</v>
      </c>
      <c r="N10">
        <f t="shared" si="1"/>
        <v>7.5555555555555554</v>
      </c>
      <c r="O10">
        <f t="shared" si="1"/>
        <v>1.333333333333333</v>
      </c>
      <c r="P10">
        <f t="shared" si="1"/>
        <v>0</v>
      </c>
      <c r="Q10">
        <f t="shared" si="1"/>
        <v>2.2222222222222223</v>
      </c>
      <c r="S10">
        <f>SUM(N10:Q10)</f>
        <v>11.111111111111111</v>
      </c>
    </row>
    <row r="11" spans="1:19" x14ac:dyDescent="0.25">
      <c r="A11" s="3"/>
      <c r="B11" s="1"/>
      <c r="C11" s="1"/>
      <c r="F11" s="20"/>
      <c r="G11" s="11"/>
      <c r="H11" s="11"/>
      <c r="I11" s="70"/>
    </row>
    <row r="12" spans="1:19" x14ac:dyDescent="0.25">
      <c r="A12" s="78" t="s">
        <v>11</v>
      </c>
      <c r="B12" s="1">
        <f>0.25*(100-D12)</f>
        <v>8.25</v>
      </c>
      <c r="C12" s="1">
        <f>0.75*(100-D12)</f>
        <v>24.75</v>
      </c>
      <c r="D12">
        <v>67</v>
      </c>
      <c r="F12" s="46">
        <f>0.02*(100-I12)</f>
        <v>1.75</v>
      </c>
      <c r="G12" s="47">
        <f>0.23*(100-I12)</f>
        <v>20.125</v>
      </c>
      <c r="H12" s="47">
        <f>0.75*(100-I12)</f>
        <v>65.625</v>
      </c>
      <c r="I12" s="70">
        <f>I4</f>
        <v>12.5</v>
      </c>
      <c r="K12">
        <f>SUM(F12:I12)</f>
        <v>100</v>
      </c>
      <c r="N12">
        <f t="shared" ref="N12:Q14" si="2">(100/9)*F12/100</f>
        <v>0.19444444444444442</v>
      </c>
      <c r="O12">
        <f t="shared" si="2"/>
        <v>2.2361111111111112</v>
      </c>
      <c r="P12">
        <f t="shared" si="2"/>
        <v>7.2916666666666661</v>
      </c>
      <c r="Q12">
        <f t="shared" si="2"/>
        <v>1.3888888888888888</v>
      </c>
      <c r="S12">
        <f>SUM(N12:Q12)</f>
        <v>11.111111111111111</v>
      </c>
    </row>
    <row r="13" spans="1:19" x14ac:dyDescent="0.25">
      <c r="A13" s="77"/>
      <c r="B13" s="1">
        <f>0.25*(100-D13)</f>
        <v>3.75</v>
      </c>
      <c r="C13" s="1">
        <f>0.75*(100-D13)</f>
        <v>11.25</v>
      </c>
      <c r="D13">
        <v>85</v>
      </c>
      <c r="F13" s="20">
        <f>($F$12/($F$12+$G$12+$H$12))*(100-I13)</f>
        <v>1.6500000000000001</v>
      </c>
      <c r="G13" s="11">
        <f>($G$12/($F$12+$G$12+$H$12))*(100-I13)</f>
        <v>18.975000000000001</v>
      </c>
      <c r="H13" s="11">
        <f>($H$12/($F$12+$G$12+$H$12))*(100-I13)</f>
        <v>61.875</v>
      </c>
      <c r="I13" s="70">
        <f>I5</f>
        <v>17.5</v>
      </c>
      <c r="K13">
        <f>SUM(F13:I13)</f>
        <v>100</v>
      </c>
      <c r="N13">
        <f t="shared" si="2"/>
        <v>0.18333333333333335</v>
      </c>
      <c r="O13">
        <f t="shared" si="2"/>
        <v>2.1083333333333334</v>
      </c>
      <c r="P13">
        <f t="shared" si="2"/>
        <v>6.875</v>
      </c>
      <c r="Q13">
        <f t="shared" si="2"/>
        <v>1.9444444444444442</v>
      </c>
      <c r="S13">
        <f>SUM(N13:Q13)</f>
        <v>11.111111111111112</v>
      </c>
    </row>
    <row r="14" spans="1:19" ht="15.75" thickBot="1" x14ac:dyDescent="0.3">
      <c r="A14" s="77"/>
      <c r="B14" s="1">
        <f>0.25*(100-D14)</f>
        <v>1.25</v>
      </c>
      <c r="C14" s="1">
        <f>0.75*(100-D14)</f>
        <v>3.75</v>
      </c>
      <c r="D14">
        <v>95</v>
      </c>
      <c r="F14" s="30">
        <f>($F$12/($F$12+$G$12+$H$12))*(100-I14)</f>
        <v>1.6</v>
      </c>
      <c r="G14" s="31">
        <f>($G$12/($F$12+$G$12+$H$12))*(100-I14)</f>
        <v>18.400000000000002</v>
      </c>
      <c r="H14" s="31">
        <f>($H$12/($F$12+$G$12+$H$12))*(100-I14)</f>
        <v>60</v>
      </c>
      <c r="I14" s="71">
        <f>I6</f>
        <v>20</v>
      </c>
      <c r="K14">
        <f>SUM(F14:I14)</f>
        <v>100</v>
      </c>
      <c r="N14">
        <f t="shared" si="2"/>
        <v>0.17777777777777778</v>
      </c>
      <c r="O14">
        <f t="shared" si="2"/>
        <v>2.0444444444444447</v>
      </c>
      <c r="P14">
        <f t="shared" si="2"/>
        <v>6.6666666666666661</v>
      </c>
      <c r="Q14">
        <f t="shared" si="2"/>
        <v>2.2222222222222223</v>
      </c>
      <c r="S14">
        <f>SUM(N14:Q14)</f>
        <v>11.111111111111111</v>
      </c>
    </row>
    <row r="16" spans="1:19" x14ac:dyDescent="0.25">
      <c r="M16" s="8" t="s">
        <v>15</v>
      </c>
      <c r="N16" s="4">
        <f>SUM(N4:N14)</f>
        <v>35.624999999999993</v>
      </c>
      <c r="O16" s="4">
        <f>SUM(O4:O14)</f>
        <v>17.5</v>
      </c>
      <c r="P16" s="4">
        <f>SUM(P4:P14)</f>
        <v>30.208333333333329</v>
      </c>
      <c r="Q16" s="4">
        <f>SUM(Q4:Q14)</f>
        <v>16.666666666666668</v>
      </c>
    </row>
    <row r="17" spans="12:19" x14ac:dyDescent="0.25">
      <c r="S17" s="2" t="s">
        <v>15</v>
      </c>
    </row>
    <row r="18" spans="12:19" x14ac:dyDescent="0.25">
      <c r="L18" s="83"/>
      <c r="M18" s="6" t="s">
        <v>16</v>
      </c>
      <c r="N18" s="9">
        <f>N16</f>
        <v>35.624999999999993</v>
      </c>
      <c r="O18" s="9">
        <f>O16</f>
        <v>17.5</v>
      </c>
      <c r="P18" s="9">
        <f>P16</f>
        <v>30.208333333333329</v>
      </c>
      <c r="Q18" s="9">
        <f>Q16</f>
        <v>16.666666666666668</v>
      </c>
      <c r="S18">
        <f>SUM(N18:Q18)</f>
        <v>99.999999999999986</v>
      </c>
    </row>
    <row r="19" spans="12:19" x14ac:dyDescent="0.25">
      <c r="L19" s="83"/>
      <c r="M19" s="6"/>
      <c r="N19" s="6"/>
      <c r="O19" s="6"/>
      <c r="P19" s="6"/>
      <c r="Q19" s="6"/>
    </row>
    <row r="20" spans="12:19" x14ac:dyDescent="0.25">
      <c r="L20" s="83"/>
      <c r="M20" s="6" t="s">
        <v>18</v>
      </c>
      <c r="N20" s="9">
        <f>N$18-(0.525*N$18)</f>
        <v>16.921874999999996</v>
      </c>
      <c r="O20" s="9">
        <f>O$18+(O$18/($O$18+$Q$18))*(($N$18-$N20)+($P$18-$P20))</f>
        <v>32.108231707317067</v>
      </c>
      <c r="P20" s="9">
        <f>P$18-(0.325*P$18)</f>
        <v>20.390624999999996</v>
      </c>
      <c r="Q20" s="9">
        <f>Q$18+(Q$18/($O$18+$Q$18))*(($N$18-$N20)+($P$18-$P20))</f>
        <v>30.579268292682926</v>
      </c>
      <c r="S20">
        <f>SUM(N20:Q20)</f>
        <v>99.999999999999986</v>
      </c>
    </row>
    <row r="21" spans="12:19" x14ac:dyDescent="0.25">
      <c r="L21" s="83"/>
      <c r="M21" s="6"/>
      <c r="N21" s="9"/>
      <c r="O21" s="9"/>
      <c r="P21" s="9"/>
      <c r="Q21" s="9"/>
    </row>
    <row r="22" spans="12:19" x14ac:dyDescent="0.25">
      <c r="L22" s="83"/>
      <c r="M22" s="6" t="s">
        <v>17</v>
      </c>
      <c r="N22" s="9">
        <f>N$18-(0.625*N$18)</f>
        <v>13.359374999999996</v>
      </c>
      <c r="O22" s="9">
        <f>O$18+(O$18/($O$18+$Q$18))*(($N$18-$N22)+($P$18-$P22))</f>
        <v>37.027439024390233</v>
      </c>
      <c r="P22" s="9">
        <f>P$18-(0.525*P$18)</f>
        <v>14.34895833333333</v>
      </c>
      <c r="Q22" s="9">
        <f>Q$18+(Q$18/($O$18+$Q$18))*(($N$18-$N22)+($P$18-$P22))</f>
        <v>35.264227642276424</v>
      </c>
      <c r="S22">
        <f>SUM(N22:Q22)</f>
        <v>99.999999999999986</v>
      </c>
    </row>
    <row r="23" spans="12:19" x14ac:dyDescent="0.25">
      <c r="L23" s="83"/>
      <c r="M23" s="6"/>
      <c r="N23" s="9"/>
      <c r="O23" s="9"/>
      <c r="P23" s="9"/>
      <c r="Q23" s="9"/>
    </row>
    <row r="24" spans="12:19" x14ac:dyDescent="0.25">
      <c r="L24" s="83"/>
      <c r="M24" s="6" t="s">
        <v>31</v>
      </c>
      <c r="N24" s="9">
        <f>N$18-(0*N$18)</f>
        <v>35.624999999999993</v>
      </c>
      <c r="O24" s="9">
        <f>O$18+(O$18/($O$18+$Q$18))*(($N$18-$N24)+($P$18-$P24))</f>
        <v>17.5</v>
      </c>
      <c r="P24" s="9">
        <f>P$18-(0*P$18)</f>
        <v>30.208333333333329</v>
      </c>
      <c r="Q24" s="9">
        <f>Q$18+(Q$18/($O$18+$Q$18))*(($N$18-$N24)+($P$18-$P24))</f>
        <v>16.666666666666668</v>
      </c>
      <c r="S24">
        <f>SUM(N24:Q24)</f>
        <v>99.999999999999986</v>
      </c>
    </row>
    <row r="26" spans="12:19" x14ac:dyDescent="0.25">
      <c r="M26" t="s">
        <v>34</v>
      </c>
    </row>
    <row r="27" spans="12:19" x14ac:dyDescent="0.25">
      <c r="N27" s="52" t="s">
        <v>26</v>
      </c>
      <c r="O27" s="52" t="s">
        <v>27</v>
      </c>
      <c r="P27" s="52" t="s">
        <v>28</v>
      </c>
      <c r="Q27" s="52" t="s">
        <v>32</v>
      </c>
    </row>
    <row r="28" spans="12:19" x14ac:dyDescent="0.25">
      <c r="M28" t="s">
        <v>1</v>
      </c>
      <c r="N28" s="58">
        <f>N37</f>
        <v>35</v>
      </c>
      <c r="O28" s="58">
        <f t="shared" ref="O28:Q28" si="3">MROUND(O37,5)</f>
        <v>15</v>
      </c>
      <c r="P28" s="58">
        <v>10</v>
      </c>
      <c r="Q28" s="58">
        <f t="shared" si="3"/>
        <v>35</v>
      </c>
    </row>
    <row r="29" spans="12:19" x14ac:dyDescent="0.25">
      <c r="M29" t="s">
        <v>14</v>
      </c>
      <c r="N29" s="58">
        <f>N38</f>
        <v>20</v>
      </c>
      <c r="O29" s="58">
        <f t="shared" ref="O29:Q29" si="4">MROUND(O38,5)</f>
        <v>35</v>
      </c>
      <c r="P29" s="58">
        <f t="shared" si="4"/>
        <v>40</v>
      </c>
      <c r="Q29" s="58">
        <f t="shared" si="4"/>
        <v>20</v>
      </c>
    </row>
    <row r="30" spans="12:19" x14ac:dyDescent="0.25">
      <c r="M30" t="s">
        <v>2</v>
      </c>
      <c r="N30" s="58">
        <f>N39</f>
        <v>30</v>
      </c>
      <c r="O30" s="58">
        <f t="shared" ref="O30:Q30" si="5">MROUND(O39,5)</f>
        <v>20</v>
      </c>
      <c r="P30" s="58">
        <f t="shared" si="5"/>
        <v>15</v>
      </c>
      <c r="Q30" s="58">
        <f t="shared" si="5"/>
        <v>30</v>
      </c>
    </row>
    <row r="31" spans="12:19" x14ac:dyDescent="0.25">
      <c r="M31" t="s">
        <v>3</v>
      </c>
      <c r="N31" s="58">
        <f>N40</f>
        <v>15</v>
      </c>
      <c r="O31" s="58">
        <f t="shared" ref="O29:Q31" si="6">MROUND(O40,5)</f>
        <v>30</v>
      </c>
      <c r="P31" s="58">
        <f t="shared" si="6"/>
        <v>35</v>
      </c>
      <c r="Q31" s="58">
        <f t="shared" si="6"/>
        <v>15</v>
      </c>
    </row>
    <row r="32" spans="12:19" x14ac:dyDescent="0.25">
      <c r="N32" s="4"/>
      <c r="O32" s="4"/>
    </row>
    <row r="33" spans="13:20" x14ac:dyDescent="0.25">
      <c r="N33" s="58">
        <f>SUM(N28:N31)</f>
        <v>100</v>
      </c>
      <c r="O33" s="58">
        <f t="shared" ref="O33:Q33" si="7">SUM(O28:O31)</f>
        <v>100</v>
      </c>
      <c r="P33" s="58">
        <f t="shared" si="7"/>
        <v>100</v>
      </c>
      <c r="Q33" s="58">
        <f t="shared" si="7"/>
        <v>100</v>
      </c>
    </row>
    <row r="35" spans="13:20" x14ac:dyDescent="0.25">
      <c r="M35" t="s">
        <v>30</v>
      </c>
    </row>
    <row r="36" spans="13:20" x14ac:dyDescent="0.25">
      <c r="N36" s="52" t="s">
        <v>26</v>
      </c>
      <c r="O36" s="52" t="s">
        <v>27</v>
      </c>
      <c r="P36" s="52" t="s">
        <v>28</v>
      </c>
      <c r="Q36" s="52" t="s">
        <v>32</v>
      </c>
    </row>
    <row r="37" spans="13:20" x14ac:dyDescent="0.25">
      <c r="M37" t="s">
        <v>1</v>
      </c>
      <c r="N37" s="58">
        <v>35</v>
      </c>
      <c r="O37" s="59">
        <f>N37-O47</f>
        <v>16.296875000000004</v>
      </c>
      <c r="P37" s="59">
        <f>N37-P47</f>
        <v>12.734375000000004</v>
      </c>
      <c r="Q37" s="59">
        <f>N37-Q47</f>
        <v>35</v>
      </c>
    </row>
    <row r="38" spans="13:20" x14ac:dyDescent="0.25">
      <c r="M38" t="s">
        <v>14</v>
      </c>
      <c r="N38" s="58">
        <v>20</v>
      </c>
      <c r="O38" s="59">
        <f>N38-O48</f>
        <v>34.608231707317067</v>
      </c>
      <c r="P38" s="59">
        <f>N38-P48</f>
        <v>39.527439024390233</v>
      </c>
      <c r="Q38" s="59">
        <f>N38-Q48</f>
        <v>20</v>
      </c>
    </row>
    <row r="39" spans="13:20" x14ac:dyDescent="0.25">
      <c r="M39" t="s">
        <v>2</v>
      </c>
      <c r="N39" s="58">
        <v>30</v>
      </c>
      <c r="O39" s="59">
        <f>N39-O49</f>
        <v>20.182291666666668</v>
      </c>
      <c r="P39" s="59">
        <f>N39-P49</f>
        <v>14.140625000000002</v>
      </c>
      <c r="Q39" s="59">
        <f>N39-Q49</f>
        <v>30</v>
      </c>
    </row>
    <row r="40" spans="13:20" x14ac:dyDescent="0.25">
      <c r="M40" t="s">
        <v>3</v>
      </c>
      <c r="N40" s="58">
        <v>15</v>
      </c>
      <c r="O40" s="59">
        <f>N40-O50</f>
        <v>28.912601626016258</v>
      </c>
      <c r="P40" s="59">
        <f>N40-P50</f>
        <v>33.597560975609753</v>
      </c>
      <c r="Q40" s="59">
        <f>N40-Q50</f>
        <v>15</v>
      </c>
    </row>
    <row r="41" spans="13:20" x14ac:dyDescent="0.25">
      <c r="N41" s="4"/>
      <c r="O41" s="4"/>
    </row>
    <row r="42" spans="13:20" x14ac:dyDescent="0.25">
      <c r="N42" s="58">
        <f>SUM(N37:N40)</f>
        <v>100</v>
      </c>
      <c r="O42" s="58">
        <f t="shared" ref="O42:Q42" si="8">SUM(O37:O40)</f>
        <v>100</v>
      </c>
      <c r="P42" s="58">
        <f t="shared" si="8"/>
        <v>99.999999999999986</v>
      </c>
      <c r="Q42" s="58">
        <f t="shared" si="8"/>
        <v>100</v>
      </c>
    </row>
    <row r="43" spans="13:20" x14ac:dyDescent="0.25">
      <c r="N43" s="4"/>
    </row>
    <row r="45" spans="13:20" x14ac:dyDescent="0.25">
      <c r="M45" t="s">
        <v>29</v>
      </c>
      <c r="P45" s="4"/>
    </row>
    <row r="46" spans="13:20" x14ac:dyDescent="0.25">
      <c r="N46" s="52" t="s">
        <v>26</v>
      </c>
      <c r="O46" s="52" t="s">
        <v>27</v>
      </c>
      <c r="P46" s="52" t="s">
        <v>28</v>
      </c>
      <c r="Q46" s="52" t="s">
        <v>32</v>
      </c>
    </row>
    <row r="47" spans="13:20" x14ac:dyDescent="0.25">
      <c r="M47" t="s">
        <v>1</v>
      </c>
      <c r="N47" s="59">
        <f>N18</f>
        <v>35.624999999999993</v>
      </c>
      <c r="O47" s="59">
        <f>N18-N20</f>
        <v>18.703124999999996</v>
      </c>
      <c r="P47" s="59">
        <f>N18-N22</f>
        <v>22.265624999999996</v>
      </c>
      <c r="Q47" s="59">
        <f>N18-N24</f>
        <v>0</v>
      </c>
      <c r="T47" s="61"/>
    </row>
    <row r="48" spans="13:20" x14ac:dyDescent="0.25">
      <c r="M48" t="s">
        <v>14</v>
      </c>
      <c r="N48" s="59">
        <f>O18</f>
        <v>17.5</v>
      </c>
      <c r="O48" s="59">
        <f>O18-O20</f>
        <v>-14.608231707317067</v>
      </c>
      <c r="P48" s="59">
        <f>O18-O22</f>
        <v>-19.527439024390233</v>
      </c>
      <c r="Q48" s="59">
        <f>O18-O24</f>
        <v>0</v>
      </c>
      <c r="T48" s="61"/>
    </row>
    <row r="49" spans="13:20" x14ac:dyDescent="0.25">
      <c r="M49" t="s">
        <v>2</v>
      </c>
      <c r="N49" s="59">
        <f>P18</f>
        <v>30.208333333333329</v>
      </c>
      <c r="O49" s="59">
        <f>P18-P20</f>
        <v>9.8177083333333321</v>
      </c>
      <c r="P49" s="59">
        <f>P18-P22</f>
        <v>15.859374999999998</v>
      </c>
      <c r="Q49" s="59">
        <f>P18-P24</f>
        <v>0</v>
      </c>
      <c r="T49" s="61"/>
    </row>
    <row r="50" spans="13:20" x14ac:dyDescent="0.25">
      <c r="M50" t="s">
        <v>3</v>
      </c>
      <c r="N50" s="59">
        <f>Q18</f>
        <v>16.666666666666668</v>
      </c>
      <c r="O50" s="59">
        <f>Q18-Q20</f>
        <v>-13.912601626016258</v>
      </c>
      <c r="P50" s="59">
        <f>Q18-Q22</f>
        <v>-18.597560975609756</v>
      </c>
      <c r="Q50" s="59">
        <f>Q18-Q24</f>
        <v>0</v>
      </c>
      <c r="T50" s="61"/>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140625" customWidth="1"/>
    <col min="18" max="18" width="3.28515625" customWidth="1"/>
    <col min="19" max="19" width="5.7109375" customWidth="1"/>
  </cols>
  <sheetData>
    <row r="1" spans="1:19" x14ac:dyDescent="0.25">
      <c r="B1" s="80" t="s">
        <v>0</v>
      </c>
      <c r="C1" s="80"/>
      <c r="D1" s="80"/>
      <c r="F1" s="84" t="s">
        <v>19</v>
      </c>
      <c r="G1" s="84"/>
      <c r="H1" s="84"/>
      <c r="I1" s="84"/>
      <c r="J1" s="84"/>
      <c r="K1" s="84"/>
      <c r="N1" s="82" t="s">
        <v>20</v>
      </c>
      <c r="O1" s="82"/>
      <c r="P1" s="82"/>
      <c r="Q1" s="82"/>
      <c r="R1" s="82"/>
      <c r="S1" s="82"/>
    </row>
    <row r="3" spans="1:19" ht="15.75" thickBot="1" x14ac:dyDescent="0.3">
      <c r="B3" s="2" t="s">
        <v>1</v>
      </c>
      <c r="C3" s="2" t="s">
        <v>2</v>
      </c>
      <c r="D3" s="2" t="s">
        <v>3</v>
      </c>
      <c r="F3" s="2" t="s">
        <v>1</v>
      </c>
      <c r="G3" s="2" t="s">
        <v>14</v>
      </c>
      <c r="H3" s="2" t="s">
        <v>2</v>
      </c>
      <c r="I3" s="62" t="s">
        <v>3</v>
      </c>
      <c r="K3" s="73" t="s">
        <v>15</v>
      </c>
      <c r="L3" s="2"/>
      <c r="N3" s="2" t="s">
        <v>1</v>
      </c>
      <c r="O3" s="2" t="s">
        <v>14</v>
      </c>
      <c r="P3" s="2" t="s">
        <v>2</v>
      </c>
      <c r="Q3" s="2" t="s">
        <v>3</v>
      </c>
      <c r="S3" s="2" t="s">
        <v>15</v>
      </c>
    </row>
    <row r="4" spans="1:19" x14ac:dyDescent="0.25">
      <c r="A4" s="77" t="s">
        <v>4</v>
      </c>
      <c r="B4">
        <v>67</v>
      </c>
      <c r="C4">
        <v>33</v>
      </c>
      <c r="D4">
        <v>0</v>
      </c>
      <c r="F4" s="25">
        <v>20</v>
      </c>
      <c r="G4" s="26">
        <v>80</v>
      </c>
      <c r="H4" s="26">
        <v>0</v>
      </c>
      <c r="I4" s="27">
        <v>0</v>
      </c>
      <c r="K4">
        <f>SUM(F4:I4)</f>
        <v>100</v>
      </c>
      <c r="N4">
        <f t="shared" ref="N4:Q6" si="0">(100/9)*F4/100</f>
        <v>2.2222222222222223</v>
      </c>
      <c r="O4">
        <f t="shared" si="0"/>
        <v>8.8888888888888893</v>
      </c>
      <c r="P4">
        <f t="shared" si="0"/>
        <v>0</v>
      </c>
      <c r="Q4">
        <f t="shared" si="0"/>
        <v>0</v>
      </c>
      <c r="S4">
        <f>SUM(N4:Q4)</f>
        <v>11.111111111111111</v>
      </c>
    </row>
    <row r="5" spans="1:19" x14ac:dyDescent="0.25">
      <c r="A5" s="77"/>
      <c r="B5" s="1">
        <f>0.67*70</f>
        <v>46.900000000000006</v>
      </c>
      <c r="C5" s="1">
        <f>100-B5-D5</f>
        <v>23.099999999999994</v>
      </c>
      <c r="D5">
        <v>30</v>
      </c>
      <c r="F5" s="19">
        <f>F4/100*(100-H5-I5)</f>
        <v>17.5</v>
      </c>
      <c r="G5" s="14">
        <f>G4/100*(100-H5-I5)</f>
        <v>70</v>
      </c>
      <c r="H5" s="15">
        <v>0</v>
      </c>
      <c r="I5" s="28">
        <v>12.5</v>
      </c>
      <c r="K5">
        <f>SUM(F5:I5)</f>
        <v>100</v>
      </c>
      <c r="N5">
        <f t="shared" si="0"/>
        <v>1.9444444444444442</v>
      </c>
      <c r="O5">
        <f t="shared" si="0"/>
        <v>7.7777777777777768</v>
      </c>
      <c r="P5">
        <f t="shared" si="0"/>
        <v>0</v>
      </c>
      <c r="Q5">
        <f t="shared" si="0"/>
        <v>1.3888888888888888</v>
      </c>
      <c r="S5">
        <f>SUM(N5:Q5)</f>
        <v>11.111111111111111</v>
      </c>
    </row>
    <row r="6" spans="1:19" x14ac:dyDescent="0.25">
      <c r="A6" s="77"/>
      <c r="B6" s="1">
        <f>0.67*40</f>
        <v>26.8</v>
      </c>
      <c r="C6" s="1">
        <f>100-B6-D6</f>
        <v>13.200000000000003</v>
      </c>
      <c r="D6">
        <v>60</v>
      </c>
      <c r="F6" s="19">
        <f>F4/100*(100-H6-I6)</f>
        <v>15</v>
      </c>
      <c r="G6" s="14">
        <f>G4/100*(100-H6-I6)</f>
        <v>60</v>
      </c>
      <c r="H6" s="15">
        <v>0</v>
      </c>
      <c r="I6" s="28">
        <v>25</v>
      </c>
      <c r="K6">
        <f>SUM(F6:I6)</f>
        <v>100</v>
      </c>
      <c r="N6">
        <f t="shared" si="0"/>
        <v>1.6666666666666665</v>
      </c>
      <c r="O6">
        <f t="shared" si="0"/>
        <v>6.6666666666666661</v>
      </c>
      <c r="P6">
        <f t="shared" si="0"/>
        <v>0</v>
      </c>
      <c r="Q6">
        <f t="shared" si="0"/>
        <v>2.7777777777777777</v>
      </c>
      <c r="S6">
        <f>SUM(N6:Q6)</f>
        <v>11.111111111111111</v>
      </c>
    </row>
    <row r="7" spans="1:19" x14ac:dyDescent="0.25">
      <c r="A7" s="3"/>
      <c r="F7" s="20"/>
      <c r="G7" s="11"/>
      <c r="H7" s="12"/>
      <c r="I7" s="17"/>
    </row>
    <row r="8" spans="1:19" x14ac:dyDescent="0.25">
      <c r="A8" s="77" t="s">
        <v>5</v>
      </c>
      <c r="B8">
        <v>85</v>
      </c>
      <c r="C8">
        <v>15</v>
      </c>
      <c r="D8">
        <v>0</v>
      </c>
      <c r="F8" s="18">
        <v>40</v>
      </c>
      <c r="G8" s="13">
        <v>60</v>
      </c>
      <c r="H8" s="13">
        <v>0</v>
      </c>
      <c r="I8" s="17">
        <f>I4</f>
        <v>0</v>
      </c>
      <c r="K8">
        <f>SUM(F8:I8)</f>
        <v>100</v>
      </c>
      <c r="N8">
        <f t="shared" ref="N8:Q10" si="1">(100/9)*F8/100</f>
        <v>4.4444444444444446</v>
      </c>
      <c r="O8">
        <f t="shared" si="1"/>
        <v>6.6666666666666661</v>
      </c>
      <c r="P8">
        <f t="shared" si="1"/>
        <v>0</v>
      </c>
      <c r="Q8">
        <f t="shared" si="1"/>
        <v>0</v>
      </c>
      <c r="S8">
        <f>SUM(N8:Q8)</f>
        <v>11.111111111111111</v>
      </c>
    </row>
    <row r="9" spans="1:19" x14ac:dyDescent="0.25">
      <c r="A9" s="77"/>
      <c r="B9" s="1">
        <f>0.85*70</f>
        <v>59.5</v>
      </c>
      <c r="C9" s="1">
        <f>0.15*70</f>
        <v>10.5</v>
      </c>
      <c r="D9">
        <v>30</v>
      </c>
      <c r="F9" s="19">
        <f>F8/100*(100-H9-I9)</f>
        <v>35</v>
      </c>
      <c r="G9" s="14">
        <f>G8/100*(100-H9-I9)</f>
        <v>52.5</v>
      </c>
      <c r="H9" s="13">
        <f>SB_Low!H9</f>
        <v>0</v>
      </c>
      <c r="I9" s="17">
        <f>I5</f>
        <v>12.5</v>
      </c>
      <c r="K9">
        <f>SUM(F9:I9)</f>
        <v>100</v>
      </c>
      <c r="N9">
        <f t="shared" si="1"/>
        <v>3.8888888888888884</v>
      </c>
      <c r="O9">
        <f t="shared" si="1"/>
        <v>5.8333333333333321</v>
      </c>
      <c r="P9">
        <f t="shared" si="1"/>
        <v>0</v>
      </c>
      <c r="Q9">
        <f t="shared" si="1"/>
        <v>1.3888888888888888</v>
      </c>
      <c r="S9">
        <f>SUM(N9:Q9)</f>
        <v>11.111111111111111</v>
      </c>
    </row>
    <row r="10" spans="1:19" x14ac:dyDescent="0.25">
      <c r="A10" s="77"/>
      <c r="B10" s="1">
        <f>0.85*40</f>
        <v>34</v>
      </c>
      <c r="C10" s="1">
        <f>0.15*40</f>
        <v>6</v>
      </c>
      <c r="D10">
        <v>60</v>
      </c>
      <c r="F10" s="19">
        <f>F8/100*(100-H10-I10)</f>
        <v>30</v>
      </c>
      <c r="G10" s="14">
        <f>G8/100*(100-H10-I10)</f>
        <v>45</v>
      </c>
      <c r="H10" s="13">
        <f>SB_Low!H10</f>
        <v>0</v>
      </c>
      <c r="I10" s="17">
        <f>I6</f>
        <v>25</v>
      </c>
      <c r="K10">
        <f>SUM(F10:I10)</f>
        <v>100</v>
      </c>
      <c r="N10">
        <f t="shared" si="1"/>
        <v>3.333333333333333</v>
      </c>
      <c r="O10">
        <f t="shared" si="1"/>
        <v>5</v>
      </c>
      <c r="P10">
        <f t="shared" si="1"/>
        <v>0</v>
      </c>
      <c r="Q10">
        <f t="shared" si="1"/>
        <v>2.7777777777777777</v>
      </c>
      <c r="S10">
        <f>SUM(N10:Q10)</f>
        <v>11.111111111111111</v>
      </c>
    </row>
    <row r="11" spans="1:19" x14ac:dyDescent="0.25">
      <c r="A11" s="3"/>
      <c r="F11" s="16"/>
      <c r="G11" s="12"/>
      <c r="H11" s="12"/>
      <c r="I11" s="17"/>
    </row>
    <row r="12" spans="1:19" x14ac:dyDescent="0.25">
      <c r="A12" s="77" t="s">
        <v>6</v>
      </c>
      <c r="B12">
        <v>95</v>
      </c>
      <c r="C12">
        <v>5</v>
      </c>
      <c r="D12">
        <v>0</v>
      </c>
      <c r="F12" s="18">
        <v>50</v>
      </c>
      <c r="G12" s="13">
        <v>50</v>
      </c>
      <c r="H12" s="13">
        <v>0</v>
      </c>
      <c r="I12" s="17">
        <f>I4</f>
        <v>0</v>
      </c>
      <c r="K12">
        <f>SUM(F12:I12)</f>
        <v>100</v>
      </c>
      <c r="N12">
        <f t="shared" ref="N12:Q14" si="2">(100/9)*F12/100</f>
        <v>5.5555555555555554</v>
      </c>
      <c r="O12">
        <f t="shared" si="2"/>
        <v>5.5555555555555554</v>
      </c>
      <c r="P12">
        <f t="shared" si="2"/>
        <v>0</v>
      </c>
      <c r="Q12">
        <f t="shared" si="2"/>
        <v>0</v>
      </c>
      <c r="S12">
        <f>SUM(N12:Q12)</f>
        <v>11.111111111111111</v>
      </c>
    </row>
    <row r="13" spans="1:19" x14ac:dyDescent="0.25">
      <c r="A13" s="77"/>
      <c r="B13" s="1">
        <f>0.95*70</f>
        <v>66.5</v>
      </c>
      <c r="C13" s="1">
        <f>0.05*70</f>
        <v>3.5</v>
      </c>
      <c r="D13">
        <v>30</v>
      </c>
      <c r="F13" s="19">
        <f>F12/100*(100-H13-I13)</f>
        <v>43.75</v>
      </c>
      <c r="G13" s="14">
        <f>G12/100*(100-H13-I13)</f>
        <v>43.75</v>
      </c>
      <c r="H13" s="13">
        <f>SB_Low!H13</f>
        <v>0</v>
      </c>
      <c r="I13" s="17">
        <f>I5</f>
        <v>12.5</v>
      </c>
      <c r="K13">
        <f>SUM(F13:I13)</f>
        <v>100</v>
      </c>
      <c r="N13">
        <f t="shared" si="2"/>
        <v>4.8611111111111107</v>
      </c>
      <c r="O13">
        <f t="shared" si="2"/>
        <v>4.8611111111111107</v>
      </c>
      <c r="P13">
        <f t="shared" si="2"/>
        <v>0</v>
      </c>
      <c r="Q13">
        <f t="shared" si="2"/>
        <v>1.3888888888888888</v>
      </c>
      <c r="S13">
        <f>SUM(N13:Q13)</f>
        <v>11.111111111111111</v>
      </c>
    </row>
    <row r="14" spans="1:19" ht="15.75" thickBot="1" x14ac:dyDescent="0.3">
      <c r="A14" s="77"/>
      <c r="B14" s="1">
        <f>0.95*40</f>
        <v>38</v>
      </c>
      <c r="C14" s="1">
        <f>0.05*40</f>
        <v>2</v>
      </c>
      <c r="D14">
        <v>60</v>
      </c>
      <c r="F14" s="21">
        <f>F12/100*(100-H14-I14)</f>
        <v>37.5</v>
      </c>
      <c r="G14" s="22">
        <f>G12/100*(100-H14-I14)</f>
        <v>37.5</v>
      </c>
      <c r="H14" s="23">
        <f>SB_Low!H14</f>
        <v>0</v>
      </c>
      <c r="I14" s="24">
        <f>I6</f>
        <v>25</v>
      </c>
      <c r="K14">
        <f>SUM(F14:I14)</f>
        <v>100</v>
      </c>
      <c r="N14">
        <f t="shared" si="2"/>
        <v>4.1666666666666661</v>
      </c>
      <c r="O14">
        <f t="shared" si="2"/>
        <v>4.1666666666666661</v>
      </c>
      <c r="P14">
        <f t="shared" si="2"/>
        <v>0</v>
      </c>
      <c r="Q14">
        <f t="shared" si="2"/>
        <v>2.7777777777777777</v>
      </c>
      <c r="S14">
        <f>SUM(N14:Q14)</f>
        <v>11.111111111111111</v>
      </c>
    </row>
    <row r="16" spans="1:19" x14ac:dyDescent="0.25">
      <c r="M16" s="8" t="s">
        <v>15</v>
      </c>
      <c r="N16" s="4">
        <f>SUM(N4:N14)</f>
        <v>32.083333333333329</v>
      </c>
      <c r="O16" s="4">
        <f>SUM(O4:O14)</f>
        <v>55.416666666666664</v>
      </c>
      <c r="P16" s="4">
        <f>SUM(P4:P14)</f>
        <v>0</v>
      </c>
      <c r="Q16" s="4">
        <f>SUM(Q4:Q14)</f>
        <v>12.5</v>
      </c>
    </row>
    <row r="17" spans="12:19" x14ac:dyDescent="0.25">
      <c r="S17" s="2" t="s">
        <v>15</v>
      </c>
    </row>
    <row r="18" spans="12:19" x14ac:dyDescent="0.25">
      <c r="L18" s="83"/>
      <c r="M18" s="6" t="s">
        <v>16</v>
      </c>
      <c r="N18" s="9">
        <f>N16</f>
        <v>32.083333333333329</v>
      </c>
      <c r="O18" s="9">
        <f>O16</f>
        <v>55.416666666666664</v>
      </c>
      <c r="P18" s="9">
        <f>P16</f>
        <v>0</v>
      </c>
      <c r="Q18" s="9">
        <f>Q16</f>
        <v>12.5</v>
      </c>
      <c r="S18">
        <f>SUM(N18:Q18)</f>
        <v>100</v>
      </c>
    </row>
    <row r="19" spans="12:19" x14ac:dyDescent="0.25">
      <c r="L19" s="83"/>
      <c r="M19" s="6"/>
      <c r="N19" s="7"/>
      <c r="O19" s="7"/>
      <c r="P19" s="7"/>
      <c r="Q19" s="7"/>
    </row>
    <row r="20" spans="12:19" x14ac:dyDescent="0.25">
      <c r="L20" s="83"/>
      <c r="M20" s="6" t="s">
        <v>18</v>
      </c>
      <c r="N20" s="9">
        <f>N$18-(0*N$18)</f>
        <v>32.083333333333329</v>
      </c>
      <c r="O20" s="9">
        <f>O$18+(O$18/($O$18+$Q$18))*(($N$18-$N20)+($P$18-$P20))</f>
        <v>55.416666666666664</v>
      </c>
      <c r="P20" s="9">
        <f>P$18-(0*P$18)</f>
        <v>0</v>
      </c>
      <c r="Q20" s="9">
        <f>Q$18+(Q$18/($O$18+$Q$18))*(($N$18-$N20)+($P$18-$P20))</f>
        <v>12.5</v>
      </c>
      <c r="S20">
        <f>SUM(N20:Q20)</f>
        <v>100</v>
      </c>
    </row>
    <row r="21" spans="12:19" x14ac:dyDescent="0.25">
      <c r="L21" s="83"/>
      <c r="M21" s="6"/>
      <c r="N21" s="9"/>
      <c r="O21" s="9"/>
      <c r="P21" s="9"/>
      <c r="Q21" s="9"/>
    </row>
    <row r="22" spans="12:19" x14ac:dyDescent="0.25">
      <c r="L22" s="83"/>
      <c r="M22" s="6" t="s">
        <v>17</v>
      </c>
      <c r="N22" s="9">
        <f>N$18-(0.05*N$18)</f>
        <v>30.479166666666661</v>
      </c>
      <c r="O22" s="9">
        <f>O$18+(O$18/($O$18+$Q$18))*(($N$18-$N22)+($P$18-$P22))</f>
        <v>56.725587934560323</v>
      </c>
      <c r="P22" s="9">
        <f>P$18-(0*P$18)</f>
        <v>0</v>
      </c>
      <c r="Q22" s="9">
        <f>Q$18+(Q$18/($O$18+$Q$18))*(($N$18-$N22)+($P$18-$P22))</f>
        <v>12.795245398773007</v>
      </c>
      <c r="S22">
        <f>SUM(N22:Q22)</f>
        <v>99.999999999999986</v>
      </c>
    </row>
    <row r="23" spans="12:19" x14ac:dyDescent="0.25">
      <c r="L23" s="83"/>
      <c r="M23" s="6"/>
      <c r="N23" s="9"/>
      <c r="O23" s="9"/>
      <c r="P23" s="9"/>
      <c r="Q23" s="9"/>
    </row>
    <row r="24" spans="12:19" x14ac:dyDescent="0.25">
      <c r="L24" s="83"/>
      <c r="M24" s="6" t="s">
        <v>31</v>
      </c>
      <c r="N24" s="9">
        <f>N$18-(0*N$18)</f>
        <v>32.083333333333329</v>
      </c>
      <c r="O24" s="9">
        <f>O$18+(O$18/($O$18+$Q$18))*(($N$18-$N24)+($P$18-$P24))</f>
        <v>55.416666666666664</v>
      </c>
      <c r="P24" s="9">
        <f>P$18-(0*P$18)</f>
        <v>0</v>
      </c>
      <c r="Q24" s="9">
        <f>Q$18+(Q$18/($O$18+$Q$18))*(($N$18-$N24)+($P$18-$P24))</f>
        <v>12.5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35</v>
      </c>
      <c r="O28" s="58">
        <f t="shared" ref="O28:O29" si="3">MROUND(O37,5)</f>
        <v>35</v>
      </c>
      <c r="P28" s="58">
        <f t="shared" ref="P28:Q28" si="4">MROUND(P37,5)</f>
        <v>35</v>
      </c>
      <c r="Q28" s="58">
        <f t="shared" si="4"/>
        <v>35</v>
      </c>
    </row>
    <row r="29" spans="12:19" x14ac:dyDescent="0.25">
      <c r="M29" t="s">
        <v>14</v>
      </c>
      <c r="N29" s="58">
        <f>N38</f>
        <v>55</v>
      </c>
      <c r="O29" s="58">
        <f t="shared" si="3"/>
        <v>55</v>
      </c>
      <c r="P29" s="58">
        <f t="shared" ref="P29:Q29" si="5">MROUND(P38,5)</f>
        <v>55</v>
      </c>
      <c r="Q29" s="58">
        <f t="shared" si="5"/>
        <v>55</v>
      </c>
    </row>
    <row r="30" spans="12:19" x14ac:dyDescent="0.25">
      <c r="M30" t="s">
        <v>2</v>
      </c>
      <c r="N30" s="58">
        <f>N39</f>
        <v>0</v>
      </c>
      <c r="O30" s="58">
        <f t="shared" ref="O30" si="6">MROUND(O39,5)</f>
        <v>0</v>
      </c>
      <c r="P30" s="58">
        <f t="shared" ref="P30:Q30" si="7">MROUND(P39,5)</f>
        <v>0</v>
      </c>
      <c r="Q30" s="58">
        <f t="shared" si="7"/>
        <v>0</v>
      </c>
    </row>
    <row r="31" spans="12:19" x14ac:dyDescent="0.25">
      <c r="M31" t="s">
        <v>3</v>
      </c>
      <c r="N31" s="58">
        <f>N40</f>
        <v>10</v>
      </c>
      <c r="O31" s="58">
        <f t="shared" ref="O31" si="8">MROUND(O40,5)</f>
        <v>10</v>
      </c>
      <c r="P31" s="58">
        <f t="shared" ref="P31:Q31" si="9">MROUND(P40,5)</f>
        <v>10</v>
      </c>
      <c r="Q31" s="58">
        <f t="shared" si="9"/>
        <v>10</v>
      </c>
    </row>
    <row r="32" spans="12:19" x14ac:dyDescent="0.25">
      <c r="N32" s="4"/>
      <c r="O32" s="4"/>
    </row>
    <row r="33" spans="13:17" x14ac:dyDescent="0.25">
      <c r="N33" s="58">
        <f>SUM(N28:N31)</f>
        <v>100</v>
      </c>
      <c r="O33" s="58">
        <f t="shared" ref="O33:Q33" si="10">SUM(O28:O31)</f>
        <v>100</v>
      </c>
      <c r="P33" s="58">
        <f t="shared" si="10"/>
        <v>100</v>
      </c>
      <c r="Q33" s="58">
        <f t="shared" si="10"/>
        <v>100</v>
      </c>
    </row>
    <row r="35" spans="13:17" x14ac:dyDescent="0.25">
      <c r="M35" t="s">
        <v>30</v>
      </c>
    </row>
    <row r="36" spans="13:17" x14ac:dyDescent="0.25">
      <c r="N36" s="52" t="s">
        <v>26</v>
      </c>
      <c r="O36" s="52" t="s">
        <v>27</v>
      </c>
      <c r="P36" s="52" t="s">
        <v>28</v>
      </c>
      <c r="Q36" s="52" t="s">
        <v>32</v>
      </c>
    </row>
    <row r="37" spans="13:17" x14ac:dyDescent="0.25">
      <c r="M37" t="s">
        <v>1</v>
      </c>
      <c r="N37" s="58">
        <v>35</v>
      </c>
      <c r="O37" s="59">
        <f>N37-O47</f>
        <v>35</v>
      </c>
      <c r="P37" s="59">
        <f>N37-P47</f>
        <v>33.395833333333329</v>
      </c>
      <c r="Q37" s="59">
        <f>N37-Q47</f>
        <v>35</v>
      </c>
    </row>
    <row r="38" spans="13:17" x14ac:dyDescent="0.25">
      <c r="M38" t="s">
        <v>14</v>
      </c>
      <c r="N38" s="58">
        <v>55</v>
      </c>
      <c r="O38" s="59">
        <f>N38-O48</f>
        <v>55</v>
      </c>
      <c r="P38" s="59">
        <f>N38-P48</f>
        <v>56.308921267893659</v>
      </c>
      <c r="Q38" s="59">
        <f>N38-Q48</f>
        <v>55</v>
      </c>
    </row>
    <row r="39" spans="13:17" x14ac:dyDescent="0.25">
      <c r="M39" t="s">
        <v>2</v>
      </c>
      <c r="N39" s="58">
        <v>0</v>
      </c>
      <c r="O39" s="59">
        <f>N39-O49</f>
        <v>0</v>
      </c>
      <c r="P39" s="59">
        <f>N39-P49</f>
        <v>0</v>
      </c>
      <c r="Q39" s="59">
        <f>N39-Q49</f>
        <v>0</v>
      </c>
    </row>
    <row r="40" spans="13:17" x14ac:dyDescent="0.25">
      <c r="M40" t="s">
        <v>3</v>
      </c>
      <c r="N40" s="58">
        <v>10</v>
      </c>
      <c r="O40" s="59">
        <f>N40-O50</f>
        <v>10</v>
      </c>
      <c r="P40" s="59">
        <f>N40-P50</f>
        <v>10.295245398773007</v>
      </c>
      <c r="Q40" s="59">
        <f>N40-Q50</f>
        <v>10</v>
      </c>
    </row>
    <row r="41" spans="13:17" x14ac:dyDescent="0.25">
      <c r="N41" s="4"/>
      <c r="O41" s="4"/>
    </row>
    <row r="42" spans="13:17" x14ac:dyDescent="0.25">
      <c r="N42" s="58">
        <f>SUM(N37:N40)</f>
        <v>100</v>
      </c>
      <c r="O42" s="58">
        <f t="shared" ref="O42:Q42" si="11">SUM(O37:O40)</f>
        <v>100</v>
      </c>
      <c r="P42" s="58">
        <f t="shared" si="11"/>
        <v>100</v>
      </c>
      <c r="Q42" s="58">
        <f t="shared" si="11"/>
        <v>100</v>
      </c>
    </row>
    <row r="43" spans="13:17" x14ac:dyDescent="0.25">
      <c r="N43" s="4"/>
    </row>
    <row r="45" spans="13:17" x14ac:dyDescent="0.25">
      <c r="M45" t="s">
        <v>29</v>
      </c>
      <c r="P45" s="4"/>
    </row>
    <row r="46" spans="13:17" x14ac:dyDescent="0.25">
      <c r="N46" s="52" t="s">
        <v>26</v>
      </c>
      <c r="O46" s="52" t="s">
        <v>27</v>
      </c>
      <c r="P46" s="52" t="s">
        <v>28</v>
      </c>
      <c r="Q46" s="52" t="s">
        <v>32</v>
      </c>
    </row>
    <row r="47" spans="13:17" x14ac:dyDescent="0.25">
      <c r="M47" t="s">
        <v>1</v>
      </c>
      <c r="N47" s="59">
        <f>N18</f>
        <v>32.083333333333329</v>
      </c>
      <c r="O47" s="59">
        <f>N18-N20</f>
        <v>0</v>
      </c>
      <c r="P47" s="59">
        <f>N18-N22</f>
        <v>1.6041666666666679</v>
      </c>
      <c r="Q47" s="59">
        <f>N18-N24</f>
        <v>0</v>
      </c>
    </row>
    <row r="48" spans="13:17" x14ac:dyDescent="0.25">
      <c r="M48" t="s">
        <v>14</v>
      </c>
      <c r="N48" s="59">
        <f>O18</f>
        <v>55.416666666666664</v>
      </c>
      <c r="O48" s="59">
        <f>O18-O20</f>
        <v>0</v>
      </c>
      <c r="P48" s="59">
        <f>O18-O22</f>
        <v>-1.308921267893659</v>
      </c>
      <c r="Q48" s="59">
        <f>O18-O24</f>
        <v>0</v>
      </c>
    </row>
    <row r="49" spans="13:17" x14ac:dyDescent="0.25">
      <c r="M49" t="s">
        <v>2</v>
      </c>
      <c r="N49" s="59">
        <f>P18</f>
        <v>0</v>
      </c>
      <c r="O49" s="59">
        <f>P18-P20</f>
        <v>0</v>
      </c>
      <c r="P49" s="59">
        <f>P18-P22</f>
        <v>0</v>
      </c>
      <c r="Q49" s="59">
        <f>P18-P24</f>
        <v>0</v>
      </c>
    </row>
    <row r="50" spans="13:17" x14ac:dyDescent="0.25">
      <c r="M50" t="s">
        <v>3</v>
      </c>
      <c r="N50" s="59">
        <f>Q18</f>
        <v>12.5</v>
      </c>
      <c r="O50" s="59">
        <f>Q18-Q20</f>
        <v>0</v>
      </c>
      <c r="P50" s="59">
        <f>Q18-Q22</f>
        <v>-0.29524539877300704</v>
      </c>
      <c r="Q50" s="59">
        <f>Q18-Q24</f>
        <v>0</v>
      </c>
    </row>
  </sheetData>
  <mergeCells count="7">
    <mergeCell ref="N1:S1"/>
    <mergeCell ref="L18:L24"/>
    <mergeCell ref="B1:D1"/>
    <mergeCell ref="A4:A6"/>
    <mergeCell ref="A8:A10"/>
    <mergeCell ref="A12:A14"/>
    <mergeCell ref="F1:K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7109375" customWidth="1"/>
    <col min="18" max="18" width="4.42578125" customWidth="1"/>
    <col min="19" max="19" width="6.140625" customWidth="1"/>
  </cols>
  <sheetData>
    <row r="1" spans="1:19" x14ac:dyDescent="0.25">
      <c r="B1" s="81" t="s">
        <v>7</v>
      </c>
      <c r="C1" s="81"/>
      <c r="D1" s="81"/>
      <c r="F1" s="85" t="s">
        <v>19</v>
      </c>
      <c r="G1" s="85"/>
      <c r="H1" s="85"/>
      <c r="I1" s="85"/>
      <c r="J1" s="85"/>
      <c r="K1" s="85"/>
      <c r="L1" s="72"/>
      <c r="N1" s="82" t="s">
        <v>20</v>
      </c>
      <c r="O1" s="82"/>
      <c r="P1" s="82"/>
      <c r="Q1" s="82"/>
      <c r="R1" s="82"/>
      <c r="S1" s="82"/>
    </row>
    <row r="3" spans="1:19" ht="15.75" thickBot="1" x14ac:dyDescent="0.3">
      <c r="B3" s="2" t="s">
        <v>1</v>
      </c>
      <c r="C3" s="2" t="s">
        <v>2</v>
      </c>
      <c r="D3" s="2" t="s">
        <v>3</v>
      </c>
      <c r="F3" s="2" t="s">
        <v>1</v>
      </c>
      <c r="G3" s="2" t="s">
        <v>14</v>
      </c>
      <c r="H3" s="2" t="s">
        <v>2</v>
      </c>
      <c r="I3" s="62" t="s">
        <v>3</v>
      </c>
      <c r="K3" s="73" t="s">
        <v>15</v>
      </c>
      <c r="L3" s="2"/>
      <c r="N3" s="2" t="s">
        <v>1</v>
      </c>
      <c r="O3" s="2" t="s">
        <v>14</v>
      </c>
      <c r="P3" s="2" t="s">
        <v>2</v>
      </c>
      <c r="Q3" s="2" t="s">
        <v>3</v>
      </c>
      <c r="S3" s="2" t="s">
        <v>15</v>
      </c>
    </row>
    <row r="4" spans="1:19" x14ac:dyDescent="0.25">
      <c r="A4" s="77" t="s">
        <v>4</v>
      </c>
      <c r="B4">
        <v>33</v>
      </c>
      <c r="C4">
        <v>67</v>
      </c>
      <c r="D4">
        <v>0</v>
      </c>
      <c r="F4" s="53">
        <v>0</v>
      </c>
      <c r="G4" s="54">
        <v>90</v>
      </c>
      <c r="H4" s="54">
        <v>10</v>
      </c>
      <c r="I4" s="48">
        <v>0</v>
      </c>
      <c r="K4">
        <f>SUM(F4:I4)</f>
        <v>100</v>
      </c>
      <c r="N4">
        <f t="shared" ref="N4:Q6" si="0">(100/9)*F4/100</f>
        <v>0</v>
      </c>
      <c r="O4">
        <f t="shared" si="0"/>
        <v>10</v>
      </c>
      <c r="P4">
        <f t="shared" si="0"/>
        <v>1.1111111111111112</v>
      </c>
      <c r="Q4">
        <f t="shared" si="0"/>
        <v>0</v>
      </c>
      <c r="S4">
        <f>SUM(N4:Q4)</f>
        <v>11.111111111111111</v>
      </c>
    </row>
    <row r="5" spans="1:19" x14ac:dyDescent="0.25">
      <c r="A5" s="77"/>
      <c r="B5" s="1">
        <f>0.33*70</f>
        <v>23.1</v>
      </c>
      <c r="C5" s="1">
        <f>0.67*70</f>
        <v>46.900000000000006</v>
      </c>
      <c r="D5">
        <v>30</v>
      </c>
      <c r="F5" s="55">
        <v>0</v>
      </c>
      <c r="G5" s="11">
        <f>($G$4/($G$4+$H$4))*(100-F5-I5)</f>
        <v>78.75</v>
      </c>
      <c r="H5" s="11">
        <f>($H$4/($G$4+$H$4))*(100-F5-I5)</f>
        <v>8.75</v>
      </c>
      <c r="I5" s="49">
        <v>12.5</v>
      </c>
      <c r="K5">
        <f>SUM(F5:I5)</f>
        <v>100</v>
      </c>
      <c r="N5">
        <f t="shared" si="0"/>
        <v>0</v>
      </c>
      <c r="O5">
        <f t="shared" si="0"/>
        <v>8.75</v>
      </c>
      <c r="P5">
        <f t="shared" si="0"/>
        <v>0.9722222222222221</v>
      </c>
      <c r="Q5">
        <f t="shared" si="0"/>
        <v>1.3888888888888888</v>
      </c>
      <c r="S5">
        <f>SUM(N5:Q5)</f>
        <v>11.111111111111111</v>
      </c>
    </row>
    <row r="6" spans="1:19" x14ac:dyDescent="0.25">
      <c r="A6" s="77"/>
      <c r="B6" s="1">
        <f>0.33*40</f>
        <v>13.200000000000001</v>
      </c>
      <c r="C6" s="1">
        <f>0.67*40</f>
        <v>26.8</v>
      </c>
      <c r="D6">
        <v>60</v>
      </c>
      <c r="F6" s="55">
        <v>0</v>
      </c>
      <c r="G6" s="11">
        <f>($G$4/($G$4+$H$4))*(100-F6-I6)</f>
        <v>67.5</v>
      </c>
      <c r="H6" s="11">
        <f>($H$4/($G$4+$H$4))*(100-F6-I6)</f>
        <v>7.5</v>
      </c>
      <c r="I6" s="49">
        <v>25</v>
      </c>
      <c r="K6">
        <f>SUM(F6:I6)</f>
        <v>100</v>
      </c>
      <c r="N6">
        <f t="shared" si="0"/>
        <v>0</v>
      </c>
      <c r="O6">
        <f t="shared" si="0"/>
        <v>7.5</v>
      </c>
      <c r="P6">
        <f t="shared" si="0"/>
        <v>0.83333333333333326</v>
      </c>
      <c r="Q6">
        <f t="shared" si="0"/>
        <v>2.7777777777777777</v>
      </c>
      <c r="S6">
        <f>SUM(N6:Q6)</f>
        <v>11.111111111111111</v>
      </c>
    </row>
    <row r="7" spans="1:19" x14ac:dyDescent="0.25">
      <c r="A7" s="3"/>
      <c r="F7" s="20"/>
      <c r="G7" s="11"/>
      <c r="H7" s="12"/>
      <c r="I7" s="17"/>
    </row>
    <row r="8" spans="1:19" x14ac:dyDescent="0.25">
      <c r="A8" s="77" t="s">
        <v>5</v>
      </c>
      <c r="B8">
        <v>15</v>
      </c>
      <c r="C8">
        <v>85</v>
      </c>
      <c r="D8">
        <v>0</v>
      </c>
      <c r="F8" s="55">
        <v>0</v>
      </c>
      <c r="G8" s="56">
        <f>100-H8-I8</f>
        <v>70</v>
      </c>
      <c r="H8" s="56">
        <v>30</v>
      </c>
      <c r="I8" s="17">
        <f>I4</f>
        <v>0</v>
      </c>
      <c r="K8">
        <f>SUM(F8:I8)</f>
        <v>100</v>
      </c>
      <c r="N8">
        <f t="shared" ref="N8:Q10" si="1">(100/9)*F8/100</f>
        <v>0</v>
      </c>
      <c r="O8">
        <f t="shared" si="1"/>
        <v>7.7777777777777768</v>
      </c>
      <c r="P8">
        <f t="shared" si="1"/>
        <v>3.333333333333333</v>
      </c>
      <c r="Q8">
        <f t="shared" si="1"/>
        <v>0</v>
      </c>
      <c r="S8">
        <f>SUM(N8:Q8)</f>
        <v>11.111111111111111</v>
      </c>
    </row>
    <row r="9" spans="1:19" x14ac:dyDescent="0.25">
      <c r="A9" s="77"/>
      <c r="B9" s="1">
        <f>0.15*70</f>
        <v>10.5</v>
      </c>
      <c r="C9" s="1">
        <f>0.85*70</f>
        <v>59.5</v>
      </c>
      <c r="D9">
        <v>30</v>
      </c>
      <c r="F9" s="55">
        <v>0</v>
      </c>
      <c r="G9" s="11">
        <f>($G8/100)*(100-$I9)</f>
        <v>61.249999999999993</v>
      </c>
      <c r="H9" s="11">
        <f>($H8/100)*(100-$I9)</f>
        <v>26.25</v>
      </c>
      <c r="I9" s="17">
        <f>I5</f>
        <v>12.5</v>
      </c>
      <c r="K9">
        <f>SUM(F9:I9)</f>
        <v>100</v>
      </c>
      <c r="N9">
        <f t="shared" si="1"/>
        <v>0</v>
      </c>
      <c r="O9">
        <f t="shared" si="1"/>
        <v>6.8055555555555545</v>
      </c>
      <c r="P9">
        <f t="shared" si="1"/>
        <v>2.9166666666666661</v>
      </c>
      <c r="Q9">
        <f t="shared" si="1"/>
        <v>1.3888888888888888</v>
      </c>
      <c r="S9">
        <f>SUM(N9:Q9)</f>
        <v>11.111111111111111</v>
      </c>
    </row>
    <row r="10" spans="1:19" x14ac:dyDescent="0.25">
      <c r="A10" s="77"/>
      <c r="B10" s="1">
        <f>0.15*40</f>
        <v>6</v>
      </c>
      <c r="C10" s="1">
        <f>0.85*40</f>
        <v>34</v>
      </c>
      <c r="D10">
        <v>60</v>
      </c>
      <c r="F10" s="55">
        <v>0</v>
      </c>
      <c r="G10" s="11">
        <f>($G8/100)*(100-$I10)</f>
        <v>52.5</v>
      </c>
      <c r="H10" s="11">
        <f>($H8/100)*(100-$I10)</f>
        <v>22.5</v>
      </c>
      <c r="I10" s="17">
        <f>I6</f>
        <v>25</v>
      </c>
      <c r="K10">
        <f>SUM(F10:I10)</f>
        <v>100</v>
      </c>
      <c r="N10">
        <f t="shared" si="1"/>
        <v>0</v>
      </c>
      <c r="O10">
        <f t="shared" si="1"/>
        <v>5.8333333333333321</v>
      </c>
      <c r="P10">
        <f t="shared" si="1"/>
        <v>2.5</v>
      </c>
      <c r="Q10">
        <f t="shared" si="1"/>
        <v>2.7777777777777777</v>
      </c>
      <c r="S10">
        <f>SUM(N10:Q10)</f>
        <v>11.111111111111111</v>
      </c>
    </row>
    <row r="11" spans="1:19" x14ac:dyDescent="0.25">
      <c r="A11" s="3"/>
      <c r="F11" s="16"/>
      <c r="G11" s="12"/>
      <c r="H11" s="12"/>
      <c r="I11" s="17"/>
    </row>
    <row r="12" spans="1:19" x14ac:dyDescent="0.25">
      <c r="A12" s="77" t="s">
        <v>6</v>
      </c>
      <c r="B12">
        <v>5</v>
      </c>
      <c r="C12">
        <v>95</v>
      </c>
      <c r="D12">
        <v>0</v>
      </c>
      <c r="F12" s="55">
        <v>0</v>
      </c>
      <c r="G12" s="56">
        <f>100-H12-I12</f>
        <v>60</v>
      </c>
      <c r="H12" s="56">
        <v>40</v>
      </c>
      <c r="I12" s="17">
        <f>I4</f>
        <v>0</v>
      </c>
      <c r="K12">
        <f>SUM(F12:I12)</f>
        <v>100</v>
      </c>
      <c r="N12">
        <f t="shared" ref="N12:Q14" si="2">(100/9)*F12/100</f>
        <v>0</v>
      </c>
      <c r="O12">
        <f t="shared" si="2"/>
        <v>6.6666666666666661</v>
      </c>
      <c r="P12">
        <f t="shared" si="2"/>
        <v>4.4444444444444446</v>
      </c>
      <c r="Q12">
        <f t="shared" si="2"/>
        <v>0</v>
      </c>
      <c r="S12">
        <f>SUM(N12:Q12)</f>
        <v>11.111111111111111</v>
      </c>
    </row>
    <row r="13" spans="1:19" x14ac:dyDescent="0.25">
      <c r="A13" s="77"/>
      <c r="B13" s="1">
        <f>0.05*70</f>
        <v>3.5</v>
      </c>
      <c r="C13" s="1">
        <f>0.95*70</f>
        <v>66.5</v>
      </c>
      <c r="D13">
        <v>30</v>
      </c>
      <c r="F13" s="55">
        <v>0</v>
      </c>
      <c r="G13" s="11">
        <f>($G12/100)*(100-$I13)</f>
        <v>52.5</v>
      </c>
      <c r="H13" s="11">
        <f>($H12/100)*(100-$I13)</f>
        <v>35</v>
      </c>
      <c r="I13" s="17">
        <f>I5</f>
        <v>12.5</v>
      </c>
      <c r="K13">
        <f>SUM(F13:I13)</f>
        <v>100</v>
      </c>
      <c r="N13">
        <f t="shared" si="2"/>
        <v>0</v>
      </c>
      <c r="O13">
        <f t="shared" si="2"/>
        <v>5.8333333333333321</v>
      </c>
      <c r="P13">
        <f t="shared" si="2"/>
        <v>3.8888888888888884</v>
      </c>
      <c r="Q13">
        <f t="shared" si="2"/>
        <v>1.3888888888888888</v>
      </c>
      <c r="S13">
        <f>SUM(N13:Q13)</f>
        <v>11.111111111111111</v>
      </c>
    </row>
    <row r="14" spans="1:19" ht="15.75" thickBot="1" x14ac:dyDescent="0.3">
      <c r="A14" s="77"/>
      <c r="B14" s="1">
        <f>0.05*40</f>
        <v>2</v>
      </c>
      <c r="C14" s="1">
        <f>0.95*40</f>
        <v>38</v>
      </c>
      <c r="D14">
        <v>60</v>
      </c>
      <c r="F14" s="57">
        <v>0</v>
      </c>
      <c r="G14" s="31">
        <f>($G12/100)*(100-$I14)</f>
        <v>45</v>
      </c>
      <c r="H14" s="31">
        <f>($H12/100)*(100-$I14)</f>
        <v>30</v>
      </c>
      <c r="I14" s="24">
        <f>I6</f>
        <v>25</v>
      </c>
      <c r="K14">
        <f>SUM(F14:I14)</f>
        <v>100</v>
      </c>
      <c r="N14">
        <f t="shared" si="2"/>
        <v>0</v>
      </c>
      <c r="O14">
        <f t="shared" si="2"/>
        <v>5</v>
      </c>
      <c r="P14">
        <f t="shared" si="2"/>
        <v>3.333333333333333</v>
      </c>
      <c r="Q14">
        <f t="shared" si="2"/>
        <v>2.7777777777777777</v>
      </c>
      <c r="S14">
        <f>SUM(N14:Q14)</f>
        <v>11.111111111111111</v>
      </c>
    </row>
    <row r="16" spans="1:19" x14ac:dyDescent="0.25">
      <c r="M16" s="8" t="s">
        <v>15</v>
      </c>
      <c r="N16" s="4">
        <f>SUM(N4:N14)</f>
        <v>0</v>
      </c>
      <c r="O16" s="4">
        <f>SUM(O4:O14)</f>
        <v>64.166666666666671</v>
      </c>
      <c r="P16" s="4">
        <f>SUM(P4:P14)</f>
        <v>23.333333333333329</v>
      </c>
      <c r="Q16" s="4">
        <f>SUM(Q4:Q14)</f>
        <v>12.5</v>
      </c>
    </row>
    <row r="17" spans="12:19" x14ac:dyDescent="0.25">
      <c r="S17" s="2" t="s">
        <v>15</v>
      </c>
    </row>
    <row r="18" spans="12:19" x14ac:dyDescent="0.25">
      <c r="L18" s="83"/>
      <c r="M18" s="6" t="s">
        <v>16</v>
      </c>
      <c r="N18" s="9">
        <f>N16</f>
        <v>0</v>
      </c>
      <c r="O18" s="9">
        <f>O16</f>
        <v>64.166666666666671</v>
      </c>
      <c r="P18" s="9">
        <f>P16</f>
        <v>23.333333333333329</v>
      </c>
      <c r="Q18" s="9">
        <f>Q16</f>
        <v>12.5</v>
      </c>
      <c r="S18">
        <f>SUM(N18:Q18)</f>
        <v>100</v>
      </c>
    </row>
    <row r="19" spans="12:19" x14ac:dyDescent="0.25">
      <c r="L19" s="83"/>
      <c r="M19" s="6"/>
      <c r="N19" s="9"/>
      <c r="O19" s="9"/>
      <c r="P19" s="9"/>
      <c r="Q19" s="9"/>
    </row>
    <row r="20" spans="12:19" x14ac:dyDescent="0.25">
      <c r="L20" s="83"/>
      <c r="M20" s="6" t="s">
        <v>18</v>
      </c>
      <c r="N20" s="9">
        <f>N$18-(0*N$18)</f>
        <v>0</v>
      </c>
      <c r="O20" s="9">
        <f>O$18+(O$18/($O$18+$Q$18))*(($N$18-$N20)+($P$18-$P20))</f>
        <v>64.166666666666671</v>
      </c>
      <c r="P20" s="9">
        <f>P$18-(0*P$18)</f>
        <v>23.333333333333329</v>
      </c>
      <c r="Q20" s="9">
        <f>Q$18+(Q$18/($O$18+$Q$18))*(($N$18-$N20)+($P$18-$P20))</f>
        <v>12.5</v>
      </c>
      <c r="S20">
        <f>SUM(N20:Q20)</f>
        <v>100</v>
      </c>
    </row>
    <row r="21" spans="12:19" x14ac:dyDescent="0.25">
      <c r="L21" s="83"/>
      <c r="M21" s="6"/>
      <c r="N21" s="9"/>
      <c r="O21" s="9"/>
      <c r="P21" s="9"/>
      <c r="Q21" s="9"/>
    </row>
    <row r="22" spans="12:19" x14ac:dyDescent="0.25">
      <c r="L22" s="83"/>
      <c r="M22" s="6" t="s">
        <v>17</v>
      </c>
      <c r="N22" s="9">
        <f>N$18-(0.05*N$18)</f>
        <v>0</v>
      </c>
      <c r="O22" s="9">
        <f>O$18+(O$18/($O$18+$Q$18))*(($N$18-$N22)+($P$18-$P22))</f>
        <v>64.166666666666671</v>
      </c>
      <c r="P22" s="9">
        <f>P$18-(0*P$18)</f>
        <v>23.333333333333329</v>
      </c>
      <c r="Q22" s="9">
        <f>Q$18+(Q$18/($O$18+$Q$18))*(($N$18-$N22)+($P$18-$P22))</f>
        <v>12.5</v>
      </c>
      <c r="S22">
        <f>SUM(N22:Q22)</f>
        <v>100</v>
      </c>
    </row>
    <row r="23" spans="12:19" x14ac:dyDescent="0.25">
      <c r="L23" s="83"/>
      <c r="M23" s="6"/>
      <c r="N23" s="9"/>
      <c r="O23" s="9"/>
      <c r="P23" s="9"/>
      <c r="Q23" s="9"/>
    </row>
    <row r="24" spans="12:19" x14ac:dyDescent="0.25">
      <c r="L24" s="83"/>
      <c r="M24" s="6" t="s">
        <v>31</v>
      </c>
      <c r="N24" s="9">
        <f>N$18-(0*N$18)</f>
        <v>0</v>
      </c>
      <c r="O24" s="9">
        <f>O$18+(O$18/($O$18+$Q$18))*(($N$18-$N24)+($P$18-$P24))</f>
        <v>64.166666666666671</v>
      </c>
      <c r="P24" s="9">
        <f>P$18-(0*P$18)</f>
        <v>23.333333333333329</v>
      </c>
      <c r="Q24" s="9">
        <f>Q$18+(Q$18/($O$18+$Q$18))*(($N$18-$N24)+($P$18-$P24))</f>
        <v>12.5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0</v>
      </c>
      <c r="O28" s="58">
        <f>MROUND(O37,5)</f>
        <v>0</v>
      </c>
      <c r="P28" s="58">
        <f t="shared" ref="P28:Q28" si="3">MROUND(P37,5)</f>
        <v>0</v>
      </c>
      <c r="Q28" s="58">
        <f t="shared" si="3"/>
        <v>0</v>
      </c>
    </row>
    <row r="29" spans="12:19" x14ac:dyDescent="0.25">
      <c r="M29" t="s">
        <v>14</v>
      </c>
      <c r="N29" s="58">
        <f>N38</f>
        <v>65</v>
      </c>
      <c r="O29" s="58">
        <f t="shared" ref="O29:Q31" si="4">MROUND(O38,5)</f>
        <v>65</v>
      </c>
      <c r="P29" s="58">
        <f t="shared" si="4"/>
        <v>65</v>
      </c>
      <c r="Q29" s="58">
        <f t="shared" si="4"/>
        <v>65</v>
      </c>
    </row>
    <row r="30" spans="12:19" x14ac:dyDescent="0.25">
      <c r="M30" t="s">
        <v>2</v>
      </c>
      <c r="N30" s="58">
        <f>N39</f>
        <v>25</v>
      </c>
      <c r="O30" s="58">
        <f t="shared" si="4"/>
        <v>25</v>
      </c>
      <c r="P30" s="58">
        <f t="shared" si="4"/>
        <v>25</v>
      </c>
      <c r="Q30" s="58">
        <f t="shared" si="4"/>
        <v>25</v>
      </c>
    </row>
    <row r="31" spans="12:19" x14ac:dyDescent="0.25">
      <c r="M31" t="s">
        <v>3</v>
      </c>
      <c r="N31" s="58">
        <f>N40</f>
        <v>10</v>
      </c>
      <c r="O31" s="58">
        <f t="shared" si="4"/>
        <v>10</v>
      </c>
      <c r="P31" s="58">
        <f t="shared" si="4"/>
        <v>10</v>
      </c>
      <c r="Q31" s="58">
        <f t="shared" si="4"/>
        <v>10</v>
      </c>
    </row>
    <row r="32" spans="12:19" x14ac:dyDescent="0.25">
      <c r="N32" s="4"/>
      <c r="O32" s="4"/>
    </row>
    <row r="33" spans="13:17" x14ac:dyDescent="0.25">
      <c r="N33" s="58">
        <f>SUM(N28:N31)</f>
        <v>100</v>
      </c>
      <c r="O33" s="58">
        <f t="shared" ref="O33:Q33" si="5">SUM(O28:O31)</f>
        <v>100</v>
      </c>
      <c r="P33" s="58">
        <f t="shared" si="5"/>
        <v>100</v>
      </c>
      <c r="Q33" s="58">
        <f t="shared" si="5"/>
        <v>100</v>
      </c>
    </row>
    <row r="35" spans="13:17" x14ac:dyDescent="0.25">
      <c r="M35" t="s">
        <v>30</v>
      </c>
    </row>
    <row r="36" spans="13:17" x14ac:dyDescent="0.25">
      <c r="N36" s="52" t="s">
        <v>26</v>
      </c>
      <c r="O36" s="52" t="s">
        <v>27</v>
      </c>
      <c r="P36" s="52" t="s">
        <v>28</v>
      </c>
      <c r="Q36" s="52" t="s">
        <v>32</v>
      </c>
    </row>
    <row r="37" spans="13:17" x14ac:dyDescent="0.25">
      <c r="M37" t="s">
        <v>1</v>
      </c>
      <c r="N37" s="58">
        <v>0</v>
      </c>
      <c r="O37" s="59">
        <f>N37-O47</f>
        <v>0</v>
      </c>
      <c r="P37" s="59">
        <f>N37-P47</f>
        <v>0</v>
      </c>
      <c r="Q37" s="59">
        <f>N37-Q47</f>
        <v>0</v>
      </c>
    </row>
    <row r="38" spans="13:17" x14ac:dyDescent="0.25">
      <c r="M38" t="s">
        <v>14</v>
      </c>
      <c r="N38" s="58">
        <v>65</v>
      </c>
      <c r="O38" s="59">
        <f>N38-O48</f>
        <v>65</v>
      </c>
      <c r="P38" s="59">
        <f>N38-P48</f>
        <v>65</v>
      </c>
      <c r="Q38" s="59">
        <f>N38-Q48</f>
        <v>65</v>
      </c>
    </row>
    <row r="39" spans="13:17" x14ac:dyDescent="0.25">
      <c r="M39" t="s">
        <v>2</v>
      </c>
      <c r="N39" s="58">
        <v>25</v>
      </c>
      <c r="O39" s="59">
        <f>N39-O49</f>
        <v>25</v>
      </c>
      <c r="P39" s="59">
        <f>N39-P49</f>
        <v>25</v>
      </c>
      <c r="Q39" s="59">
        <f>N39-Q49</f>
        <v>25</v>
      </c>
    </row>
    <row r="40" spans="13:17" x14ac:dyDescent="0.25">
      <c r="M40" t="s">
        <v>3</v>
      </c>
      <c r="N40" s="58">
        <v>10</v>
      </c>
      <c r="O40" s="59">
        <f>N40-O50</f>
        <v>10</v>
      </c>
      <c r="P40" s="59">
        <f>N40-P50</f>
        <v>10</v>
      </c>
      <c r="Q40" s="59">
        <f>N40-Q50</f>
        <v>10</v>
      </c>
    </row>
    <row r="41" spans="13:17" x14ac:dyDescent="0.25">
      <c r="N41" s="4"/>
      <c r="O41" s="4"/>
    </row>
    <row r="42" spans="13:17" x14ac:dyDescent="0.25">
      <c r="N42" s="58">
        <f>SUM(N37:N40)</f>
        <v>100</v>
      </c>
      <c r="O42" s="58">
        <f t="shared" ref="O42:Q42" si="6">SUM(O37:O40)</f>
        <v>100</v>
      </c>
      <c r="P42" s="58">
        <f t="shared" si="6"/>
        <v>100</v>
      </c>
      <c r="Q42" s="58">
        <f t="shared" si="6"/>
        <v>100</v>
      </c>
    </row>
    <row r="43" spans="13:17" x14ac:dyDescent="0.25">
      <c r="N43" s="4"/>
    </row>
    <row r="45" spans="13:17" x14ac:dyDescent="0.25">
      <c r="M45" t="s">
        <v>29</v>
      </c>
      <c r="P45" s="4"/>
    </row>
    <row r="46" spans="13:17" x14ac:dyDescent="0.25">
      <c r="N46" s="52" t="s">
        <v>26</v>
      </c>
      <c r="O46" s="52" t="s">
        <v>27</v>
      </c>
      <c r="P46" s="52" t="s">
        <v>28</v>
      </c>
      <c r="Q46" s="52" t="s">
        <v>32</v>
      </c>
    </row>
    <row r="47" spans="13:17" x14ac:dyDescent="0.25">
      <c r="M47" t="s">
        <v>1</v>
      </c>
      <c r="N47" s="59">
        <f>N18</f>
        <v>0</v>
      </c>
      <c r="O47" s="59">
        <f>N18-N20</f>
        <v>0</v>
      </c>
      <c r="P47" s="59">
        <f>N18-N22</f>
        <v>0</v>
      </c>
      <c r="Q47" s="59">
        <f>N18-N24</f>
        <v>0</v>
      </c>
    </row>
    <row r="48" spans="13:17" x14ac:dyDescent="0.25">
      <c r="M48" t="s">
        <v>14</v>
      </c>
      <c r="N48" s="59">
        <f>O18</f>
        <v>64.166666666666671</v>
      </c>
      <c r="O48" s="59">
        <f>O18-O20</f>
        <v>0</v>
      </c>
      <c r="P48" s="59">
        <f>O18-O22</f>
        <v>0</v>
      </c>
      <c r="Q48" s="59">
        <f>O18-O24</f>
        <v>0</v>
      </c>
    </row>
    <row r="49" spans="13:17" x14ac:dyDescent="0.25">
      <c r="M49" t="s">
        <v>2</v>
      </c>
      <c r="N49" s="59">
        <f>P18</f>
        <v>23.333333333333329</v>
      </c>
      <c r="O49" s="59">
        <f>P18-P20</f>
        <v>0</v>
      </c>
      <c r="P49" s="59">
        <f>P18-P22</f>
        <v>0</v>
      </c>
      <c r="Q49" s="59">
        <f>P18-P24</f>
        <v>0</v>
      </c>
    </row>
    <row r="50" spans="13:17" x14ac:dyDescent="0.25">
      <c r="M50" t="s">
        <v>3</v>
      </c>
      <c r="N50" s="59">
        <f>Q18</f>
        <v>12.5</v>
      </c>
      <c r="O50" s="59">
        <f>Q18-Q20</f>
        <v>0</v>
      </c>
      <c r="P50" s="59">
        <f>Q18-Q22</f>
        <v>0</v>
      </c>
      <c r="Q50" s="59">
        <f>Q18-Q24</f>
        <v>0</v>
      </c>
    </row>
  </sheetData>
  <mergeCells count="7">
    <mergeCell ref="N1:S1"/>
    <mergeCell ref="L18:L24"/>
    <mergeCell ref="B1:D1"/>
    <mergeCell ref="A4:A6"/>
    <mergeCell ref="A8:A10"/>
    <mergeCell ref="A12:A14"/>
    <mergeCell ref="F1:K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140625" customWidth="1"/>
    <col min="11" max="12" width="5.85546875" customWidth="1"/>
    <col min="18" max="18" width="3.7109375" customWidth="1"/>
    <col min="19" max="19" width="5.85546875" customWidth="1"/>
  </cols>
  <sheetData>
    <row r="1" spans="1:19" x14ac:dyDescent="0.25">
      <c r="B1" s="86" t="s">
        <v>33</v>
      </c>
      <c r="C1" s="86"/>
      <c r="D1" s="86"/>
      <c r="F1" s="86" t="s">
        <v>19</v>
      </c>
      <c r="G1" s="86"/>
      <c r="H1" s="86"/>
      <c r="I1" s="86"/>
      <c r="J1" s="86"/>
      <c r="K1" s="86"/>
      <c r="N1" s="82" t="s">
        <v>20</v>
      </c>
      <c r="O1" s="82"/>
      <c r="P1" s="82"/>
      <c r="Q1" s="82"/>
      <c r="R1" s="82"/>
      <c r="S1" s="82"/>
    </row>
    <row r="3" spans="1:19" ht="15.75" thickBot="1" x14ac:dyDescent="0.3">
      <c r="B3" s="2" t="s">
        <v>1</v>
      </c>
      <c r="C3" s="2" t="s">
        <v>2</v>
      </c>
      <c r="D3" s="2" t="s">
        <v>3</v>
      </c>
      <c r="F3" s="2" t="s">
        <v>1</v>
      </c>
      <c r="G3" s="2" t="s">
        <v>14</v>
      </c>
      <c r="H3" s="2" t="s">
        <v>2</v>
      </c>
      <c r="I3" s="60" t="s">
        <v>3</v>
      </c>
      <c r="K3" s="73" t="s">
        <v>15</v>
      </c>
      <c r="L3" s="2"/>
      <c r="N3" s="2" t="s">
        <v>1</v>
      </c>
      <c r="O3" s="2" t="s">
        <v>14</v>
      </c>
      <c r="P3" s="2" t="s">
        <v>2</v>
      </c>
      <c r="Q3" s="2" t="s">
        <v>3</v>
      </c>
      <c r="S3" s="2" t="s">
        <v>15</v>
      </c>
    </row>
    <row r="4" spans="1:19" x14ac:dyDescent="0.25">
      <c r="A4" s="76" t="s">
        <v>9</v>
      </c>
      <c r="B4">
        <v>50</v>
      </c>
      <c r="C4">
        <v>50</v>
      </c>
      <c r="D4">
        <v>0</v>
      </c>
      <c r="F4" s="42">
        <f>0.55*(100-G4-I4)</f>
        <v>8.25</v>
      </c>
      <c r="G4" s="43">
        <v>85</v>
      </c>
      <c r="H4" s="43">
        <f>0.45*(100-G4-I4)</f>
        <v>6.75</v>
      </c>
      <c r="I4" s="38">
        <v>0</v>
      </c>
      <c r="K4">
        <f>SUM(F4:I4)</f>
        <v>100</v>
      </c>
      <c r="N4">
        <f t="shared" ref="N4:Q6" si="0">(100/9)*F4/100</f>
        <v>0.91666666666666652</v>
      </c>
      <c r="O4">
        <f t="shared" si="0"/>
        <v>9.4444444444444446</v>
      </c>
      <c r="P4">
        <f t="shared" si="0"/>
        <v>0.75</v>
      </c>
      <c r="Q4">
        <f t="shared" si="0"/>
        <v>0</v>
      </c>
      <c r="S4">
        <f>SUM(N4:Q4)</f>
        <v>11.111111111111111</v>
      </c>
    </row>
    <row r="5" spans="1:19" x14ac:dyDescent="0.25">
      <c r="A5" s="77"/>
      <c r="B5" s="1">
        <v>35</v>
      </c>
      <c r="C5" s="1">
        <v>35</v>
      </c>
      <c r="D5">
        <v>30</v>
      </c>
      <c r="F5" s="20">
        <f>($F$4/($F$4+$H$4))*(100-G5-I5)</f>
        <v>7.2187500000000009</v>
      </c>
      <c r="G5" s="11">
        <f>G4/100*(100-I5)</f>
        <v>74.375</v>
      </c>
      <c r="H5" s="11">
        <f>($H$4/($F$4+$H$4))*(100-G5-I5)</f>
        <v>5.90625</v>
      </c>
      <c r="I5" s="39">
        <v>12.5</v>
      </c>
      <c r="K5">
        <f>SUM(F5:I5)</f>
        <v>100</v>
      </c>
      <c r="N5">
        <f t="shared" si="0"/>
        <v>0.80208333333333348</v>
      </c>
      <c r="O5">
        <f t="shared" si="0"/>
        <v>8.2638888888888893</v>
      </c>
      <c r="P5">
        <f t="shared" si="0"/>
        <v>0.65625</v>
      </c>
      <c r="Q5">
        <f t="shared" si="0"/>
        <v>1.3888888888888888</v>
      </c>
      <c r="S5">
        <f>SUM(N5:Q5)</f>
        <v>11.111111111111112</v>
      </c>
    </row>
    <row r="6" spans="1:19" x14ac:dyDescent="0.25">
      <c r="A6" s="77"/>
      <c r="B6" s="1">
        <v>20</v>
      </c>
      <c r="C6" s="1">
        <v>20</v>
      </c>
      <c r="D6">
        <v>60</v>
      </c>
      <c r="F6" s="20">
        <f>($F$4/($F$4+$H$4))*(100-G6-I6)</f>
        <v>6.1875000000000009</v>
      </c>
      <c r="G6" s="11">
        <f>G4/100*(100-I6)</f>
        <v>63.75</v>
      </c>
      <c r="H6" s="11">
        <f>($H$4/($F$4+$H$4))*(100-G6-I6)</f>
        <v>5.0625</v>
      </c>
      <c r="I6" s="39">
        <v>25</v>
      </c>
      <c r="K6">
        <f>SUM(F6:I6)</f>
        <v>100</v>
      </c>
      <c r="N6">
        <f t="shared" si="0"/>
        <v>0.68750000000000011</v>
      </c>
      <c r="O6">
        <f t="shared" si="0"/>
        <v>7.0833333333333321</v>
      </c>
      <c r="P6">
        <f t="shared" si="0"/>
        <v>0.5625</v>
      </c>
      <c r="Q6">
        <f t="shared" si="0"/>
        <v>2.7777777777777777</v>
      </c>
      <c r="S6">
        <f>SUM(N6:Q6)</f>
        <v>11.111111111111111</v>
      </c>
    </row>
    <row r="7" spans="1:19" x14ac:dyDescent="0.25">
      <c r="A7" s="3"/>
      <c r="F7" s="20"/>
      <c r="G7" s="11"/>
      <c r="H7" s="12"/>
      <c r="I7" s="17"/>
    </row>
    <row r="8" spans="1:19" x14ac:dyDescent="0.25">
      <c r="A8" s="76" t="s">
        <v>12</v>
      </c>
      <c r="B8">
        <v>66</v>
      </c>
      <c r="C8">
        <v>34</v>
      </c>
      <c r="D8">
        <v>0</v>
      </c>
      <c r="F8" s="20">
        <v>20</v>
      </c>
      <c r="G8" s="11">
        <v>80</v>
      </c>
      <c r="H8" s="11">
        <f>CO_Low!H8</f>
        <v>0</v>
      </c>
      <c r="I8" s="17">
        <f>I4</f>
        <v>0</v>
      </c>
      <c r="K8">
        <f>SUM(F8:I8)</f>
        <v>100</v>
      </c>
      <c r="N8">
        <f t="shared" ref="N8:Q10" si="1">(100/9)*F8/100</f>
        <v>2.2222222222222223</v>
      </c>
      <c r="O8">
        <f t="shared" si="1"/>
        <v>8.8888888888888893</v>
      </c>
      <c r="P8">
        <f t="shared" si="1"/>
        <v>0</v>
      </c>
      <c r="Q8">
        <f t="shared" si="1"/>
        <v>0</v>
      </c>
      <c r="S8">
        <f>SUM(N8:Q8)</f>
        <v>11.111111111111111</v>
      </c>
    </row>
    <row r="9" spans="1:19" x14ac:dyDescent="0.25">
      <c r="A9" s="77"/>
      <c r="B9" s="1">
        <f>0.66*70</f>
        <v>46.2</v>
      </c>
      <c r="C9" s="1">
        <f>0.34*70</f>
        <v>23.8</v>
      </c>
      <c r="D9">
        <v>30</v>
      </c>
      <c r="F9" s="20">
        <f>(F8/(F8+H8))*(100-G9-I9)</f>
        <v>17.5</v>
      </c>
      <c r="G9" s="11">
        <f>G8/100*(100-I9)</f>
        <v>70</v>
      </c>
      <c r="H9" s="11">
        <f>(H8/(F8+H8))*(100-G9-I9)</f>
        <v>0</v>
      </c>
      <c r="I9" s="17">
        <f>I5</f>
        <v>12.5</v>
      </c>
      <c r="K9">
        <f>SUM(F9:I9)</f>
        <v>100</v>
      </c>
      <c r="N9">
        <f t="shared" si="1"/>
        <v>1.9444444444444442</v>
      </c>
      <c r="O9">
        <f t="shared" si="1"/>
        <v>7.7777777777777768</v>
      </c>
      <c r="P9">
        <f t="shared" si="1"/>
        <v>0</v>
      </c>
      <c r="Q9">
        <f t="shared" si="1"/>
        <v>1.3888888888888888</v>
      </c>
      <c r="S9">
        <f>SUM(N9:Q9)</f>
        <v>11.111111111111111</v>
      </c>
    </row>
    <row r="10" spans="1:19" x14ac:dyDescent="0.25">
      <c r="A10" s="77"/>
      <c r="B10" s="1">
        <f>0.66*40</f>
        <v>26.400000000000002</v>
      </c>
      <c r="C10" s="1">
        <f>0.34*40</f>
        <v>13.600000000000001</v>
      </c>
      <c r="D10">
        <v>60</v>
      </c>
      <c r="F10" s="20">
        <f>(F8/(F8+H8))*(100-G10-I10)</f>
        <v>15</v>
      </c>
      <c r="G10" s="11">
        <f>G8/100*(100-I10)</f>
        <v>60</v>
      </c>
      <c r="H10" s="11">
        <f>(H8/(F8+H8))*(100-G10-I10)</f>
        <v>0</v>
      </c>
      <c r="I10" s="17">
        <f>I6</f>
        <v>25</v>
      </c>
      <c r="K10">
        <f>SUM(F10:I10)</f>
        <v>100</v>
      </c>
      <c r="N10">
        <f t="shared" si="1"/>
        <v>1.6666666666666665</v>
      </c>
      <c r="O10">
        <f t="shared" si="1"/>
        <v>6.6666666666666661</v>
      </c>
      <c r="P10">
        <f t="shared" si="1"/>
        <v>0</v>
      </c>
      <c r="Q10">
        <f t="shared" si="1"/>
        <v>2.7777777777777777</v>
      </c>
      <c r="S10">
        <f>SUM(N10:Q10)</f>
        <v>11.111111111111111</v>
      </c>
    </row>
    <row r="11" spans="1:19" x14ac:dyDescent="0.25">
      <c r="A11" s="3"/>
      <c r="F11" s="16"/>
      <c r="G11" s="12"/>
      <c r="H11" s="12"/>
      <c r="I11" s="17"/>
    </row>
    <row r="12" spans="1:19" x14ac:dyDescent="0.25">
      <c r="A12" s="78" t="s">
        <v>13</v>
      </c>
      <c r="B12" s="1">
        <v>34</v>
      </c>
      <c r="C12" s="1">
        <v>66</v>
      </c>
      <c r="D12">
        <v>0</v>
      </c>
      <c r="F12" s="20">
        <v>0</v>
      </c>
      <c r="G12" s="11">
        <v>90</v>
      </c>
      <c r="H12" s="11">
        <v>10</v>
      </c>
      <c r="I12" s="17">
        <f>I4</f>
        <v>0</v>
      </c>
      <c r="K12">
        <f>SUM(F12:I12)</f>
        <v>100</v>
      </c>
      <c r="N12">
        <f t="shared" ref="N12:Q14" si="2">(100/9)*F12/100</f>
        <v>0</v>
      </c>
      <c r="O12">
        <f t="shared" si="2"/>
        <v>10</v>
      </c>
      <c r="P12">
        <f t="shared" si="2"/>
        <v>1.1111111111111112</v>
      </c>
      <c r="Q12">
        <f t="shared" si="2"/>
        <v>0</v>
      </c>
      <c r="S12">
        <f>SUM(N12:Q12)</f>
        <v>11.111111111111111</v>
      </c>
    </row>
    <row r="13" spans="1:19" x14ac:dyDescent="0.25">
      <c r="A13" s="77"/>
      <c r="B13" s="1">
        <v>24</v>
      </c>
      <c r="C13" s="1">
        <v>46</v>
      </c>
      <c r="D13">
        <v>30</v>
      </c>
      <c r="F13" s="20">
        <f>(F12/(F12+H12))*(100-G13-I13)</f>
        <v>0</v>
      </c>
      <c r="G13" s="11">
        <f>G12/100*(100-I13)</f>
        <v>78.75</v>
      </c>
      <c r="H13" s="11">
        <f>(H12/(F12+H12))*(100-G13-I13)</f>
        <v>8.75</v>
      </c>
      <c r="I13" s="17">
        <f>I5</f>
        <v>12.5</v>
      </c>
      <c r="K13">
        <f>SUM(F13:I13)</f>
        <v>100</v>
      </c>
      <c r="N13">
        <f t="shared" si="2"/>
        <v>0</v>
      </c>
      <c r="O13">
        <f t="shared" si="2"/>
        <v>8.75</v>
      </c>
      <c r="P13">
        <f t="shared" si="2"/>
        <v>0.9722222222222221</v>
      </c>
      <c r="Q13">
        <f t="shared" si="2"/>
        <v>1.3888888888888888</v>
      </c>
      <c r="S13">
        <f>SUM(N13:Q13)</f>
        <v>11.111111111111111</v>
      </c>
    </row>
    <row r="14" spans="1:19" ht="15.75" thickBot="1" x14ac:dyDescent="0.3">
      <c r="A14" s="77"/>
      <c r="B14">
        <v>14</v>
      </c>
      <c r="C14">
        <v>26</v>
      </c>
      <c r="D14">
        <v>60</v>
      </c>
      <c r="F14" s="30">
        <f>(F12/(F12+H12))*(100-G14-I14)</f>
        <v>0</v>
      </c>
      <c r="G14" s="31">
        <f>G12/100*(100-I14)</f>
        <v>67.5</v>
      </c>
      <c r="H14" s="31">
        <f>(H12/(F12+H12))*(100-G14-I14)</f>
        <v>7.5</v>
      </c>
      <c r="I14" s="24">
        <f>I6</f>
        <v>25</v>
      </c>
      <c r="K14">
        <f>SUM(F14:I14)</f>
        <v>100</v>
      </c>
      <c r="N14">
        <f t="shared" si="2"/>
        <v>0</v>
      </c>
      <c r="O14">
        <f t="shared" si="2"/>
        <v>7.5</v>
      </c>
      <c r="P14">
        <f t="shared" si="2"/>
        <v>0.83333333333333326</v>
      </c>
      <c r="Q14">
        <f t="shared" si="2"/>
        <v>2.7777777777777777</v>
      </c>
      <c r="S14">
        <f>SUM(N14:Q14)</f>
        <v>11.111111111111111</v>
      </c>
    </row>
    <row r="16" spans="1:19" x14ac:dyDescent="0.25">
      <c r="N16" s="4">
        <f>SUM(N4:N14)</f>
        <v>8.2395833333333321</v>
      </c>
      <c r="O16" s="4">
        <f>SUM(O4:O14)</f>
        <v>74.375</v>
      </c>
      <c r="P16" s="4">
        <f>SUM(P4:P14)</f>
        <v>4.8854166666666661</v>
      </c>
      <c r="Q16" s="4">
        <f>SUM(Q4:Q14)</f>
        <v>12.5</v>
      </c>
    </row>
    <row r="17" spans="12:19" x14ac:dyDescent="0.25">
      <c r="S17" s="2" t="s">
        <v>15</v>
      </c>
    </row>
    <row r="18" spans="12:19" x14ac:dyDescent="0.25">
      <c r="L18" s="83"/>
      <c r="M18" s="6" t="s">
        <v>16</v>
      </c>
      <c r="N18" s="9">
        <f>N16</f>
        <v>8.2395833333333321</v>
      </c>
      <c r="O18" s="9">
        <f>O16</f>
        <v>74.375</v>
      </c>
      <c r="P18" s="9">
        <f>P16</f>
        <v>4.8854166666666661</v>
      </c>
      <c r="Q18" s="9">
        <f>Q16</f>
        <v>12.5</v>
      </c>
      <c r="S18">
        <f>SUM(N18:Q18)</f>
        <v>100</v>
      </c>
    </row>
    <row r="19" spans="12:19" x14ac:dyDescent="0.25">
      <c r="L19" s="83"/>
      <c r="M19" s="6"/>
      <c r="N19" s="51"/>
      <c r="O19" s="51"/>
      <c r="P19" s="51"/>
      <c r="Q19" s="51"/>
    </row>
    <row r="20" spans="12:19" x14ac:dyDescent="0.25">
      <c r="L20" s="83"/>
      <c r="M20" s="6" t="s">
        <v>18</v>
      </c>
      <c r="N20" s="9">
        <f>N$18-(0*N$18)</f>
        <v>8.2395833333333321</v>
      </c>
      <c r="O20" s="9">
        <f>O$18+(O$18/($O$18+$Q$18))*(($N$18-$N20)+($P$18-$P20))</f>
        <v>74.375</v>
      </c>
      <c r="P20" s="9">
        <f>P$18-(0*P$18)</f>
        <v>4.8854166666666661</v>
      </c>
      <c r="Q20" s="9">
        <f>Q$18+(Q$18/($O$18+$Q$18))*(($N$18-$N20)+($P$18-$P20))</f>
        <v>12.5</v>
      </c>
      <c r="S20">
        <f>SUM(N20:Q20)</f>
        <v>100</v>
      </c>
    </row>
    <row r="21" spans="12:19" x14ac:dyDescent="0.25">
      <c r="L21" s="83"/>
      <c r="M21" s="6"/>
      <c r="N21" s="9"/>
      <c r="O21" s="9"/>
      <c r="P21" s="9"/>
      <c r="Q21" s="9"/>
    </row>
    <row r="22" spans="12:19" x14ac:dyDescent="0.25">
      <c r="L22" s="83"/>
      <c r="M22" s="6" t="s">
        <v>17</v>
      </c>
      <c r="N22" s="9">
        <f>N$18-(0.05*N$18)</f>
        <v>7.8276041666666654</v>
      </c>
      <c r="O22" s="9">
        <f>O$18+(O$18/($O$18+$Q$18))*(($N$18-$N22)+($P$18-$P22))</f>
        <v>74.727701588729019</v>
      </c>
      <c r="P22" s="9">
        <f>P$18-(0*P$18)</f>
        <v>4.8854166666666661</v>
      </c>
      <c r="Q22" s="9">
        <f>Q$18+(Q$18/($O$18+$Q$18))*(($N$18-$N22)+($P$18-$P22))</f>
        <v>12.55927757793765</v>
      </c>
      <c r="S22">
        <f>SUM(N22:Q22)</f>
        <v>100</v>
      </c>
    </row>
    <row r="23" spans="12:19" x14ac:dyDescent="0.25">
      <c r="L23" s="83"/>
      <c r="M23" s="6"/>
      <c r="N23" s="9"/>
      <c r="O23" s="9"/>
      <c r="P23" s="9"/>
      <c r="Q23" s="9"/>
    </row>
    <row r="24" spans="12:19" x14ac:dyDescent="0.25">
      <c r="L24" s="83"/>
      <c r="M24" s="6" t="s">
        <v>31</v>
      </c>
      <c r="N24" s="9">
        <f>N$18-(0*N$18)</f>
        <v>8.2395833333333321</v>
      </c>
      <c r="O24" s="9">
        <f>O$18+(O$18/($O$18+$Q$18))*(($N$18-$N24)+($P$18-$P24))</f>
        <v>74.375</v>
      </c>
      <c r="P24" s="9">
        <f>P$18-(0*P$18)</f>
        <v>4.8854166666666661</v>
      </c>
      <c r="Q24" s="9">
        <f>Q$18+(Q$18/($O$18+$Q$18))*(($N$18-$N24)+($P$18-$P24))</f>
        <v>12.5</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10</v>
      </c>
      <c r="O28" s="58">
        <f>MROUND(O37,5)</f>
        <v>10</v>
      </c>
      <c r="P28" s="58">
        <f t="shared" ref="P28:Q28" si="3">MROUND(P37,5)</f>
        <v>10</v>
      </c>
      <c r="Q28" s="58">
        <f t="shared" si="3"/>
        <v>10</v>
      </c>
    </row>
    <row r="29" spans="12:19" x14ac:dyDescent="0.25">
      <c r="M29" t="s">
        <v>14</v>
      </c>
      <c r="N29" s="58">
        <f>N38</f>
        <v>75</v>
      </c>
      <c r="O29" s="58">
        <f t="shared" ref="O29:Q31" si="4">MROUND(O38,5)</f>
        <v>75</v>
      </c>
      <c r="P29" s="58">
        <f t="shared" si="4"/>
        <v>75</v>
      </c>
      <c r="Q29" s="58">
        <f t="shared" si="4"/>
        <v>75</v>
      </c>
    </row>
    <row r="30" spans="12:19" x14ac:dyDescent="0.25">
      <c r="M30" t="s">
        <v>2</v>
      </c>
      <c r="N30" s="58">
        <f>N39</f>
        <v>5</v>
      </c>
      <c r="O30" s="58">
        <f t="shared" si="4"/>
        <v>5</v>
      </c>
      <c r="P30" s="58">
        <f t="shared" si="4"/>
        <v>5</v>
      </c>
      <c r="Q30" s="58">
        <f t="shared" si="4"/>
        <v>5</v>
      </c>
    </row>
    <row r="31" spans="12:19" x14ac:dyDescent="0.25">
      <c r="M31" t="s">
        <v>3</v>
      </c>
      <c r="N31" s="58">
        <f>N40</f>
        <v>10</v>
      </c>
      <c r="O31" s="58">
        <f t="shared" si="4"/>
        <v>10</v>
      </c>
      <c r="P31" s="58">
        <f t="shared" si="4"/>
        <v>10</v>
      </c>
      <c r="Q31" s="58">
        <f t="shared" si="4"/>
        <v>10</v>
      </c>
    </row>
    <row r="32" spans="12:19" x14ac:dyDescent="0.25">
      <c r="N32" s="4"/>
      <c r="O32" s="4"/>
    </row>
    <row r="33" spans="13:17" x14ac:dyDescent="0.25">
      <c r="N33" s="58">
        <f>SUM(N28:N31)</f>
        <v>100</v>
      </c>
      <c r="O33" s="58">
        <f t="shared" ref="O33:Q33" si="5">SUM(O28:O31)</f>
        <v>100</v>
      </c>
      <c r="P33" s="58">
        <f t="shared" si="5"/>
        <v>100</v>
      </c>
      <c r="Q33" s="58">
        <f t="shared" si="5"/>
        <v>100</v>
      </c>
    </row>
    <row r="35" spans="13:17" x14ac:dyDescent="0.25">
      <c r="M35" t="s">
        <v>30</v>
      </c>
    </row>
    <row r="36" spans="13:17" x14ac:dyDescent="0.25">
      <c r="N36" s="52" t="s">
        <v>26</v>
      </c>
      <c r="O36" s="52" t="s">
        <v>27</v>
      </c>
      <c r="P36" s="52" t="s">
        <v>28</v>
      </c>
      <c r="Q36" s="52" t="s">
        <v>32</v>
      </c>
    </row>
    <row r="37" spans="13:17" x14ac:dyDescent="0.25">
      <c r="M37" t="s">
        <v>1</v>
      </c>
      <c r="N37" s="58">
        <v>10</v>
      </c>
      <c r="O37" s="59">
        <f>N37-O47</f>
        <v>10</v>
      </c>
      <c r="P37" s="59">
        <f>N37-P47</f>
        <v>9.5880208333333332</v>
      </c>
      <c r="Q37" s="59">
        <f>N37-Q47</f>
        <v>10</v>
      </c>
    </row>
    <row r="38" spans="13:17" x14ac:dyDescent="0.25">
      <c r="M38" t="s">
        <v>14</v>
      </c>
      <c r="N38" s="58">
        <v>75</v>
      </c>
      <c r="O38" s="59">
        <f>N38-O48</f>
        <v>75</v>
      </c>
      <c r="P38" s="59">
        <f>N38-P48</f>
        <v>75.352701588729019</v>
      </c>
      <c r="Q38" s="59">
        <f>N38-Q48</f>
        <v>75</v>
      </c>
    </row>
    <row r="39" spans="13:17" x14ac:dyDescent="0.25">
      <c r="M39" t="s">
        <v>2</v>
      </c>
      <c r="N39" s="58">
        <v>5</v>
      </c>
      <c r="O39" s="59">
        <f>N39-O49</f>
        <v>5</v>
      </c>
      <c r="P39" s="59">
        <f>N39-P49</f>
        <v>5</v>
      </c>
      <c r="Q39" s="59">
        <f>N39-Q49</f>
        <v>5</v>
      </c>
    </row>
    <row r="40" spans="13:17" x14ac:dyDescent="0.25">
      <c r="M40" t="s">
        <v>3</v>
      </c>
      <c r="N40" s="58">
        <v>10</v>
      </c>
      <c r="O40" s="59">
        <f>N40-O50</f>
        <v>10</v>
      </c>
      <c r="P40" s="59">
        <f>N40-P50</f>
        <v>10.05927757793765</v>
      </c>
      <c r="Q40" s="59">
        <f>N40-Q50</f>
        <v>10</v>
      </c>
    </row>
    <row r="41" spans="13:17" x14ac:dyDescent="0.25">
      <c r="N41" s="4"/>
      <c r="O41" s="4"/>
    </row>
    <row r="42" spans="13:17" x14ac:dyDescent="0.25">
      <c r="N42" s="58">
        <f>SUM(N37:N40)</f>
        <v>100</v>
      </c>
      <c r="O42" s="58">
        <f t="shared" ref="O42:Q42" si="6">SUM(O37:O40)</f>
        <v>100</v>
      </c>
      <c r="P42" s="58">
        <f t="shared" si="6"/>
        <v>100</v>
      </c>
      <c r="Q42" s="58">
        <f t="shared" si="6"/>
        <v>100</v>
      </c>
    </row>
    <row r="43" spans="13:17" x14ac:dyDescent="0.25">
      <c r="N43" s="4"/>
    </row>
    <row r="45" spans="13:17" x14ac:dyDescent="0.25">
      <c r="M45" t="s">
        <v>29</v>
      </c>
      <c r="P45" s="4"/>
    </row>
    <row r="46" spans="13:17" x14ac:dyDescent="0.25">
      <c r="N46" s="52" t="s">
        <v>26</v>
      </c>
      <c r="O46" s="52" t="s">
        <v>27</v>
      </c>
      <c r="P46" s="52" t="s">
        <v>28</v>
      </c>
      <c r="Q46" s="52" t="s">
        <v>32</v>
      </c>
    </row>
    <row r="47" spans="13:17" x14ac:dyDescent="0.25">
      <c r="M47" t="s">
        <v>1</v>
      </c>
      <c r="N47" s="59">
        <f>N18</f>
        <v>8.2395833333333321</v>
      </c>
      <c r="O47" s="59">
        <f>N18-N20</f>
        <v>0</v>
      </c>
      <c r="P47" s="59">
        <f>N18-N22</f>
        <v>0.41197916666666679</v>
      </c>
      <c r="Q47" s="59">
        <f>N18-N24</f>
        <v>0</v>
      </c>
    </row>
    <row r="48" spans="13:17" x14ac:dyDescent="0.25">
      <c r="M48" t="s">
        <v>14</v>
      </c>
      <c r="N48" s="59">
        <f>O18</f>
        <v>74.375</v>
      </c>
      <c r="O48" s="59">
        <f>O18-O20</f>
        <v>0</v>
      </c>
      <c r="P48" s="59">
        <f>O18-O22</f>
        <v>-0.35270158872901902</v>
      </c>
      <c r="Q48" s="59">
        <f>O18-O24</f>
        <v>0</v>
      </c>
    </row>
    <row r="49" spans="13:17" x14ac:dyDescent="0.25">
      <c r="M49" t="s">
        <v>2</v>
      </c>
      <c r="N49" s="59">
        <f>P18</f>
        <v>4.8854166666666661</v>
      </c>
      <c r="O49" s="59">
        <f>P18-P20</f>
        <v>0</v>
      </c>
      <c r="P49" s="59">
        <f>P18-P22</f>
        <v>0</v>
      </c>
      <c r="Q49" s="59">
        <f>P18-P24</f>
        <v>0</v>
      </c>
    </row>
    <row r="50" spans="13:17" x14ac:dyDescent="0.25">
      <c r="M50" t="s">
        <v>3</v>
      </c>
      <c r="N50" s="59">
        <f>Q18</f>
        <v>12.5</v>
      </c>
      <c r="O50" s="59">
        <f>Q18-Q20</f>
        <v>0</v>
      </c>
      <c r="P50" s="59">
        <f>Q18-Q22</f>
        <v>-5.9277577937649539E-2</v>
      </c>
      <c r="Q50" s="59">
        <f>Q18-Q24</f>
        <v>0</v>
      </c>
    </row>
  </sheetData>
  <mergeCells count="7">
    <mergeCell ref="L18:L24"/>
    <mergeCell ref="N1:S1"/>
    <mergeCell ref="B1:D1"/>
    <mergeCell ref="A4:A6"/>
    <mergeCell ref="A8:A10"/>
    <mergeCell ref="A12:A14"/>
    <mergeCell ref="F1:K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7109375" customWidth="1"/>
    <col min="11" max="12" width="6.5703125" customWidth="1"/>
    <col min="18" max="18" width="4" customWidth="1"/>
    <col min="19" max="19" width="7.140625" customWidth="1"/>
  </cols>
  <sheetData>
    <row r="1" spans="1:19" x14ac:dyDescent="0.25">
      <c r="B1" s="87" t="s">
        <v>8</v>
      </c>
      <c r="C1" s="87"/>
      <c r="D1" s="87"/>
      <c r="F1" s="87" t="s">
        <v>19</v>
      </c>
      <c r="G1" s="87"/>
      <c r="H1" s="87"/>
      <c r="I1" s="87"/>
      <c r="J1" s="87"/>
      <c r="K1" s="87"/>
      <c r="N1" s="82" t="s">
        <v>20</v>
      </c>
      <c r="O1" s="82"/>
      <c r="P1" s="82"/>
      <c r="Q1" s="82"/>
      <c r="R1" s="82"/>
      <c r="S1" s="82"/>
    </row>
    <row r="3" spans="1:19" x14ac:dyDescent="0.25">
      <c r="B3" s="2" t="s">
        <v>1</v>
      </c>
      <c r="C3" s="2" t="s">
        <v>2</v>
      </c>
      <c r="D3" s="2" t="s">
        <v>3</v>
      </c>
      <c r="F3" s="2" t="s">
        <v>1</v>
      </c>
      <c r="G3" s="2" t="s">
        <v>14</v>
      </c>
      <c r="H3" s="2" t="s">
        <v>2</v>
      </c>
      <c r="I3" s="2" t="s">
        <v>3</v>
      </c>
      <c r="K3" s="73" t="s">
        <v>15</v>
      </c>
      <c r="L3" s="2"/>
      <c r="N3" s="2" t="s">
        <v>1</v>
      </c>
      <c r="O3" s="2" t="s">
        <v>14</v>
      </c>
      <c r="P3" s="2" t="s">
        <v>2</v>
      </c>
      <c r="Q3" s="2" t="s">
        <v>3</v>
      </c>
      <c r="S3" s="2" t="s">
        <v>15</v>
      </c>
    </row>
    <row r="4" spans="1:19" x14ac:dyDescent="0.25">
      <c r="A4" s="76" t="s">
        <v>9</v>
      </c>
      <c r="B4" s="1">
        <f>0.5*(100-D4)</f>
        <v>16.5</v>
      </c>
      <c r="C4" s="1">
        <f>0.5*(100-D4)</f>
        <v>16.5</v>
      </c>
      <c r="D4">
        <v>67</v>
      </c>
      <c r="F4" s="50">
        <f>0.55*(100-I4-G4)</f>
        <v>6.1875000000000009</v>
      </c>
      <c r="G4" s="50">
        <f>0.85*(100-I4)</f>
        <v>63.75</v>
      </c>
      <c r="H4" s="50">
        <f>0.45*(100-I4-G4)</f>
        <v>5.0625</v>
      </c>
      <c r="I4" s="50">
        <v>25</v>
      </c>
      <c r="K4">
        <f>SUM(F4:I4)</f>
        <v>100</v>
      </c>
      <c r="N4">
        <f t="shared" ref="N4:Q6" si="0">(100/9)*F4/100</f>
        <v>0.68750000000000011</v>
      </c>
      <c r="O4">
        <f t="shared" si="0"/>
        <v>7.0833333333333321</v>
      </c>
      <c r="P4">
        <f t="shared" si="0"/>
        <v>0.5625</v>
      </c>
      <c r="Q4">
        <f t="shared" si="0"/>
        <v>2.7777777777777777</v>
      </c>
      <c r="S4">
        <f>SUM(N4:Q4)</f>
        <v>11.111111111111111</v>
      </c>
    </row>
    <row r="5" spans="1:19" x14ac:dyDescent="0.25">
      <c r="A5" s="77"/>
      <c r="B5" s="1">
        <f>0.5*(100-D5)</f>
        <v>7.5</v>
      </c>
      <c r="C5" s="1">
        <f>0.5*(100-D5)</f>
        <v>7.5</v>
      </c>
      <c r="D5">
        <v>85</v>
      </c>
      <c r="F5" s="1">
        <f>($F$4/($F$4+$G$4+$H$4))*(100-I5)</f>
        <v>5.3625000000000007</v>
      </c>
      <c r="G5" s="1">
        <f>($G$4/($F$4+$G$4+$H$4))*(100-I5)</f>
        <v>55.25</v>
      </c>
      <c r="H5" s="1">
        <f>($H$4/($F$4+$G$4+$H$4))*(100-I5)</f>
        <v>4.3875000000000002</v>
      </c>
      <c r="I5" s="50">
        <v>35</v>
      </c>
      <c r="K5">
        <f>SUM(F5:I5)</f>
        <v>100</v>
      </c>
      <c r="N5">
        <f t="shared" si="0"/>
        <v>0.59583333333333333</v>
      </c>
      <c r="O5">
        <f t="shared" si="0"/>
        <v>6.1388888888888893</v>
      </c>
      <c r="P5">
        <f t="shared" si="0"/>
        <v>0.48749999999999999</v>
      </c>
      <c r="Q5">
        <f t="shared" si="0"/>
        <v>3.8888888888888884</v>
      </c>
      <c r="S5">
        <f>SUM(N5:Q5)</f>
        <v>11.111111111111111</v>
      </c>
    </row>
    <row r="6" spans="1:19" x14ac:dyDescent="0.25">
      <c r="A6" s="77"/>
      <c r="B6" s="1">
        <f>0.5*(100-D6)</f>
        <v>2.5</v>
      </c>
      <c r="C6" s="1">
        <f>0.5*(100-D6)</f>
        <v>2.5</v>
      </c>
      <c r="D6">
        <v>95</v>
      </c>
      <c r="F6" s="1">
        <f>($F$4/($F$4+$G$4+$H$4))*(100-I6)</f>
        <v>4.9500000000000011</v>
      </c>
      <c r="G6" s="1">
        <f>($G$4/($F$4+$G$4+$H$4))*(100-I6)</f>
        <v>51</v>
      </c>
      <c r="H6" s="1">
        <f>($H$4/($F$4+$G$4+$H$4))*(100-I6)</f>
        <v>4.0500000000000007</v>
      </c>
      <c r="I6" s="50">
        <v>40</v>
      </c>
      <c r="K6">
        <f>SUM(F6:I6)</f>
        <v>100</v>
      </c>
      <c r="N6">
        <f t="shared" si="0"/>
        <v>0.55000000000000004</v>
      </c>
      <c r="O6">
        <f t="shared" si="0"/>
        <v>5.6666666666666661</v>
      </c>
      <c r="P6">
        <f t="shared" si="0"/>
        <v>0.45000000000000007</v>
      </c>
      <c r="Q6">
        <f t="shared" si="0"/>
        <v>4.4444444444444446</v>
      </c>
      <c r="S6">
        <f>SUM(N6:Q6)</f>
        <v>11.111111111111111</v>
      </c>
    </row>
    <row r="7" spans="1:19" x14ac:dyDescent="0.25">
      <c r="A7" s="3"/>
      <c r="B7" s="1"/>
      <c r="C7" s="1"/>
      <c r="F7" s="1"/>
      <c r="G7" s="1"/>
    </row>
    <row r="8" spans="1:19" x14ac:dyDescent="0.25">
      <c r="A8" s="78" t="s">
        <v>10</v>
      </c>
      <c r="B8" s="1">
        <f>0.75*(100-D8)</f>
        <v>24.75</v>
      </c>
      <c r="C8" s="1">
        <f>0.25*(100-D8)</f>
        <v>8.25</v>
      </c>
      <c r="D8">
        <v>67</v>
      </c>
      <c r="F8" s="50">
        <f>0.29*(100-I8)</f>
        <v>21.75</v>
      </c>
      <c r="G8" s="50">
        <f>0.71*(100-I8)</f>
        <v>53.25</v>
      </c>
      <c r="H8" s="50">
        <f>0*(100-I8)</f>
        <v>0</v>
      </c>
      <c r="I8" s="1">
        <f>I4</f>
        <v>25</v>
      </c>
      <c r="K8">
        <f>SUM(F8:I8)</f>
        <v>100</v>
      </c>
      <c r="N8">
        <f t="shared" ref="N8:Q10" si="1">(100/9)*F8/100</f>
        <v>2.4166666666666665</v>
      </c>
      <c r="O8">
        <f t="shared" si="1"/>
        <v>5.9166666666666661</v>
      </c>
      <c r="P8">
        <f t="shared" si="1"/>
        <v>0</v>
      </c>
      <c r="Q8">
        <f t="shared" si="1"/>
        <v>2.7777777777777777</v>
      </c>
      <c r="S8">
        <f>SUM(N8:Q8)</f>
        <v>11.111111111111111</v>
      </c>
    </row>
    <row r="9" spans="1:19" x14ac:dyDescent="0.25">
      <c r="A9" s="77"/>
      <c r="B9" s="1">
        <f>0.75*(100-D9)</f>
        <v>11.25</v>
      </c>
      <c r="C9" s="1">
        <f>0.25*(100-D9)</f>
        <v>3.75</v>
      </c>
      <c r="D9">
        <v>85</v>
      </c>
      <c r="F9" s="1">
        <f>($F$8/($F$8+$G$8+$H$8))*(100-I9)</f>
        <v>18.849999999999998</v>
      </c>
      <c r="G9" s="1">
        <f>($G$8/($F$8+$G$8+$H$8))*(100-I9)</f>
        <v>46.15</v>
      </c>
      <c r="H9" s="1">
        <f>($H$8/($F$8+$G$8+$H$8))*(100-I9)</f>
        <v>0</v>
      </c>
      <c r="I9" s="1">
        <f>I5</f>
        <v>35</v>
      </c>
      <c r="K9">
        <f>SUM(F9:I9)</f>
        <v>100</v>
      </c>
      <c r="N9">
        <f t="shared" si="1"/>
        <v>2.0944444444444441</v>
      </c>
      <c r="O9">
        <f t="shared" si="1"/>
        <v>5.1277777777777773</v>
      </c>
      <c r="P9">
        <f t="shared" si="1"/>
        <v>0</v>
      </c>
      <c r="Q9">
        <f t="shared" si="1"/>
        <v>3.8888888888888884</v>
      </c>
      <c r="S9">
        <f>SUM(N9:Q9)</f>
        <v>11.111111111111111</v>
      </c>
    </row>
    <row r="10" spans="1:19" x14ac:dyDescent="0.25">
      <c r="A10" s="77"/>
      <c r="B10" s="1">
        <f>0.75*(100-D10)</f>
        <v>3.75</v>
      </c>
      <c r="C10" s="1">
        <f>0.25*(100-D10)</f>
        <v>1.25</v>
      </c>
      <c r="D10">
        <v>95</v>
      </c>
      <c r="F10" s="1">
        <f>($F$8/($F$8+$G$8+$H$8))*(100-I10)</f>
        <v>17.399999999999999</v>
      </c>
      <c r="G10" s="1">
        <f>($G$8/($F$8+$G$8+$H$8))*(100-I10)</f>
        <v>42.599999999999994</v>
      </c>
      <c r="H10" s="1">
        <f>($H$8/($F$8+$G$8+$H$8))*(100-I10)</f>
        <v>0</v>
      </c>
      <c r="I10" s="1">
        <f>I6</f>
        <v>40</v>
      </c>
      <c r="K10">
        <f>SUM(F10:I10)</f>
        <v>100</v>
      </c>
      <c r="N10">
        <f t="shared" si="1"/>
        <v>1.9333333333333331</v>
      </c>
      <c r="O10">
        <f t="shared" si="1"/>
        <v>4.7333333333333325</v>
      </c>
      <c r="P10">
        <f t="shared" si="1"/>
        <v>0</v>
      </c>
      <c r="Q10">
        <f t="shared" si="1"/>
        <v>4.4444444444444446</v>
      </c>
      <c r="S10">
        <f>SUM(N10:Q10)</f>
        <v>11.111111111111111</v>
      </c>
    </row>
    <row r="11" spans="1:19" x14ac:dyDescent="0.25">
      <c r="A11" s="3"/>
      <c r="B11" s="1"/>
      <c r="C11" s="1"/>
      <c r="F11" s="1"/>
      <c r="G11" s="1"/>
      <c r="H11" s="1"/>
    </row>
    <row r="12" spans="1:19" x14ac:dyDescent="0.25">
      <c r="A12" s="78" t="s">
        <v>11</v>
      </c>
      <c r="B12" s="1">
        <f>0.25*(100-D12)</f>
        <v>8.25</v>
      </c>
      <c r="C12" s="1">
        <f>0.75*(100-D12)</f>
        <v>24.75</v>
      </c>
      <c r="D12">
        <v>67</v>
      </c>
      <c r="F12" s="50">
        <f>0*(100-I12)</f>
        <v>0</v>
      </c>
      <c r="G12" s="50">
        <f>0.81*(100-I12)</f>
        <v>60.750000000000007</v>
      </c>
      <c r="H12" s="50">
        <f>0.19*(100-I12)</f>
        <v>14.25</v>
      </c>
      <c r="I12" s="1">
        <f>I4</f>
        <v>25</v>
      </c>
      <c r="K12">
        <f>SUM(F12:I12)</f>
        <v>100</v>
      </c>
      <c r="N12">
        <f t="shared" ref="N12:Q14" si="2">(100/9)*F12/100</f>
        <v>0</v>
      </c>
      <c r="O12">
        <f t="shared" si="2"/>
        <v>6.75</v>
      </c>
      <c r="P12">
        <f t="shared" si="2"/>
        <v>1.583333333333333</v>
      </c>
      <c r="Q12">
        <f t="shared" si="2"/>
        <v>2.7777777777777777</v>
      </c>
      <c r="S12">
        <f>SUM(N12:Q12)</f>
        <v>11.111111111111111</v>
      </c>
    </row>
    <row r="13" spans="1:19" x14ac:dyDescent="0.25">
      <c r="A13" s="77"/>
      <c r="B13" s="1">
        <f>0.25*(100-D13)</f>
        <v>3.75</v>
      </c>
      <c r="C13" s="1">
        <f>0.75*(100-D13)</f>
        <v>11.25</v>
      </c>
      <c r="D13">
        <v>85</v>
      </c>
      <c r="F13" s="1">
        <f>($F$12/($F$12+$G$12+$H$12))*(100-I13)</f>
        <v>0</v>
      </c>
      <c r="G13" s="1">
        <f>($G$12/($F$12+$G$12+$H$12))*(100-I13)</f>
        <v>52.650000000000006</v>
      </c>
      <c r="H13" s="1">
        <f>($H$12/($F$12+$G$12+$H$12))*(100-I13)</f>
        <v>12.35</v>
      </c>
      <c r="I13" s="1">
        <f>I5</f>
        <v>35</v>
      </c>
      <c r="K13">
        <f>SUM(F13:I13)</f>
        <v>100</v>
      </c>
      <c r="N13">
        <f t="shared" si="2"/>
        <v>0</v>
      </c>
      <c r="O13">
        <f t="shared" si="2"/>
        <v>5.85</v>
      </c>
      <c r="P13">
        <f t="shared" si="2"/>
        <v>1.372222222222222</v>
      </c>
      <c r="Q13">
        <f t="shared" si="2"/>
        <v>3.8888888888888884</v>
      </c>
      <c r="S13">
        <f>SUM(N13:Q13)</f>
        <v>11.111111111111111</v>
      </c>
    </row>
    <row r="14" spans="1:19" x14ac:dyDescent="0.25">
      <c r="A14" s="77"/>
      <c r="B14" s="1">
        <f>0.25*(100-D14)</f>
        <v>1.25</v>
      </c>
      <c r="C14" s="1">
        <f>0.75*(100-D14)</f>
        <v>3.75</v>
      </c>
      <c r="D14">
        <v>95</v>
      </c>
      <c r="F14" s="1">
        <f>($F$12/($F$12+$G$12+$H$12))*(100-I14)</f>
        <v>0</v>
      </c>
      <c r="G14" s="1">
        <f>($G$12/($F$12+$G$12+$H$12))*(100-I14)</f>
        <v>48.6</v>
      </c>
      <c r="H14" s="1">
        <f>($H$12/($F$12+$G$12+$H$12))*(100-I14)</f>
        <v>11.4</v>
      </c>
      <c r="I14" s="1">
        <f>I6</f>
        <v>40</v>
      </c>
      <c r="K14">
        <f>SUM(F14:I14)</f>
        <v>100</v>
      </c>
      <c r="N14">
        <f t="shared" si="2"/>
        <v>0</v>
      </c>
      <c r="O14">
        <f t="shared" si="2"/>
        <v>5.4</v>
      </c>
      <c r="P14">
        <f t="shared" si="2"/>
        <v>1.2666666666666666</v>
      </c>
      <c r="Q14">
        <f t="shared" si="2"/>
        <v>4.4444444444444446</v>
      </c>
      <c r="S14">
        <f>SUM(N14:Q14)</f>
        <v>11.111111111111111</v>
      </c>
    </row>
    <row r="16" spans="1:19" x14ac:dyDescent="0.25">
      <c r="M16" s="8" t="s">
        <v>15</v>
      </c>
      <c r="N16" s="4">
        <f>SUM(N4:N14)</f>
        <v>8.2777777777777768</v>
      </c>
      <c r="O16" s="4">
        <f>SUM(O4:O14)</f>
        <v>52.666666666666657</v>
      </c>
      <c r="P16" s="4">
        <f>SUM(P4:P14)</f>
        <v>5.7222222222222214</v>
      </c>
      <c r="Q16" s="4">
        <f>SUM(Q4:Q14)</f>
        <v>33.333333333333336</v>
      </c>
    </row>
    <row r="17" spans="12:19" x14ac:dyDescent="0.25">
      <c r="S17" s="2" t="s">
        <v>15</v>
      </c>
    </row>
    <row r="18" spans="12:19" x14ac:dyDescent="0.25">
      <c r="L18" s="83"/>
      <c r="M18" s="6" t="s">
        <v>16</v>
      </c>
      <c r="N18" s="9">
        <f>N16</f>
        <v>8.2777777777777768</v>
      </c>
      <c r="O18" s="9">
        <f>O16</f>
        <v>52.666666666666657</v>
      </c>
      <c r="P18" s="9">
        <f>P16</f>
        <v>5.7222222222222214</v>
      </c>
      <c r="Q18" s="9">
        <f>Q16</f>
        <v>33.333333333333336</v>
      </c>
      <c r="S18">
        <f>SUM(N18:Q18)</f>
        <v>100</v>
      </c>
    </row>
    <row r="19" spans="12:19" x14ac:dyDescent="0.25">
      <c r="L19" s="83"/>
      <c r="M19" s="6"/>
      <c r="N19" s="6"/>
      <c r="O19" s="6"/>
      <c r="P19" s="6"/>
      <c r="Q19" s="6"/>
    </row>
    <row r="20" spans="12:19" x14ac:dyDescent="0.25">
      <c r="L20" s="83"/>
      <c r="M20" s="6" t="s">
        <v>18</v>
      </c>
      <c r="N20" s="9">
        <f>N$18-(0*N$18)</f>
        <v>8.2777777777777768</v>
      </c>
      <c r="O20" s="9">
        <f>O$18+(O$18/($O$18+$Q$18))*(($N$18-$N20)+($P$18-$P20))</f>
        <v>52.666666666666657</v>
      </c>
      <c r="P20" s="9">
        <f>P$18-(0*P$18)</f>
        <v>5.7222222222222214</v>
      </c>
      <c r="Q20" s="9">
        <f>Q$18+(Q$18/($O$18+$Q$18))*(($N$18-$N20)+($P$18-$P20))</f>
        <v>33.333333333333336</v>
      </c>
      <c r="S20">
        <f>SUM(N20:Q20)</f>
        <v>100</v>
      </c>
    </row>
    <row r="21" spans="12:19" x14ac:dyDescent="0.25">
      <c r="L21" s="83"/>
      <c r="M21" s="6"/>
      <c r="N21" s="9"/>
      <c r="O21" s="9"/>
      <c r="P21" s="9"/>
      <c r="Q21" s="9"/>
    </row>
    <row r="22" spans="12:19" x14ac:dyDescent="0.25">
      <c r="L22" s="83"/>
      <c r="M22" s="6" t="s">
        <v>17</v>
      </c>
      <c r="N22" s="9">
        <f>N$18-(0.05*N$18)</f>
        <v>7.863888888888888</v>
      </c>
      <c r="O22" s="9">
        <f>O$18+(O$18/($O$18+$Q$18))*(($N$18-$N22)+($P$18-$P22))</f>
        <v>52.920133505598614</v>
      </c>
      <c r="P22" s="9">
        <f>P$18-(0*P$18)</f>
        <v>5.7222222222222214</v>
      </c>
      <c r="Q22" s="9">
        <f>Q$18+(Q$18/($O$18+$Q$18))*(($N$18-$N22)+($P$18-$P22))</f>
        <v>33.493755383290271</v>
      </c>
      <c r="S22">
        <f>SUM(N22:Q22)</f>
        <v>100</v>
      </c>
    </row>
    <row r="23" spans="12:19" x14ac:dyDescent="0.25">
      <c r="L23" s="83"/>
      <c r="M23" s="6"/>
      <c r="N23" s="9"/>
      <c r="O23" s="9"/>
      <c r="P23" s="9"/>
      <c r="Q23" s="9"/>
    </row>
    <row r="24" spans="12:19" x14ac:dyDescent="0.25">
      <c r="L24" s="83"/>
      <c r="M24" s="6" t="s">
        <v>31</v>
      </c>
      <c r="N24" s="9">
        <f>N$18-(0*N$18)</f>
        <v>8.2777777777777768</v>
      </c>
      <c r="O24" s="9">
        <f>O$18+(O$18/($O$18+$Q$18))*(($N$18-$N24)+($P$18-$P24))</f>
        <v>52.666666666666657</v>
      </c>
      <c r="P24" s="9">
        <f>P$18-(0*P$18)</f>
        <v>5.7222222222222214</v>
      </c>
      <c r="Q24" s="9">
        <f>Q$18+(Q$18/($O$18+$Q$18))*(($N$18-$N24)+($P$18-$P24))</f>
        <v>33.333333333333336</v>
      </c>
      <c r="S24">
        <f>SUM(N24:Q24)</f>
        <v>100</v>
      </c>
    </row>
    <row r="26" spans="12:19" x14ac:dyDescent="0.25">
      <c r="M26" t="s">
        <v>34</v>
      </c>
    </row>
    <row r="27" spans="12:19" x14ac:dyDescent="0.25">
      <c r="N27" s="52" t="s">
        <v>26</v>
      </c>
      <c r="O27" s="52" t="s">
        <v>27</v>
      </c>
      <c r="P27" s="52" t="s">
        <v>28</v>
      </c>
      <c r="Q27" s="52" t="s">
        <v>32</v>
      </c>
    </row>
    <row r="28" spans="12:19" x14ac:dyDescent="0.25">
      <c r="M28" t="s">
        <v>1</v>
      </c>
      <c r="N28" s="58">
        <f>N37</f>
        <v>10</v>
      </c>
      <c r="O28" s="58">
        <f>MROUND(O37,5)</f>
        <v>10</v>
      </c>
      <c r="P28" s="58">
        <v>10</v>
      </c>
      <c r="Q28" s="58">
        <f t="shared" ref="Q28" si="3">MROUND(Q37,5)</f>
        <v>10</v>
      </c>
    </row>
    <row r="29" spans="12:19" x14ac:dyDescent="0.25">
      <c r="M29" t="s">
        <v>14</v>
      </c>
      <c r="N29" s="58">
        <f>N38</f>
        <v>50</v>
      </c>
      <c r="O29" s="58">
        <f t="shared" ref="O29:P31" si="4">MROUND(O38,5)</f>
        <v>50</v>
      </c>
      <c r="P29" s="58">
        <f t="shared" si="4"/>
        <v>50</v>
      </c>
      <c r="Q29" s="58">
        <f t="shared" ref="Q29" si="5">MROUND(Q38,5)</f>
        <v>50</v>
      </c>
    </row>
    <row r="30" spans="12:19" x14ac:dyDescent="0.25">
      <c r="M30" t="s">
        <v>2</v>
      </c>
      <c r="N30" s="58">
        <f>N39</f>
        <v>5</v>
      </c>
      <c r="O30" s="58">
        <f t="shared" si="4"/>
        <v>5</v>
      </c>
      <c r="P30" s="58">
        <f t="shared" si="4"/>
        <v>5</v>
      </c>
      <c r="Q30" s="58">
        <f t="shared" ref="Q30" si="6">MROUND(Q39,5)</f>
        <v>5</v>
      </c>
    </row>
    <row r="31" spans="12:19" x14ac:dyDescent="0.25">
      <c r="M31" t="s">
        <v>3</v>
      </c>
      <c r="N31" s="58">
        <f>N40</f>
        <v>35</v>
      </c>
      <c r="O31" s="58">
        <f t="shared" si="4"/>
        <v>35</v>
      </c>
      <c r="P31" s="58">
        <f t="shared" si="4"/>
        <v>35</v>
      </c>
      <c r="Q31" s="58">
        <f t="shared" ref="Q31" si="7">MROUND(Q40,5)</f>
        <v>35</v>
      </c>
    </row>
    <row r="32" spans="12:19" x14ac:dyDescent="0.25">
      <c r="N32" s="4"/>
      <c r="O32" s="4"/>
    </row>
    <row r="33" spans="13:17" x14ac:dyDescent="0.25">
      <c r="N33" s="58">
        <f>SUM(N28:N31)</f>
        <v>100</v>
      </c>
      <c r="O33" s="58">
        <f t="shared" ref="O33:Q33" si="8">SUM(O28:O31)</f>
        <v>100</v>
      </c>
      <c r="P33" s="58">
        <f t="shared" si="8"/>
        <v>100</v>
      </c>
      <c r="Q33" s="58">
        <f t="shared" si="8"/>
        <v>100</v>
      </c>
    </row>
    <row r="35" spans="13:17" x14ac:dyDescent="0.25">
      <c r="M35" t="s">
        <v>30</v>
      </c>
    </row>
    <row r="36" spans="13:17" x14ac:dyDescent="0.25">
      <c r="N36" s="52" t="s">
        <v>26</v>
      </c>
      <c r="O36" s="52" t="s">
        <v>27</v>
      </c>
      <c r="P36" s="52" t="s">
        <v>28</v>
      </c>
      <c r="Q36" s="52" t="s">
        <v>32</v>
      </c>
    </row>
    <row r="37" spans="13:17" x14ac:dyDescent="0.25">
      <c r="M37" t="s">
        <v>1</v>
      </c>
      <c r="N37" s="58">
        <v>10</v>
      </c>
      <c r="O37" s="59">
        <f>N37-O47</f>
        <v>10</v>
      </c>
      <c r="P37" s="59">
        <f>N37-P47</f>
        <v>9.5861111111111121</v>
      </c>
      <c r="Q37" s="59">
        <f>N37-Q47</f>
        <v>10</v>
      </c>
    </row>
    <row r="38" spans="13:17" x14ac:dyDescent="0.25">
      <c r="M38" t="s">
        <v>14</v>
      </c>
      <c r="N38" s="58">
        <v>50</v>
      </c>
      <c r="O38" s="59">
        <f>N38-O48</f>
        <v>50</v>
      </c>
      <c r="P38" s="59">
        <f>N38-P48</f>
        <v>50.253466838931956</v>
      </c>
      <c r="Q38" s="59">
        <f>N38-Q48</f>
        <v>50</v>
      </c>
    </row>
    <row r="39" spans="13:17" x14ac:dyDescent="0.25">
      <c r="M39" t="s">
        <v>2</v>
      </c>
      <c r="N39" s="58">
        <v>5</v>
      </c>
      <c r="O39" s="59">
        <f>N39-O49</f>
        <v>5</v>
      </c>
      <c r="P39" s="59">
        <f>N39-P49</f>
        <v>5</v>
      </c>
      <c r="Q39" s="59">
        <f>N39-Q49</f>
        <v>5</v>
      </c>
    </row>
    <row r="40" spans="13:17" x14ac:dyDescent="0.25">
      <c r="M40" t="s">
        <v>3</v>
      </c>
      <c r="N40" s="58">
        <v>35</v>
      </c>
      <c r="O40" s="59">
        <f>N40-O50</f>
        <v>35</v>
      </c>
      <c r="P40" s="59">
        <f>N40-P50</f>
        <v>35.160422049956935</v>
      </c>
      <c r="Q40" s="59">
        <f>N40-Q50</f>
        <v>35</v>
      </c>
    </row>
    <row r="41" spans="13:17" x14ac:dyDescent="0.25">
      <c r="N41" s="4"/>
      <c r="O41" s="4"/>
    </row>
    <row r="42" spans="13:17" x14ac:dyDescent="0.25">
      <c r="N42" s="58">
        <f>SUM(N37:N40)</f>
        <v>100</v>
      </c>
      <c r="O42" s="58">
        <f t="shared" ref="O42:Q42" si="9">SUM(O37:O40)</f>
        <v>100</v>
      </c>
      <c r="P42" s="58">
        <f t="shared" si="9"/>
        <v>100</v>
      </c>
      <c r="Q42" s="58">
        <f t="shared" si="9"/>
        <v>100</v>
      </c>
    </row>
    <row r="43" spans="13:17" x14ac:dyDescent="0.25">
      <c r="N43" s="4"/>
    </row>
    <row r="45" spans="13:17" x14ac:dyDescent="0.25">
      <c r="M45" t="s">
        <v>29</v>
      </c>
      <c r="P45" s="4"/>
    </row>
    <row r="46" spans="13:17" x14ac:dyDescent="0.25">
      <c r="N46" s="52" t="s">
        <v>26</v>
      </c>
      <c r="O46" s="52" t="s">
        <v>27</v>
      </c>
      <c r="P46" s="52" t="s">
        <v>28</v>
      </c>
      <c r="Q46" s="52" t="s">
        <v>32</v>
      </c>
    </row>
    <row r="47" spans="13:17" x14ac:dyDescent="0.25">
      <c r="M47" t="s">
        <v>1</v>
      </c>
      <c r="N47" s="59">
        <f>N18</f>
        <v>8.2777777777777768</v>
      </c>
      <c r="O47" s="59">
        <f>N18-N20</f>
        <v>0</v>
      </c>
      <c r="P47" s="59">
        <f>N18-N22</f>
        <v>0.41388888888888875</v>
      </c>
      <c r="Q47" s="59">
        <f>N18-N24</f>
        <v>0</v>
      </c>
    </row>
    <row r="48" spans="13:17" x14ac:dyDescent="0.25">
      <c r="M48" t="s">
        <v>14</v>
      </c>
      <c r="N48" s="59">
        <f>O18</f>
        <v>52.666666666666657</v>
      </c>
      <c r="O48" s="59">
        <f>O18-O20</f>
        <v>0</v>
      </c>
      <c r="P48" s="59">
        <f>O18-O22</f>
        <v>-0.25346683893195632</v>
      </c>
      <c r="Q48" s="59">
        <f>O18-O24</f>
        <v>0</v>
      </c>
    </row>
    <row r="49" spans="13:17" x14ac:dyDescent="0.25">
      <c r="M49" t="s">
        <v>2</v>
      </c>
      <c r="N49" s="59">
        <f>P18</f>
        <v>5.7222222222222214</v>
      </c>
      <c r="O49" s="59">
        <f>P18-P20</f>
        <v>0</v>
      </c>
      <c r="P49" s="59">
        <f>P18-P22</f>
        <v>0</v>
      </c>
      <c r="Q49" s="59">
        <f>P18-P24</f>
        <v>0</v>
      </c>
    </row>
    <row r="50" spans="13:17" x14ac:dyDescent="0.25">
      <c r="M50" t="s">
        <v>3</v>
      </c>
      <c r="N50" s="59">
        <f>Q18</f>
        <v>33.333333333333336</v>
      </c>
      <c r="O50" s="59">
        <f>Q18-Q20</f>
        <v>0</v>
      </c>
      <c r="P50" s="59">
        <f>Q18-Q22</f>
        <v>-0.1604220499569351</v>
      </c>
      <c r="Q50" s="59">
        <f>Q18-Q24</f>
        <v>0</v>
      </c>
    </row>
  </sheetData>
  <mergeCells count="7">
    <mergeCell ref="L18:L24"/>
    <mergeCell ref="N1:S1"/>
    <mergeCell ref="B1:D1"/>
    <mergeCell ref="A4:A6"/>
    <mergeCell ref="A8:A10"/>
    <mergeCell ref="A12:A14"/>
    <mergeCell ref="F1:K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Dominance Scenarios</vt:lpstr>
      <vt:lpstr>SB_Low</vt:lpstr>
      <vt:lpstr>KB_Low</vt:lpstr>
      <vt:lpstr>CO_Low</vt:lpstr>
      <vt:lpstr>RM_Low</vt:lpstr>
      <vt:lpstr>SB_High</vt:lpstr>
      <vt:lpstr>KB_High</vt:lpstr>
      <vt:lpstr>CO_High</vt:lpstr>
      <vt:lpstr>RM_High</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Gannon</dc:creator>
  <dc:description>Based off of Extreme version.</dc:description>
  <cp:lastModifiedBy>Jill Gannon</cp:lastModifiedBy>
  <dcterms:created xsi:type="dcterms:W3CDTF">2011-04-14T23:38:18Z</dcterms:created>
  <dcterms:modified xsi:type="dcterms:W3CDTF">2012-06-13T22:10:05Z</dcterms:modified>
</cp:coreProperties>
</file>