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00" yWindow="180" windowWidth="22850" windowHeight="10740" tabRatio="733" firstSheet="1" activeTab="1"/>
  </bookViews>
  <sheets>
    <sheet name="Plot Data" sheetId="1" state="hidden" r:id="rId1"/>
    <sheet name="Forced Evaporation" sheetId="2" r:id="rId2"/>
    <sheet name="Read Me" sheetId="3" r:id="rId3"/>
    <sheet name="Glossary of label cells" sheetId="4" r:id="rId4"/>
    <sheet name="Ward equation 1 2 3 14" sheetId="11" r:id="rId5"/>
    <sheet name="altitude vs. air pressure" sheetId="7" r:id="rId6"/>
    <sheet name="Lowe 1977 e(T)" sheetId="10" r:id="rId7"/>
    <sheet name="unsaturated vapor pressure" sheetId="12" r:id="rId8"/>
    <sheet name="Ward Constants" sheetId="8" r:id="rId9"/>
    <sheet name="Ward Eqn 12" sheetId="9" r:id="rId10"/>
  </sheets>
  <externalReferences>
    <externalReference r:id="rId11"/>
  </externalReferences>
  <definedNames>
    <definedName name="A">#REF!</definedName>
    <definedName name="AltColumn">#REF!</definedName>
    <definedName name="Altitude">#REF!</definedName>
    <definedName name="AltitudePressure">#REF!</definedName>
    <definedName name="B">#REF!</definedName>
    <definedName name="Copyright">"Text Box 3"</definedName>
    <definedName name="Examples">#REF!</definedName>
    <definedName name="FirstPoint">'Plot Data'!$Q$13</definedName>
    <definedName name="OutputRange">'Plot Data'!$Q$14:$Q$36</definedName>
    <definedName name="Pressure">#REF!</definedName>
    <definedName name="Rho">#REF!</definedName>
    <definedName name="S">#REF!</definedName>
    <definedName name="solver_adj" localSheetId="1" hidden="1">'Forced Evaporation'!$ED$3:$ED$9</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2</definedName>
    <definedName name="solver_nod" localSheetId="1" hidden="1">2147483647</definedName>
    <definedName name="solver_num" localSheetId="1" hidden="1">0</definedName>
    <definedName name="solver_nwt" localSheetId="1" hidden="1">1</definedName>
    <definedName name="solver_opt" localSheetId="1" hidden="1">'Forced Evaporation'!$EE$4</definedName>
    <definedName name="solver_pre" localSheetId="1" hidden="1">0.000001</definedName>
    <definedName name="solver_rbv"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2</definedName>
    <definedName name="solver_val" localSheetId="1" hidden="1">0</definedName>
    <definedName name="solver_ver" localSheetId="1" hidden="1">3</definedName>
    <definedName name="T">#REF!</definedName>
  </definedNames>
  <calcPr calcId="145621"/>
  <customWorkbookViews>
    <customWorkbookView name="Diehl, Timothy H. - Personal View" guid="{038F7421-093D-47DD-9CD5-8B18793407C7}" mergeInterval="0" personalView="1" maximized="1" windowWidth="2992" windowHeight="787" tabRatio="733" activeSheetId="4"/>
    <customWorkbookView name="Valerie Gaine - Personal View" guid="{BDC19292-67D0-4AF6-AD75-122837AE8A2E}" mergeInterval="0" personalView="1" maximized="1" xWindow="1" yWindow="1" windowWidth="1280" windowHeight="442" tabRatio="733" activeSheetId="3" showComments="commIndAndComment"/>
  </customWorkbookViews>
</workbook>
</file>

<file path=xl/calcChain.xml><?xml version="1.0" encoding="utf-8"?>
<calcChain xmlns="http://schemas.openxmlformats.org/spreadsheetml/2006/main">
  <c r="B24" i="11" l="1"/>
  <c r="D23" i="11" l="1"/>
  <c r="B23" i="11"/>
  <c r="B12" i="11"/>
  <c r="B25" i="11" s="1"/>
  <c r="C7" i="11"/>
  <c r="D6" i="11"/>
  <c r="C6" i="11"/>
  <c r="I15" i="11" s="1"/>
  <c r="E114" i="10"/>
  <c r="H114" i="10" s="1"/>
  <c r="D114" i="10"/>
  <c r="D115" i="10" s="1"/>
  <c r="D116" i="10" s="1"/>
  <c r="AF113" i="10"/>
  <c r="V113" i="10"/>
  <c r="S113" i="10"/>
  <c r="H113" i="10"/>
  <c r="AF109" i="10"/>
  <c r="V109" i="10"/>
  <c r="S109" i="10"/>
  <c r="H109" i="10"/>
  <c r="AF107" i="10"/>
  <c r="V107" i="10"/>
  <c r="S107" i="10"/>
  <c r="H107" i="10"/>
  <c r="O103" i="10"/>
  <c r="O102" i="10"/>
  <c r="O101" i="10"/>
  <c r="O100" i="10"/>
  <c r="O99" i="10"/>
  <c r="O98" i="10"/>
  <c r="O97" i="10"/>
  <c r="O96" i="10"/>
  <c r="O95" i="10"/>
  <c r="O94" i="10"/>
  <c r="O93" i="10"/>
  <c r="O92" i="10"/>
  <c r="O91" i="10"/>
  <c r="AC90" i="10"/>
  <c r="Z90" i="10"/>
  <c r="Y90" i="10"/>
  <c r="X90" i="10"/>
  <c r="O90" i="10"/>
  <c r="AC89" i="10"/>
  <c r="Z89" i="10"/>
  <c r="X89" i="10"/>
  <c r="Y89" i="10" s="1"/>
  <c r="V89" i="10"/>
  <c r="O89" i="10"/>
  <c r="AC88" i="10"/>
  <c r="X88" i="10"/>
  <c r="Z88" i="10" s="1"/>
  <c r="V88" i="10"/>
  <c r="O88" i="10"/>
  <c r="AC87" i="10"/>
  <c r="X87" i="10"/>
  <c r="V87" i="10"/>
  <c r="O87" i="10"/>
  <c r="AC86" i="10"/>
  <c r="X86" i="10"/>
  <c r="V86" i="10"/>
  <c r="O86" i="10"/>
  <c r="AC85" i="10"/>
  <c r="Z85" i="10"/>
  <c r="X85" i="10"/>
  <c r="Y85" i="10" s="1"/>
  <c r="V85" i="10"/>
  <c r="O85" i="10"/>
  <c r="AC84" i="10"/>
  <c r="X84" i="10"/>
  <c r="Z84" i="10" s="1"/>
  <c r="V84" i="10"/>
  <c r="O84" i="10"/>
  <c r="AC83" i="10"/>
  <c r="X83" i="10"/>
  <c r="Y83" i="10" s="1"/>
  <c r="V83" i="10"/>
  <c r="O83" i="10"/>
  <c r="AC82" i="10"/>
  <c r="X82" i="10"/>
  <c r="V82" i="10"/>
  <c r="O82" i="10"/>
  <c r="AC81" i="10"/>
  <c r="Z81" i="10"/>
  <c r="X81" i="10"/>
  <c r="Y81" i="10" s="1"/>
  <c r="V81" i="10"/>
  <c r="O81" i="10"/>
  <c r="AC80" i="10"/>
  <c r="Z80" i="10"/>
  <c r="Y80" i="10"/>
  <c r="X80" i="10"/>
  <c r="V80" i="10"/>
  <c r="O80" i="10"/>
  <c r="AC79" i="10"/>
  <c r="Z79" i="10"/>
  <c r="X79" i="10"/>
  <c r="Y79" i="10" s="1"/>
  <c r="V79" i="10"/>
  <c r="O79" i="10"/>
  <c r="AC78" i="10"/>
  <c r="X78" i="10"/>
  <c r="V78" i="10"/>
  <c r="O78" i="10"/>
  <c r="AC77" i="10"/>
  <c r="Z77" i="10"/>
  <c r="X77" i="10"/>
  <c r="V77" i="10"/>
  <c r="O77" i="10"/>
  <c r="AC76" i="10"/>
  <c r="X76" i="10"/>
  <c r="V76" i="10"/>
  <c r="Z76" i="10" s="1"/>
  <c r="O76" i="10"/>
  <c r="AC75" i="10"/>
  <c r="X75" i="10"/>
  <c r="V75" i="10"/>
  <c r="O75" i="10"/>
  <c r="AC74" i="10"/>
  <c r="Z74" i="10"/>
  <c r="Y74" i="10"/>
  <c r="X74" i="10"/>
  <c r="V74" i="10"/>
  <c r="O74" i="10"/>
  <c r="AC73" i="10"/>
  <c r="Z73" i="10"/>
  <c r="X73" i="10"/>
  <c r="V73" i="10"/>
  <c r="O73" i="10"/>
  <c r="AC72" i="10"/>
  <c r="X72" i="10"/>
  <c r="Z72" i="10" s="1"/>
  <c r="V72" i="10"/>
  <c r="Y72" i="10" s="1"/>
  <c r="O72" i="10"/>
  <c r="AC71" i="10"/>
  <c r="Z71" i="10"/>
  <c r="Y71" i="10"/>
  <c r="X71" i="10"/>
  <c r="V71" i="10"/>
  <c r="O71" i="10"/>
  <c r="AC70" i="10"/>
  <c r="X70" i="10"/>
  <c r="V70" i="10"/>
  <c r="Z70" i="10" s="1"/>
  <c r="O70" i="10"/>
  <c r="AC69" i="10"/>
  <c r="Z69" i="10"/>
  <c r="X69" i="10"/>
  <c r="Y69" i="10" s="1"/>
  <c r="V69" i="10"/>
  <c r="O69" i="10"/>
  <c r="AC68" i="10"/>
  <c r="X68" i="10"/>
  <c r="Y68" i="10" s="1"/>
  <c r="V68" i="10"/>
  <c r="O68" i="10"/>
  <c r="AC67" i="10"/>
  <c r="X67" i="10"/>
  <c r="V67" i="10"/>
  <c r="O67" i="10"/>
  <c r="AC66" i="10"/>
  <c r="Z66" i="10"/>
  <c r="Y66" i="10"/>
  <c r="X66" i="10"/>
  <c r="V66" i="10"/>
  <c r="O66" i="10"/>
  <c r="AC65" i="10"/>
  <c r="Z65" i="10"/>
  <c r="X65" i="10"/>
  <c r="V65" i="10"/>
  <c r="O65" i="10"/>
  <c r="AC64" i="10"/>
  <c r="X64" i="10"/>
  <c r="Z64" i="10" s="1"/>
  <c r="V64" i="10"/>
  <c r="Y64" i="10" s="1"/>
  <c r="O64" i="10"/>
  <c r="AC63" i="10"/>
  <c r="Z63" i="10"/>
  <c r="Y63" i="10"/>
  <c r="X63" i="10"/>
  <c r="V63" i="10"/>
  <c r="O63" i="10"/>
  <c r="AC62" i="10"/>
  <c r="X62" i="10"/>
  <c r="V62" i="10"/>
  <c r="O62" i="10"/>
  <c r="AC61" i="10"/>
  <c r="Z61" i="10"/>
  <c r="X61" i="10"/>
  <c r="Y61" i="10" s="1"/>
  <c r="V61" i="10"/>
  <c r="O61" i="10"/>
  <c r="AC60" i="10"/>
  <c r="X60" i="10"/>
  <c r="V60" i="10"/>
  <c r="O60" i="10"/>
  <c r="AC59" i="10"/>
  <c r="X59" i="10"/>
  <c r="V59" i="10"/>
  <c r="O59" i="10"/>
  <c r="AC58" i="10"/>
  <c r="Z58" i="10"/>
  <c r="Y58" i="10"/>
  <c r="X58" i="10"/>
  <c r="V58" i="10"/>
  <c r="O58" i="10"/>
  <c r="AC57" i="10"/>
  <c r="Z57" i="10"/>
  <c r="X57" i="10"/>
  <c r="Y57" i="10" s="1"/>
  <c r="V57" i="10"/>
  <c r="O57" i="10"/>
  <c r="AC56" i="10"/>
  <c r="X56" i="10"/>
  <c r="Z56" i="10" s="1"/>
  <c r="V56" i="10"/>
  <c r="Y56" i="10" s="1"/>
  <c r="O56" i="10"/>
  <c r="AC55" i="10"/>
  <c r="Z55" i="10"/>
  <c r="Y55" i="10"/>
  <c r="X55" i="10"/>
  <c r="V55" i="10"/>
  <c r="O55" i="10"/>
  <c r="AC54" i="10"/>
  <c r="X54" i="10"/>
  <c r="V54" i="10"/>
  <c r="Z54" i="10" s="1"/>
  <c r="O54" i="10"/>
  <c r="AE53" i="10"/>
  <c r="AD53" i="10"/>
  <c r="AC53" i="10"/>
  <c r="Y53" i="10"/>
  <c r="X53" i="10"/>
  <c r="W53" i="10"/>
  <c r="AB53" i="10" s="1"/>
  <c r="V53" i="10"/>
  <c r="Z53" i="10" s="1"/>
  <c r="O53" i="10"/>
  <c r="AE52" i="10"/>
  <c r="AC52" i="10"/>
  <c r="X52" i="10"/>
  <c r="W52" i="10"/>
  <c r="AB52" i="10" s="1"/>
  <c r="V52" i="10"/>
  <c r="Z52" i="10" s="1"/>
  <c r="O52" i="10"/>
  <c r="O51" i="10"/>
  <c r="O50" i="10"/>
  <c r="O49" i="10"/>
  <c r="O48" i="10"/>
  <c r="O47" i="10"/>
  <c r="O46" i="10"/>
  <c r="O45" i="10"/>
  <c r="O44" i="10"/>
  <c r="O43" i="10"/>
  <c r="O42" i="10"/>
  <c r="O41" i="10"/>
  <c r="T40" i="10"/>
  <c r="T41" i="10" s="1"/>
  <c r="W41" i="10" s="1"/>
  <c r="O40" i="10"/>
  <c r="T39" i="10"/>
  <c r="O39" i="10"/>
  <c r="AE38" i="10"/>
  <c r="AD38" i="10"/>
  <c r="AC38" i="10"/>
  <c r="X38" i="10"/>
  <c r="W38" i="10"/>
  <c r="AB38" i="10" s="1"/>
  <c r="O38" i="10"/>
  <c r="AD37" i="10"/>
  <c r="AC37" i="10"/>
  <c r="AB37" i="10"/>
  <c r="X37" i="10"/>
  <c r="W37" i="10"/>
  <c r="V37" i="10"/>
  <c r="Z37" i="10" s="1"/>
  <c r="O37" i="10"/>
  <c r="AE36" i="10"/>
  <c r="AC36" i="10"/>
  <c r="AB36" i="10"/>
  <c r="Y36" i="10"/>
  <c r="X36" i="10"/>
  <c r="Z36" i="10" s="1"/>
  <c r="W36" i="10"/>
  <c r="V36" i="10"/>
  <c r="O36" i="10"/>
  <c r="AD35" i="10"/>
  <c r="AC35" i="10"/>
  <c r="X35" i="10"/>
  <c r="AB35" i="10" s="1"/>
  <c r="W35" i="10"/>
  <c r="V35" i="10"/>
  <c r="O35" i="10"/>
  <c r="AC34" i="10"/>
  <c r="Z34" i="10"/>
  <c r="X34" i="10"/>
  <c r="Y34" i="10" s="1"/>
  <c r="V34" i="10"/>
  <c r="O34" i="10"/>
  <c r="AC33" i="10"/>
  <c r="Y33" i="10"/>
  <c r="X33" i="10"/>
  <c r="V33" i="10"/>
  <c r="O33" i="10"/>
  <c r="AC32" i="10"/>
  <c r="X32" i="10"/>
  <c r="V32" i="10"/>
  <c r="O32" i="10"/>
  <c r="AC31" i="10"/>
  <c r="Z31" i="10"/>
  <c r="Y31" i="10"/>
  <c r="X31" i="10"/>
  <c r="V31" i="10"/>
  <c r="O31" i="10"/>
  <c r="AC30" i="10"/>
  <c r="X30" i="10"/>
  <c r="V30" i="10"/>
  <c r="O30" i="10"/>
  <c r="A30" i="10"/>
  <c r="C30" i="10" s="1"/>
  <c r="AC29" i="10"/>
  <c r="X29" i="10"/>
  <c r="V29" i="10"/>
  <c r="Y29" i="10" s="1"/>
  <c r="O29" i="10"/>
  <c r="G29" i="10"/>
  <c r="AC28" i="10"/>
  <c r="X28" i="10"/>
  <c r="V28" i="10"/>
  <c r="O28" i="10"/>
  <c r="G28" i="10"/>
  <c r="C28" i="10"/>
  <c r="B28" i="10"/>
  <c r="A28" i="10"/>
  <c r="A29" i="10" s="1"/>
  <c r="AC27" i="10"/>
  <c r="Y27" i="10"/>
  <c r="X27" i="10"/>
  <c r="V27" i="10"/>
  <c r="Z27" i="10" s="1"/>
  <c r="O27" i="10"/>
  <c r="G27" i="10"/>
  <c r="H27" i="10" s="1"/>
  <c r="C27" i="10"/>
  <c r="B27" i="10"/>
  <c r="A27" i="10"/>
  <c r="AC26" i="10"/>
  <c r="Z26" i="10"/>
  <c r="X26" i="10"/>
  <c r="Y26" i="10" s="1"/>
  <c r="V26" i="10"/>
  <c r="O26" i="10"/>
  <c r="G26" i="10"/>
  <c r="C26" i="10"/>
  <c r="E26" i="10" s="1"/>
  <c r="AA26" i="10" s="1"/>
  <c r="B26" i="10"/>
  <c r="AC25" i="10"/>
  <c r="X25" i="10"/>
  <c r="Y25" i="10" s="1"/>
  <c r="V25" i="10"/>
  <c r="O25" i="10"/>
  <c r="AC24" i="10"/>
  <c r="X24" i="10"/>
  <c r="Z24" i="10" s="1"/>
  <c r="V24" i="10"/>
  <c r="O24" i="10"/>
  <c r="AC23" i="10"/>
  <c r="Z23" i="10"/>
  <c r="X23" i="10"/>
  <c r="V23" i="10"/>
  <c r="O23" i="10"/>
  <c r="AC22" i="10"/>
  <c r="X22" i="10"/>
  <c r="V22" i="10"/>
  <c r="O22" i="10"/>
  <c r="AC21" i="10"/>
  <c r="X21" i="10"/>
  <c r="V21" i="10"/>
  <c r="O21" i="10"/>
  <c r="AC20" i="10"/>
  <c r="X20" i="10"/>
  <c r="Z20" i="10" s="1"/>
  <c r="V20" i="10"/>
  <c r="O20" i="10"/>
  <c r="AC19" i="10"/>
  <c r="Z19" i="10"/>
  <c r="X19" i="10"/>
  <c r="V19" i="10"/>
  <c r="O19" i="10"/>
  <c r="AC18" i="10"/>
  <c r="Z18" i="10"/>
  <c r="X18" i="10"/>
  <c r="V18" i="10"/>
  <c r="O18" i="10"/>
  <c r="AC17" i="10"/>
  <c r="X17" i="10"/>
  <c r="Z17" i="10" s="1"/>
  <c r="V17" i="10"/>
  <c r="O17" i="10"/>
  <c r="AC16" i="10"/>
  <c r="X16" i="10"/>
  <c r="Z16" i="10" s="1"/>
  <c r="V16" i="10"/>
  <c r="O16" i="10"/>
  <c r="O15" i="10"/>
  <c r="I15" i="10"/>
  <c r="G15" i="10"/>
  <c r="H15" i="10" s="1"/>
  <c r="C15" i="10"/>
  <c r="E15" i="10" s="1"/>
  <c r="A15" i="10"/>
  <c r="A16" i="10" s="1"/>
  <c r="O14" i="10"/>
  <c r="G14" i="10"/>
  <c r="H14" i="10" s="1"/>
  <c r="E14" i="10"/>
  <c r="C14" i="10"/>
  <c r="O13" i="10"/>
  <c r="O12" i="10"/>
  <c r="C12" i="10"/>
  <c r="O11" i="10"/>
  <c r="O10" i="10"/>
  <c r="H9" i="10"/>
  <c r="O9" i="10"/>
  <c r="O8" i="10"/>
  <c r="O7" i="10"/>
  <c r="O6" i="10"/>
  <c r="O5" i="10"/>
  <c r="O4" i="10"/>
  <c r="T21" i="9"/>
  <c r="T22" i="9" s="1"/>
  <c r="U20" i="9"/>
  <c r="A16" i="9"/>
  <c r="A15" i="9"/>
  <c r="D28" i="8"/>
  <c r="D27" i="8"/>
  <c r="D26" i="8"/>
  <c r="D24" i="8"/>
  <c r="D25" i="8" s="1"/>
  <c r="D23" i="8"/>
  <c r="A14" i="8"/>
  <c r="D14" i="8" s="1"/>
  <c r="D13" i="8"/>
  <c r="C38" i="7"/>
  <c r="C39" i="7" s="1"/>
  <c r="C14" i="7"/>
  <c r="B25" i="7"/>
  <c r="B29" i="7" s="1"/>
  <c r="B28" i="7" s="1"/>
  <c r="C4" i="11" l="1"/>
  <c r="D4" i="11"/>
  <c r="C5" i="11"/>
  <c r="I14" i="11" s="1"/>
  <c r="D5" i="11"/>
  <c r="F5" i="11" s="1"/>
  <c r="F6" i="11"/>
  <c r="I18" i="11"/>
  <c r="J13" i="11"/>
  <c r="F7" i="11"/>
  <c r="F4" i="11"/>
  <c r="J18" i="11"/>
  <c r="J15" i="11"/>
  <c r="K15" i="11" s="1"/>
  <c r="I13" i="11"/>
  <c r="Y30" i="10"/>
  <c r="Z30" i="10"/>
  <c r="AB41" i="10"/>
  <c r="Z60" i="10"/>
  <c r="Y60" i="10"/>
  <c r="Z62" i="10"/>
  <c r="Y62" i="10"/>
  <c r="Z78" i="10"/>
  <c r="Y78" i="10"/>
  <c r="E30" i="10"/>
  <c r="AA30" i="10" s="1"/>
  <c r="D117" i="10"/>
  <c r="V117" i="10" s="1"/>
  <c r="V116" i="10"/>
  <c r="Y87" i="10"/>
  <c r="Z87" i="10"/>
  <c r="Z28" i="10"/>
  <c r="Y28" i="10"/>
  <c r="X8" i="10" s="1"/>
  <c r="G16" i="10"/>
  <c r="A17" i="10"/>
  <c r="C16" i="10"/>
  <c r="E16" i="10" s="1"/>
  <c r="Z82" i="10"/>
  <c r="Y82" i="10"/>
  <c r="H26" i="10"/>
  <c r="Z29" i="10"/>
  <c r="Z59" i="10"/>
  <c r="Y59" i="10"/>
  <c r="Z75" i="10"/>
  <c r="Y75" i="10"/>
  <c r="Y84" i="10"/>
  <c r="V115" i="10"/>
  <c r="E27" i="10"/>
  <c r="AA27" i="10" s="1"/>
  <c r="C29" i="10"/>
  <c r="B29" i="10"/>
  <c r="Z33" i="10"/>
  <c r="AD36" i="10"/>
  <c r="Y37" i="10"/>
  <c r="Y52" i="10"/>
  <c r="Y65" i="10"/>
  <c r="Y77" i="10"/>
  <c r="Z32" i="10"/>
  <c r="Y32" i="10"/>
  <c r="Z86" i="10"/>
  <c r="Y86" i="10"/>
  <c r="AC39" i="10"/>
  <c r="W39" i="10"/>
  <c r="X41" i="10"/>
  <c r="T42" i="10"/>
  <c r="Z83" i="10"/>
  <c r="Z22" i="10"/>
  <c r="H28" i="10"/>
  <c r="X39" i="10"/>
  <c r="X40" i="10"/>
  <c r="AD52" i="10"/>
  <c r="Z67" i="10"/>
  <c r="Y67" i="10"/>
  <c r="Y88" i="10"/>
  <c r="AA16" i="10"/>
  <c r="F15" i="10"/>
  <c r="Z25" i="10"/>
  <c r="E28" i="10"/>
  <c r="AA28" i="10" s="1"/>
  <c r="A31" i="10"/>
  <c r="G30" i="10"/>
  <c r="H30" i="10" s="1"/>
  <c r="B30" i="10"/>
  <c r="Z35" i="10"/>
  <c r="Y35" i="10"/>
  <c r="W40" i="10"/>
  <c r="Z68" i="10"/>
  <c r="E115" i="10"/>
  <c r="AF114" i="10"/>
  <c r="S114" i="10"/>
  <c r="Z21" i="10"/>
  <c r="AE35" i="10"/>
  <c r="AC40" i="10"/>
  <c r="AC41" i="10"/>
  <c r="Y54" i="10"/>
  <c r="Y70" i="10"/>
  <c r="Y73" i="10"/>
  <c r="Y76" i="10"/>
  <c r="V114" i="10"/>
  <c r="AE37" i="10"/>
  <c r="U22" i="9"/>
  <c r="T23" i="9"/>
  <c r="U21" i="9"/>
  <c r="L39" i="7"/>
  <c r="E39" i="7"/>
  <c r="R10" i="2"/>
  <c r="J14" i="11" l="1"/>
  <c r="K14" i="11" s="1"/>
  <c r="F8" i="11"/>
  <c r="K16" i="11"/>
  <c r="K13" i="11"/>
  <c r="E116" i="10"/>
  <c r="AF115" i="10"/>
  <c r="S115" i="10"/>
  <c r="H115" i="10"/>
  <c r="AD39" i="10"/>
  <c r="AE39" i="10"/>
  <c r="AA17" i="10"/>
  <c r="X42" i="10"/>
  <c r="W42" i="10"/>
  <c r="AB42" i="10" s="1"/>
  <c r="T43" i="10"/>
  <c r="AC42" i="10"/>
  <c r="H29" i="10"/>
  <c r="E29" i="10"/>
  <c r="AA29" i="10" s="1"/>
  <c r="G31" i="10"/>
  <c r="H31" i="10" s="1"/>
  <c r="A32" i="10"/>
  <c r="C31" i="10"/>
  <c r="B31" i="10"/>
  <c r="AB39" i="10"/>
  <c r="AB40" i="10"/>
  <c r="A18" i="10"/>
  <c r="G17" i="10"/>
  <c r="C17" i="10"/>
  <c r="E17" i="10" s="1"/>
  <c r="AD41" i="10"/>
  <c r="AE41" i="10"/>
  <c r="AE40" i="10"/>
  <c r="AD40" i="10"/>
  <c r="I16" i="10"/>
  <c r="F16" i="10" s="1"/>
  <c r="H16" i="10"/>
  <c r="T24" i="9"/>
  <c r="U23" i="9"/>
  <c r="EA11" i="2"/>
  <c r="DZ11" i="2"/>
  <c r="S21" i="2"/>
  <c r="DP20" i="2"/>
  <c r="AF23" i="2"/>
  <c r="AF22" i="2"/>
  <c r="AF21" i="2"/>
  <c r="AF20" i="2"/>
  <c r="AF19" i="2"/>
  <c r="AF18" i="2"/>
  <c r="AF17" i="2"/>
  <c r="AF16" i="2"/>
  <c r="AF15" i="2"/>
  <c r="AF14" i="2"/>
  <c r="AF13" i="2"/>
  <c r="AF12" i="2"/>
  <c r="V23" i="2"/>
  <c r="V22" i="2"/>
  <c r="V21" i="2"/>
  <c r="V20" i="2"/>
  <c r="W20" i="2"/>
  <c r="V19" i="2"/>
  <c r="V18" i="2"/>
  <c r="V17" i="2"/>
  <c r="W17" i="2"/>
  <c r="V16" i="2"/>
  <c r="W16" i="2"/>
  <c r="V15" i="2"/>
  <c r="V14" i="2"/>
  <c r="V13" i="2"/>
  <c r="V12" i="2"/>
  <c r="W12" i="2"/>
  <c r="G13" i="2"/>
  <c r="G14" i="2"/>
  <c r="EA13" i="2"/>
  <c r="AA23" i="2"/>
  <c r="AB23" i="2"/>
  <c r="AC23" i="2"/>
  <c r="Z23" i="2"/>
  <c r="Y23" i="2"/>
  <c r="AA22" i="2"/>
  <c r="Z22" i="2"/>
  <c r="AB22" i="2"/>
  <c r="AC22" i="2"/>
  <c r="Y22" i="2"/>
  <c r="AA21" i="2"/>
  <c r="Z21" i="2"/>
  <c r="Y21" i="2"/>
  <c r="AB21" i="2"/>
  <c r="AC21" i="2"/>
  <c r="AA20" i="2"/>
  <c r="Z20" i="2"/>
  <c r="Y20" i="2"/>
  <c r="AA19" i="2"/>
  <c r="Z19" i="2"/>
  <c r="Y19" i="2"/>
  <c r="AA18" i="2"/>
  <c r="Z18" i="2"/>
  <c r="AB18" i="2"/>
  <c r="AC18" i="2"/>
  <c r="Y18" i="2"/>
  <c r="AA17" i="2"/>
  <c r="Z17" i="2"/>
  <c r="Y17" i="2"/>
  <c r="AB17" i="2"/>
  <c r="AA16" i="2"/>
  <c r="Z16" i="2"/>
  <c r="Y16" i="2"/>
  <c r="AB16" i="2"/>
  <c r="AC16" i="2"/>
  <c r="AA15" i="2"/>
  <c r="AB15" i="2"/>
  <c r="AC15" i="2"/>
  <c r="Z15" i="2"/>
  <c r="Y15" i="2"/>
  <c r="AA14" i="2"/>
  <c r="Z14" i="2"/>
  <c r="AB14" i="2"/>
  <c r="AC14" i="2"/>
  <c r="Y14" i="2"/>
  <c r="AA13" i="2"/>
  <c r="Z13" i="2"/>
  <c r="Y13" i="2"/>
  <c r="AB13" i="2"/>
  <c r="AC13" i="2"/>
  <c r="AA12" i="2"/>
  <c r="Z12" i="2"/>
  <c r="Y12" i="2"/>
  <c r="X12" i="2"/>
  <c r="U12" i="2"/>
  <c r="AD12" i="2"/>
  <c r="AE12" i="2"/>
  <c r="AH12" i="2"/>
  <c r="AL12" i="2"/>
  <c r="DZ12" i="2"/>
  <c r="EA12" i="2"/>
  <c r="EB12" i="2"/>
  <c r="ED12" i="2"/>
  <c r="DZ13" i="2"/>
  <c r="ED13" i="2"/>
  <c r="AE13" i="2"/>
  <c r="AD13" i="2"/>
  <c r="X13" i="2"/>
  <c r="DZ14" i="2"/>
  <c r="AE14" i="2"/>
  <c r="AD14" i="2"/>
  <c r="DZ15" i="2"/>
  <c r="AE15" i="2"/>
  <c r="AD15" i="2"/>
  <c r="DZ16" i="2"/>
  <c r="AE16" i="2"/>
  <c r="AD16" i="2"/>
  <c r="X14" i="2"/>
  <c r="EA14" i="2"/>
  <c r="DP12" i="2"/>
  <c r="DH7" i="2"/>
  <c r="EN9" i="2"/>
  <c r="EN8" i="2"/>
  <c r="EN7" i="2"/>
  <c r="EN6" i="2"/>
  <c r="EN5" i="2"/>
  <c r="EN4" i="2"/>
  <c r="EN3" i="2"/>
  <c r="DZ23" i="2"/>
  <c r="AE23" i="2"/>
  <c r="AD23" i="2"/>
  <c r="DZ22" i="2"/>
  <c r="AE22" i="2"/>
  <c r="AD22" i="2"/>
  <c r="DZ21" i="2"/>
  <c r="AE21" i="2"/>
  <c r="AD21" i="2"/>
  <c r="DZ20" i="2"/>
  <c r="AE20" i="2"/>
  <c r="AD20" i="2"/>
  <c r="DZ19" i="2"/>
  <c r="AE19" i="2"/>
  <c r="AD19" i="2"/>
  <c r="DZ18" i="2"/>
  <c r="AE18" i="2"/>
  <c r="AD18" i="2"/>
  <c r="DZ17" i="2"/>
  <c r="AE17" i="2"/>
  <c r="AD17" i="2"/>
  <c r="EB11" i="2"/>
  <c r="C8" i="2"/>
  <c r="DQ9" i="2"/>
  <c r="N15" i="1"/>
  <c r="N16" i="1"/>
  <c r="N18" i="1"/>
  <c r="N17" i="1"/>
  <c r="N19" i="1"/>
  <c r="N21" i="1"/>
  <c r="N23" i="1"/>
  <c r="N20" i="1"/>
  <c r="N22" i="1"/>
  <c r="N24" i="1"/>
  <c r="N26" i="1"/>
  <c r="N28" i="1"/>
  <c r="N30" i="1"/>
  <c r="N32" i="1"/>
  <c r="N34" i="1"/>
  <c r="N36" i="1"/>
  <c r="N25" i="1"/>
  <c r="N27" i="1"/>
  <c r="N29" i="1"/>
  <c r="N31" i="1"/>
  <c r="N33" i="1"/>
  <c r="N35" i="1"/>
  <c r="C7" i="1"/>
  <c r="EA15" i="2"/>
  <c r="X15" i="2"/>
  <c r="EA16" i="2"/>
  <c r="X16" i="2"/>
  <c r="X17" i="2"/>
  <c r="EA17" i="2"/>
  <c r="X18" i="2"/>
  <c r="EA18" i="2"/>
  <c r="X19" i="2"/>
  <c r="EA19" i="2"/>
  <c r="X20" i="2"/>
  <c r="EA20" i="2"/>
  <c r="X21" i="2"/>
  <c r="EA21" i="2"/>
  <c r="X22" i="2"/>
  <c r="EA22" i="2"/>
  <c r="X23" i="2"/>
  <c r="EA23" i="2"/>
  <c r="AC17" i="2"/>
  <c r="AB20" i="2"/>
  <c r="AC20" i="2"/>
  <c r="U13" i="2"/>
  <c r="AL13" i="2"/>
  <c r="AP13" i="2"/>
  <c r="AH13" i="2"/>
  <c r="EB13" i="2"/>
  <c r="W19" i="2"/>
  <c r="AP12" i="2"/>
  <c r="AM12" i="2"/>
  <c r="AO13" i="2"/>
  <c r="AQ13" i="2"/>
  <c r="AS13" i="2"/>
  <c r="AN13" i="2"/>
  <c r="AB19" i="2"/>
  <c r="AC19" i="2"/>
  <c r="W18" i="2"/>
  <c r="W23" i="2"/>
  <c r="W22" i="2"/>
  <c r="W14" i="2"/>
  <c r="W15" i="2"/>
  <c r="W21" i="2"/>
  <c r="AN12" i="2"/>
  <c r="AH14" i="2"/>
  <c r="G15" i="2"/>
  <c r="U14" i="2"/>
  <c r="AB12" i="2"/>
  <c r="AC12" i="2"/>
  <c r="AM13" i="2"/>
  <c r="EB14" i="2"/>
  <c r="ED14" i="2"/>
  <c r="W13" i="2"/>
  <c r="AX13" i="2"/>
  <c r="AT13" i="2"/>
  <c r="AU13" i="2"/>
  <c r="AV13" i="2"/>
  <c r="AW13" i="2"/>
  <c r="AQ12" i="2"/>
  <c r="AS12" i="2"/>
  <c r="AL14" i="2"/>
  <c r="AH15" i="2"/>
  <c r="U15" i="2"/>
  <c r="G16" i="2"/>
  <c r="EB15" i="2"/>
  <c r="ED15" i="2"/>
  <c r="AO12" i="2"/>
  <c r="AT12" i="2"/>
  <c r="AU12" i="2"/>
  <c r="AV12" i="2"/>
  <c r="AX12" i="2"/>
  <c r="G17" i="2"/>
  <c r="EB16" i="2"/>
  <c r="ED16" i="2"/>
  <c r="U16" i="2"/>
  <c r="AH16" i="2"/>
  <c r="AL16" i="2"/>
  <c r="AY13" i="2"/>
  <c r="BA13" i="2"/>
  <c r="AW12" i="2"/>
  <c r="AL15" i="2"/>
  <c r="AM14" i="2"/>
  <c r="AN14" i="2"/>
  <c r="AP14" i="2"/>
  <c r="AQ14" i="2"/>
  <c r="AS14" i="2"/>
  <c r="AO14" i="2"/>
  <c r="AX14" i="2"/>
  <c r="AU14" i="2"/>
  <c r="AV14" i="2"/>
  <c r="AT14" i="2"/>
  <c r="AW14" i="2"/>
  <c r="AM16" i="2"/>
  <c r="AN16" i="2"/>
  <c r="AP16" i="2"/>
  <c r="AO16" i="2"/>
  <c r="U17" i="2"/>
  <c r="EB17" i="2"/>
  <c r="ED17" i="2"/>
  <c r="G18" i="2"/>
  <c r="AH17" i="2"/>
  <c r="AL17" i="2"/>
  <c r="AM15" i="2"/>
  <c r="AN15" i="2"/>
  <c r="AP15" i="2"/>
  <c r="AO15" i="2"/>
  <c r="AY12" i="2"/>
  <c r="BA12" i="2"/>
  <c r="BF13" i="2"/>
  <c r="BG13" i="2"/>
  <c r="BI13" i="2"/>
  <c r="BB13" i="2"/>
  <c r="BC13" i="2"/>
  <c r="BD13" i="2"/>
  <c r="BE13" i="2"/>
  <c r="BN13" i="2"/>
  <c r="BJ13" i="2"/>
  <c r="BK13" i="2"/>
  <c r="BL13" i="2"/>
  <c r="BM13" i="2"/>
  <c r="BB12" i="2"/>
  <c r="BC12" i="2"/>
  <c r="BD12" i="2"/>
  <c r="BF12" i="2"/>
  <c r="BG12" i="2"/>
  <c r="BI12" i="2"/>
  <c r="BE12" i="2"/>
  <c r="U18" i="2"/>
  <c r="G19" i="2"/>
  <c r="EB18" i="2"/>
  <c r="ED18" i="2"/>
  <c r="AH18" i="2"/>
  <c r="AL18" i="2"/>
  <c r="AQ16" i="2"/>
  <c r="AS16" i="2"/>
  <c r="AP17" i="2"/>
  <c r="AQ17" i="2"/>
  <c r="AS17" i="2"/>
  <c r="AM17" i="2"/>
  <c r="AN17" i="2"/>
  <c r="AO17" i="2"/>
  <c r="AQ15" i="2"/>
  <c r="AS15" i="2"/>
  <c r="AY14" i="2"/>
  <c r="BA14" i="2"/>
  <c r="AU17" i="2"/>
  <c r="AV17" i="2"/>
  <c r="AT17" i="2"/>
  <c r="AX17" i="2"/>
  <c r="AW17" i="2"/>
  <c r="AP18" i="2"/>
  <c r="AM18" i="2"/>
  <c r="AN18" i="2"/>
  <c r="AO18" i="2"/>
  <c r="AU15" i="2"/>
  <c r="AV15" i="2"/>
  <c r="AT15" i="2"/>
  <c r="AX15" i="2"/>
  <c r="AW15" i="2"/>
  <c r="AH19" i="2"/>
  <c r="G20" i="2"/>
  <c r="U19" i="2"/>
  <c r="EB19" i="2"/>
  <c r="ED19" i="2"/>
  <c r="BK12" i="2"/>
  <c r="BL12" i="2"/>
  <c r="BJ12" i="2"/>
  <c r="BN12" i="2"/>
  <c r="BO12" i="2"/>
  <c r="BQ12" i="2"/>
  <c r="BM12" i="2"/>
  <c r="BC14" i="2"/>
  <c r="BD14" i="2"/>
  <c r="BF14" i="2"/>
  <c r="BB14" i="2"/>
  <c r="BE14" i="2"/>
  <c r="BO13" i="2"/>
  <c r="BQ13" i="2"/>
  <c r="AX16" i="2"/>
  <c r="AY16" i="2"/>
  <c r="BA16" i="2"/>
  <c r="AT16" i="2"/>
  <c r="AU16" i="2"/>
  <c r="AV16" i="2"/>
  <c r="AW16" i="2"/>
  <c r="BB16" i="2"/>
  <c r="BF16" i="2"/>
  <c r="BC16" i="2"/>
  <c r="BD16" i="2"/>
  <c r="BE16" i="2"/>
  <c r="BS13" i="2"/>
  <c r="BT13" i="2"/>
  <c r="BV13" i="2"/>
  <c r="BR13" i="2"/>
  <c r="BU13" i="2"/>
  <c r="AY15" i="2"/>
  <c r="BA15" i="2"/>
  <c r="BG14" i="2"/>
  <c r="BI14" i="2"/>
  <c r="EB20" i="2"/>
  <c r="ED20" i="2"/>
  <c r="G21" i="2"/>
  <c r="AH20" i="2"/>
  <c r="AL20" i="2"/>
  <c r="U20" i="2"/>
  <c r="AY17" i="2"/>
  <c r="BA17" i="2"/>
  <c r="AL19" i="2"/>
  <c r="BV12" i="2"/>
  <c r="BR12" i="2"/>
  <c r="BS12" i="2"/>
  <c r="BT12" i="2"/>
  <c r="BU12" i="2"/>
  <c r="AQ18" i="2"/>
  <c r="AS18" i="2"/>
  <c r="AM20" i="2"/>
  <c r="AN20" i="2"/>
  <c r="AP20" i="2"/>
  <c r="AO20" i="2"/>
  <c r="BB17" i="2"/>
  <c r="BF17" i="2"/>
  <c r="BC17" i="2"/>
  <c r="BD17" i="2"/>
  <c r="BE17" i="2"/>
  <c r="BW13" i="2"/>
  <c r="BY13" i="2"/>
  <c r="AH21" i="2"/>
  <c r="U21" i="2"/>
  <c r="G22" i="2"/>
  <c r="EB21" i="2"/>
  <c r="ED21" i="2"/>
  <c r="BJ14" i="2"/>
  <c r="BN14" i="2"/>
  <c r="BK14" i="2"/>
  <c r="BL14" i="2"/>
  <c r="BM14" i="2"/>
  <c r="BG16" i="2"/>
  <c r="BI16" i="2"/>
  <c r="AT18" i="2"/>
  <c r="AU18" i="2"/>
  <c r="AV18" i="2"/>
  <c r="AX18" i="2"/>
  <c r="AY18" i="2"/>
  <c r="BA18" i="2"/>
  <c r="AW18" i="2"/>
  <c r="BW12" i="2"/>
  <c r="BY12" i="2"/>
  <c r="AP19" i="2"/>
  <c r="AM19" i="2"/>
  <c r="AN19" i="2"/>
  <c r="AO19" i="2"/>
  <c r="BB15" i="2"/>
  <c r="BC15" i="2"/>
  <c r="BD15" i="2"/>
  <c r="BF15" i="2"/>
  <c r="BE15" i="2"/>
  <c r="BC18" i="2"/>
  <c r="BD18" i="2"/>
  <c r="BF18" i="2"/>
  <c r="BB18" i="2"/>
  <c r="BE18" i="2"/>
  <c r="AL21" i="2"/>
  <c r="U22" i="2"/>
  <c r="EB22" i="2"/>
  <c r="ED22" i="2"/>
  <c r="G23" i="2"/>
  <c r="AH22" i="2"/>
  <c r="BG15" i="2"/>
  <c r="BI15" i="2"/>
  <c r="BZ12" i="2"/>
  <c r="CD12" i="2"/>
  <c r="CA12" i="2"/>
  <c r="CB12" i="2"/>
  <c r="CC12" i="2"/>
  <c r="BJ16" i="2"/>
  <c r="BN16" i="2"/>
  <c r="BK16" i="2"/>
  <c r="BL16" i="2"/>
  <c r="BM16" i="2"/>
  <c r="CA13" i="2"/>
  <c r="CB13" i="2"/>
  <c r="BZ13" i="2"/>
  <c r="CD13" i="2"/>
  <c r="CC13" i="2"/>
  <c r="BO14" i="2"/>
  <c r="BQ14" i="2"/>
  <c r="AQ19" i="2"/>
  <c r="AS19" i="2"/>
  <c r="AQ20" i="2"/>
  <c r="AS20" i="2"/>
  <c r="BG17" i="2"/>
  <c r="BI17" i="2"/>
  <c r="BS14" i="2"/>
  <c r="BT14" i="2"/>
  <c r="BR14" i="2"/>
  <c r="BV14" i="2"/>
  <c r="BU14" i="2"/>
  <c r="CZ13" i="2"/>
  <c r="CE13" i="2"/>
  <c r="CG13" i="2"/>
  <c r="CY13" i="2"/>
  <c r="AP21" i="2"/>
  <c r="AM21" i="2"/>
  <c r="AN21" i="2"/>
  <c r="AO21" i="2"/>
  <c r="CE12" i="2"/>
  <c r="CG12" i="2"/>
  <c r="CY12" i="2"/>
  <c r="CZ12" i="2"/>
  <c r="BK17" i="2"/>
  <c r="BL17" i="2"/>
  <c r="BN17" i="2"/>
  <c r="BJ17" i="2"/>
  <c r="BM17" i="2"/>
  <c r="BK15" i="2"/>
  <c r="BL15" i="2"/>
  <c r="BJ15" i="2"/>
  <c r="BN15" i="2"/>
  <c r="BM15" i="2"/>
  <c r="AL22" i="2"/>
  <c r="BG18" i="2"/>
  <c r="BI18" i="2"/>
  <c r="AU20" i="2"/>
  <c r="AV20" i="2"/>
  <c r="AT20" i="2"/>
  <c r="AX20" i="2"/>
  <c r="AW20" i="2"/>
  <c r="AT19" i="2"/>
  <c r="AU19" i="2"/>
  <c r="AV19" i="2"/>
  <c r="AX19" i="2"/>
  <c r="AW19" i="2"/>
  <c r="BO16" i="2"/>
  <c r="BQ16" i="2"/>
  <c r="EB23" i="2"/>
  <c r="ED23" i="2"/>
  <c r="U23" i="2"/>
  <c r="AH23" i="2"/>
  <c r="BO15" i="2"/>
  <c r="BQ15" i="2"/>
  <c r="DM12" i="2"/>
  <c r="DG12" i="2"/>
  <c r="DH12" i="2"/>
  <c r="DG13" i="2"/>
  <c r="DH13" i="2"/>
  <c r="DM13" i="2"/>
  <c r="BS16" i="2"/>
  <c r="BT16" i="2"/>
  <c r="BV16" i="2"/>
  <c r="BW16" i="2"/>
  <c r="BY16" i="2"/>
  <c r="BR16" i="2"/>
  <c r="BU16" i="2"/>
  <c r="AY20" i="2"/>
  <c r="BA20" i="2"/>
  <c r="CI12" i="2"/>
  <c r="CJ12" i="2"/>
  <c r="CL12" i="2"/>
  <c r="CM12" i="2"/>
  <c r="CO12" i="2"/>
  <c r="CH12" i="2"/>
  <c r="CK12" i="2"/>
  <c r="CH13" i="2"/>
  <c r="CL13" i="2"/>
  <c r="CM13" i="2"/>
  <c r="CO13" i="2"/>
  <c r="CI13" i="2"/>
  <c r="CJ13" i="2"/>
  <c r="CK13" i="2"/>
  <c r="BW14" i="2"/>
  <c r="BY14" i="2"/>
  <c r="BJ18" i="2"/>
  <c r="BK18" i="2"/>
  <c r="BL18" i="2"/>
  <c r="BN18" i="2"/>
  <c r="BM18" i="2"/>
  <c r="BO17" i="2"/>
  <c r="BQ17" i="2"/>
  <c r="AY19" i="2"/>
  <c r="BA19" i="2"/>
  <c r="AL23" i="2"/>
  <c r="AP22" i="2"/>
  <c r="AM22" i="2"/>
  <c r="AN22" i="2"/>
  <c r="AO22" i="2"/>
  <c r="AQ21" i="2"/>
  <c r="AS21" i="2"/>
  <c r="CT13" i="2"/>
  <c r="H13" i="2"/>
  <c r="CP13" i="2"/>
  <c r="CQ13" i="2"/>
  <c r="CR13" i="2"/>
  <c r="CS13" i="2"/>
  <c r="BO18" i="2"/>
  <c r="BQ18" i="2"/>
  <c r="BZ16" i="2"/>
  <c r="CD16" i="2"/>
  <c r="CA16" i="2"/>
  <c r="CB16" i="2"/>
  <c r="CC16" i="2"/>
  <c r="BZ14" i="2"/>
  <c r="CD14" i="2"/>
  <c r="CA14" i="2"/>
  <c r="CB14" i="2"/>
  <c r="CC14" i="2"/>
  <c r="AQ22" i="2"/>
  <c r="AS22" i="2"/>
  <c r="H12" i="2"/>
  <c r="CQ12" i="2"/>
  <c r="CR12" i="2"/>
  <c r="CP12" i="2"/>
  <c r="CT12" i="2"/>
  <c r="CS12" i="2"/>
  <c r="DN13" i="2"/>
  <c r="AP23" i="2"/>
  <c r="AQ23" i="2"/>
  <c r="AS23" i="2"/>
  <c r="AM23" i="2"/>
  <c r="AN23" i="2"/>
  <c r="AO23" i="2"/>
  <c r="DN12" i="2"/>
  <c r="AT21" i="2"/>
  <c r="AX21" i="2"/>
  <c r="AY21" i="2"/>
  <c r="BA21" i="2"/>
  <c r="AU21" i="2"/>
  <c r="AV21" i="2"/>
  <c r="AW21" i="2"/>
  <c r="BC19" i="2"/>
  <c r="BD19" i="2"/>
  <c r="BF19" i="2"/>
  <c r="BB19" i="2"/>
  <c r="BE19" i="2"/>
  <c r="BF20" i="2"/>
  <c r="BG20" i="2"/>
  <c r="BI20" i="2"/>
  <c r="BC20" i="2"/>
  <c r="BD20" i="2"/>
  <c r="BB20" i="2"/>
  <c r="BE20" i="2"/>
  <c r="BS17" i="2"/>
  <c r="BT17" i="2"/>
  <c r="BR17" i="2"/>
  <c r="BV17" i="2"/>
  <c r="BU17" i="2"/>
  <c r="BR15" i="2"/>
  <c r="BS15" i="2"/>
  <c r="BT15" i="2"/>
  <c r="BV15" i="2"/>
  <c r="BU15" i="2"/>
  <c r="BB21" i="2"/>
  <c r="BC21" i="2"/>
  <c r="BD21" i="2"/>
  <c r="BF21" i="2"/>
  <c r="BE21" i="2"/>
  <c r="BJ20" i="2"/>
  <c r="BK20" i="2"/>
  <c r="BL20" i="2"/>
  <c r="BN20" i="2"/>
  <c r="BM20" i="2"/>
  <c r="CZ16" i="2"/>
  <c r="CE16" i="2"/>
  <c r="CG16" i="2"/>
  <c r="CY16" i="2"/>
  <c r="AU22" i="2"/>
  <c r="AV22" i="2"/>
  <c r="AX22" i="2"/>
  <c r="AT22" i="2"/>
  <c r="AW22" i="2"/>
  <c r="BW17" i="2"/>
  <c r="BY17" i="2"/>
  <c r="BR18" i="2"/>
  <c r="BV18" i="2"/>
  <c r="BS18" i="2"/>
  <c r="BT18" i="2"/>
  <c r="BU18" i="2"/>
  <c r="AI12" i="2"/>
  <c r="EC12" i="2"/>
  <c r="EE12" i="2"/>
  <c r="I12" i="2"/>
  <c r="AK12" i="2"/>
  <c r="AL30" i="2"/>
  <c r="BG19" i="2"/>
  <c r="BI19" i="2"/>
  <c r="CZ14" i="2"/>
  <c r="CY14" i="2"/>
  <c r="CE14" i="2"/>
  <c r="CG14" i="2"/>
  <c r="CU12" i="2"/>
  <c r="CW12" i="2"/>
  <c r="BW15" i="2"/>
  <c r="BY15" i="2"/>
  <c r="AI13" i="2"/>
  <c r="EC13" i="2"/>
  <c r="EE13" i="2"/>
  <c r="EF13" i="2"/>
  <c r="I13" i="2"/>
  <c r="AK13" i="2"/>
  <c r="AL31" i="2"/>
  <c r="AX23" i="2"/>
  <c r="AT23" i="2"/>
  <c r="AU23" i="2"/>
  <c r="AV23" i="2"/>
  <c r="AW23" i="2"/>
  <c r="CU13" i="2"/>
  <c r="CW13" i="2"/>
  <c r="EF12" i="2"/>
  <c r="AJ12" i="2"/>
  <c r="L12" i="2"/>
  <c r="DA12" i="2"/>
  <c r="DB12" i="2"/>
  <c r="DD12" i="2"/>
  <c r="CX12" i="2"/>
  <c r="DC12" i="2"/>
  <c r="AY22" i="2"/>
  <c r="BA22" i="2"/>
  <c r="DD13" i="2"/>
  <c r="L13" i="2"/>
  <c r="DA13" i="2"/>
  <c r="DB13" i="2"/>
  <c r="AJ13" i="2"/>
  <c r="Q13" i="2"/>
  <c r="CX13" i="2"/>
  <c r="DC13" i="2"/>
  <c r="BW18" i="2"/>
  <c r="BY18" i="2"/>
  <c r="DG16" i="2"/>
  <c r="DH16" i="2"/>
  <c r="DM16" i="2"/>
  <c r="BG21" i="2"/>
  <c r="BI21" i="2"/>
  <c r="CA15" i="2"/>
  <c r="CB15" i="2"/>
  <c r="BZ15" i="2"/>
  <c r="CD15" i="2"/>
  <c r="CC15" i="2"/>
  <c r="CH14" i="2"/>
  <c r="CL14" i="2"/>
  <c r="CI14" i="2"/>
  <c r="CJ14" i="2"/>
  <c r="CK14" i="2"/>
  <c r="DM14" i="2"/>
  <c r="DG14" i="2"/>
  <c r="DH14" i="2"/>
  <c r="CI16" i="2"/>
  <c r="CJ16" i="2"/>
  <c r="CL16" i="2"/>
  <c r="CM16" i="2"/>
  <c r="CO16" i="2"/>
  <c r="CH16" i="2"/>
  <c r="CK16" i="2"/>
  <c r="BO20" i="2"/>
  <c r="BQ20" i="2"/>
  <c r="AY23" i="2"/>
  <c r="BA23" i="2"/>
  <c r="BN19" i="2"/>
  <c r="BK19" i="2"/>
  <c r="BL19" i="2"/>
  <c r="BJ19" i="2"/>
  <c r="BM19" i="2"/>
  <c r="BZ17" i="2"/>
  <c r="CA17" i="2"/>
  <c r="CB17" i="2"/>
  <c r="CD17" i="2"/>
  <c r="CC17" i="2"/>
  <c r="CP16" i="2"/>
  <c r="CQ16" i="2"/>
  <c r="CR16" i="2"/>
  <c r="CT16" i="2"/>
  <c r="H16" i="2"/>
  <c r="CS16" i="2"/>
  <c r="DN14" i="2"/>
  <c r="N12" i="2"/>
  <c r="DE12" i="2"/>
  <c r="O12" i="2"/>
  <c r="BB23" i="2"/>
  <c r="BC23" i="2"/>
  <c r="BD23" i="2"/>
  <c r="BF23" i="2"/>
  <c r="BE23" i="2"/>
  <c r="BJ21" i="2"/>
  <c r="BK21" i="2"/>
  <c r="BL21" i="2"/>
  <c r="BN21" i="2"/>
  <c r="BM21" i="2"/>
  <c r="Q12" i="2"/>
  <c r="CD18" i="2"/>
  <c r="CA18" i="2"/>
  <c r="CB18" i="2"/>
  <c r="BZ18" i="2"/>
  <c r="CC18" i="2"/>
  <c r="CZ15" i="2"/>
  <c r="CE15" i="2"/>
  <c r="CG15" i="2"/>
  <c r="CY15" i="2"/>
  <c r="BO19" i="2"/>
  <c r="BQ19" i="2"/>
  <c r="CY17" i="2"/>
  <c r="CE17" i="2"/>
  <c r="CG17" i="2"/>
  <c r="CZ17" i="2"/>
  <c r="BR20" i="2"/>
  <c r="BU20" i="2"/>
  <c r="BV20" i="2"/>
  <c r="BS20" i="2"/>
  <c r="BT20" i="2"/>
  <c r="DE13" i="2"/>
  <c r="O13" i="2"/>
  <c r="N13" i="2"/>
  <c r="DI13" i="2"/>
  <c r="DJ13" i="2"/>
  <c r="CM14" i="2"/>
  <c r="CO14" i="2"/>
  <c r="DN16" i="2"/>
  <c r="BF22" i="2"/>
  <c r="BB22" i="2"/>
  <c r="BC22" i="2"/>
  <c r="BD22" i="2"/>
  <c r="BE22" i="2"/>
  <c r="DK13" i="2"/>
  <c r="J13" i="2"/>
  <c r="DL13" i="2"/>
  <c r="K13" i="2"/>
  <c r="CE18" i="2"/>
  <c r="CG18" i="2"/>
  <c r="CZ18" i="2"/>
  <c r="CY18" i="2"/>
  <c r="BG23" i="2"/>
  <c r="BI23" i="2"/>
  <c r="DG17" i="2"/>
  <c r="DH17" i="2"/>
  <c r="DM17" i="2"/>
  <c r="BR19" i="2"/>
  <c r="BV19" i="2"/>
  <c r="BS19" i="2"/>
  <c r="BT19" i="2"/>
  <c r="BU19" i="2"/>
  <c r="AK16" i="2"/>
  <c r="AL34" i="2"/>
  <c r="I16" i="2"/>
  <c r="AI16" i="2"/>
  <c r="EC16" i="2"/>
  <c r="EE16" i="2"/>
  <c r="EF16" i="2"/>
  <c r="DM15" i="2"/>
  <c r="DG15" i="2"/>
  <c r="DH15" i="2"/>
  <c r="CU16" i="2"/>
  <c r="CW16" i="2"/>
  <c r="M12" i="2"/>
  <c r="P12" i="2"/>
  <c r="BG22" i="2"/>
  <c r="BI22" i="2"/>
  <c r="CI15" i="2"/>
  <c r="CJ15" i="2"/>
  <c r="CL15" i="2"/>
  <c r="CM15" i="2"/>
  <c r="CO15" i="2"/>
  <c r="CH15" i="2"/>
  <c r="CK15" i="2"/>
  <c r="CT14" i="2"/>
  <c r="CQ14" i="2"/>
  <c r="CR14" i="2"/>
  <c r="H14" i="2"/>
  <c r="CP14" i="2"/>
  <c r="CS14" i="2"/>
  <c r="CL17" i="2"/>
  <c r="CI17" i="2"/>
  <c r="CJ17" i="2"/>
  <c r="CH17" i="2"/>
  <c r="CK17" i="2"/>
  <c r="M13" i="2"/>
  <c r="P13" i="2"/>
  <c r="BW20" i="2"/>
  <c r="BY20" i="2"/>
  <c r="BO21" i="2"/>
  <c r="BQ21" i="2"/>
  <c r="DI12" i="2"/>
  <c r="DJ12" i="2"/>
  <c r="DL12" i="2"/>
  <c r="K12" i="2"/>
  <c r="DK12" i="2"/>
  <c r="J12" i="2"/>
  <c r="DN17" i="2"/>
  <c r="BJ22" i="2"/>
  <c r="BK22" i="2"/>
  <c r="BL22" i="2"/>
  <c r="BN22" i="2"/>
  <c r="BM22" i="2"/>
  <c r="DG18" i="2"/>
  <c r="DH18" i="2"/>
  <c r="DM18" i="2"/>
  <c r="CD20" i="2"/>
  <c r="BZ20" i="2"/>
  <c r="CA20" i="2"/>
  <c r="CB20" i="2"/>
  <c r="CC20" i="2"/>
  <c r="I14" i="2"/>
  <c r="AK14" i="2"/>
  <c r="AL32" i="2"/>
  <c r="AI14" i="2"/>
  <c r="EC14" i="2"/>
  <c r="EE14" i="2"/>
  <c r="CI18" i="2"/>
  <c r="CJ18" i="2"/>
  <c r="CL18" i="2"/>
  <c r="CH18" i="2"/>
  <c r="CK18" i="2"/>
  <c r="CM17" i="2"/>
  <c r="CO17" i="2"/>
  <c r="BR21" i="2"/>
  <c r="BS21" i="2"/>
  <c r="BT21" i="2"/>
  <c r="BV21" i="2"/>
  <c r="BU21" i="2"/>
  <c r="BK23" i="2"/>
  <c r="BL23" i="2"/>
  <c r="BN23" i="2"/>
  <c r="BJ23" i="2"/>
  <c r="BM23" i="2"/>
  <c r="CU14" i="2"/>
  <c r="CW14" i="2"/>
  <c r="BW19" i="2"/>
  <c r="BY19" i="2"/>
  <c r="H15" i="2"/>
  <c r="CP15" i="2"/>
  <c r="CT15" i="2"/>
  <c r="CQ15" i="2"/>
  <c r="CR15" i="2"/>
  <c r="CS15" i="2"/>
  <c r="L16" i="2"/>
  <c r="AJ16" i="2"/>
  <c r="Q16" i="2"/>
  <c r="DD16" i="2"/>
  <c r="DA16" i="2"/>
  <c r="DB16" i="2"/>
  <c r="CX16" i="2"/>
  <c r="DC16" i="2"/>
  <c r="DN15" i="2"/>
  <c r="BO23" i="2"/>
  <c r="BQ23" i="2"/>
  <c r="CZ20" i="2"/>
  <c r="CE20" i="2"/>
  <c r="CG20" i="2"/>
  <c r="CY20" i="2"/>
  <c r="H17" i="2"/>
  <c r="CT17" i="2"/>
  <c r="CP17" i="2"/>
  <c r="CQ17" i="2"/>
  <c r="CR17" i="2"/>
  <c r="CS17" i="2"/>
  <c r="CM18" i="2"/>
  <c r="CO18" i="2"/>
  <c r="N16" i="2"/>
  <c r="DI16" i="2"/>
  <c r="DJ16" i="2"/>
  <c r="I15" i="2"/>
  <c r="AK15" i="2"/>
  <c r="AL33" i="2"/>
  <c r="AI15" i="2"/>
  <c r="EC15" i="2"/>
  <c r="EE15" i="2"/>
  <c r="EF15" i="2"/>
  <c r="BW21" i="2"/>
  <c r="BY21" i="2"/>
  <c r="L14" i="2"/>
  <c r="AJ14" i="2"/>
  <c r="DD14" i="2"/>
  <c r="CX14" i="2"/>
  <c r="DA14" i="2"/>
  <c r="DB14" i="2"/>
  <c r="DC14" i="2"/>
  <c r="BO22" i="2"/>
  <c r="BQ22" i="2"/>
  <c r="CU15" i="2"/>
  <c r="CW15" i="2"/>
  <c r="DE16" i="2"/>
  <c r="O16" i="2"/>
  <c r="CA19" i="2"/>
  <c r="CB19" i="2"/>
  <c r="BZ19" i="2"/>
  <c r="CD19" i="2"/>
  <c r="CC19" i="2"/>
  <c r="EF14" i="2"/>
  <c r="DN18" i="2"/>
  <c r="N14" i="2"/>
  <c r="AK17" i="2"/>
  <c r="AL35" i="2"/>
  <c r="AI17" i="2"/>
  <c r="EC17" i="2"/>
  <c r="EE17" i="2"/>
  <c r="EF17" i="2"/>
  <c r="I17" i="2"/>
  <c r="AJ15" i="2"/>
  <c r="Q15" i="2"/>
  <c r="DD15" i="2"/>
  <c r="DE15" i="2"/>
  <c r="O15" i="2"/>
  <c r="L15" i="2"/>
  <c r="CX15" i="2"/>
  <c r="DA15" i="2"/>
  <c r="DB15" i="2"/>
  <c r="DC15" i="2"/>
  <c r="BR22" i="2"/>
  <c r="BV22" i="2"/>
  <c r="BU22" i="2"/>
  <c r="BS22" i="2"/>
  <c r="BT22" i="2"/>
  <c r="DE14" i="2"/>
  <c r="O14" i="2"/>
  <c r="P16" i="2"/>
  <c r="M16" i="2"/>
  <c r="CH20" i="2"/>
  <c r="CL20" i="2"/>
  <c r="CI20" i="2"/>
  <c r="CJ20" i="2"/>
  <c r="CK20" i="2"/>
  <c r="CU17" i="2"/>
  <c r="CW17" i="2"/>
  <c r="DL16" i="2"/>
  <c r="K16" i="2"/>
  <c r="DK16" i="2"/>
  <c r="J16" i="2"/>
  <c r="Q14" i="2"/>
  <c r="CQ18" i="2"/>
  <c r="CR18" i="2"/>
  <c r="CT18" i="2"/>
  <c r="CP18" i="2"/>
  <c r="H18" i="2"/>
  <c r="CS18" i="2"/>
  <c r="CA21" i="2"/>
  <c r="CB21" i="2"/>
  <c r="CD21" i="2"/>
  <c r="BZ21" i="2"/>
  <c r="CC21" i="2"/>
  <c r="CE19" i="2"/>
  <c r="CG19" i="2"/>
  <c r="CZ19" i="2"/>
  <c r="CY19" i="2"/>
  <c r="DM20" i="2"/>
  <c r="DG20" i="2"/>
  <c r="DH20" i="2"/>
  <c r="BS23" i="2"/>
  <c r="BT23" i="2"/>
  <c r="BV23" i="2"/>
  <c r="BR23" i="2"/>
  <c r="BU23" i="2"/>
  <c r="AI18" i="2"/>
  <c r="EC18" i="2"/>
  <c r="EE18" i="2"/>
  <c r="I18" i="2"/>
  <c r="AK18" i="2"/>
  <c r="AL36" i="2"/>
  <c r="CI19" i="2"/>
  <c r="CJ19" i="2"/>
  <c r="CH19" i="2"/>
  <c r="CL19" i="2"/>
  <c r="CK19" i="2"/>
  <c r="CU18" i="2"/>
  <c r="CW18" i="2"/>
  <c r="DM19" i="2"/>
  <c r="DG19" i="2"/>
  <c r="DH19" i="2"/>
  <c r="DD17" i="2"/>
  <c r="L17" i="2"/>
  <c r="DA17" i="2"/>
  <c r="DB17" i="2"/>
  <c r="CX17" i="2"/>
  <c r="AJ17" i="2"/>
  <c r="Q17" i="2"/>
  <c r="DC17" i="2"/>
  <c r="BW23" i="2"/>
  <c r="BY23" i="2"/>
  <c r="CM20" i="2"/>
  <c r="CO20" i="2"/>
  <c r="CY21" i="2"/>
  <c r="CZ21" i="2"/>
  <c r="CE21" i="2"/>
  <c r="CG21" i="2"/>
  <c r="DI15" i="2"/>
  <c r="DJ15" i="2"/>
  <c r="N15" i="2"/>
  <c r="DI14" i="2"/>
  <c r="DJ14" i="2"/>
  <c r="BW22" i="2"/>
  <c r="BY22" i="2"/>
  <c r="DN20" i="2"/>
  <c r="M14" i="2"/>
  <c r="P14" i="2"/>
  <c r="N17" i="2"/>
  <c r="CM19" i="2"/>
  <c r="CO19" i="2"/>
  <c r="DL15" i="2"/>
  <c r="K15" i="2"/>
  <c r="DK15" i="2"/>
  <c r="J15" i="2"/>
  <c r="CH21" i="2"/>
  <c r="CL21" i="2"/>
  <c r="CI21" i="2"/>
  <c r="CJ21" i="2"/>
  <c r="CK21" i="2"/>
  <c r="CQ20" i="2"/>
  <c r="CR20" i="2"/>
  <c r="CT20" i="2"/>
  <c r="CP20" i="2"/>
  <c r="H20" i="2"/>
  <c r="CS20" i="2"/>
  <c r="DN19" i="2"/>
  <c r="DG21" i="2"/>
  <c r="DH21" i="2"/>
  <c r="DM21" i="2"/>
  <c r="BZ22" i="2"/>
  <c r="CD22" i="2"/>
  <c r="CA22" i="2"/>
  <c r="CB22" i="2"/>
  <c r="CC22" i="2"/>
  <c r="P15" i="2"/>
  <c r="M15" i="2"/>
  <c r="DD18" i="2"/>
  <c r="L18" i="2"/>
  <c r="DA18" i="2"/>
  <c r="DB18" i="2"/>
  <c r="AJ18" i="2"/>
  <c r="Q18" i="2"/>
  <c r="CX18" i="2"/>
  <c r="DC18" i="2"/>
  <c r="DE17" i="2"/>
  <c r="O17" i="2"/>
  <c r="CD23" i="2"/>
  <c r="BZ23" i="2"/>
  <c r="CA23" i="2"/>
  <c r="CB23" i="2"/>
  <c r="CC23" i="2"/>
  <c r="DL14" i="2"/>
  <c r="K14" i="2"/>
  <c r="DK14" i="2"/>
  <c r="J14" i="2"/>
  <c r="EF18" i="2"/>
  <c r="AI20" i="2"/>
  <c r="EC20" i="2"/>
  <c r="EE20" i="2"/>
  <c r="EF20" i="2"/>
  <c r="AK20" i="2"/>
  <c r="AL38" i="2"/>
  <c r="I20" i="2"/>
  <c r="CE22" i="2"/>
  <c r="CG22" i="2"/>
  <c r="CZ22" i="2"/>
  <c r="CY22" i="2"/>
  <c r="CU20" i="2"/>
  <c r="CW20" i="2"/>
  <c r="CQ19" i="2"/>
  <c r="CR19" i="2"/>
  <c r="H19" i="2"/>
  <c r="CP19" i="2"/>
  <c r="CT19" i="2"/>
  <c r="CU19" i="2"/>
  <c r="CW19" i="2"/>
  <c r="CS19" i="2"/>
  <c r="DI18" i="2"/>
  <c r="DJ18" i="2"/>
  <c r="N18" i="2"/>
  <c r="DI17" i="2"/>
  <c r="DJ17" i="2"/>
  <c r="CM21" i="2"/>
  <c r="CO21" i="2"/>
  <c r="CZ23" i="2"/>
  <c r="CY23" i="2"/>
  <c r="CE23" i="2"/>
  <c r="CG23" i="2"/>
  <c r="DE18" i="2"/>
  <c r="O18" i="2"/>
  <c r="DN21" i="2"/>
  <c r="M17" i="2"/>
  <c r="P17" i="2"/>
  <c r="M18" i="2"/>
  <c r="P18" i="2"/>
  <c r="CI22" i="2"/>
  <c r="CJ22" i="2"/>
  <c r="CL22" i="2"/>
  <c r="CM22" i="2"/>
  <c r="CO22" i="2"/>
  <c r="CH22" i="2"/>
  <c r="CK22" i="2"/>
  <c r="CX19" i="2"/>
  <c r="DD19" i="2"/>
  <c r="DE19" i="2"/>
  <c r="O19" i="2"/>
  <c r="DA19" i="2"/>
  <c r="DB19" i="2"/>
  <c r="AJ19" i="2"/>
  <c r="L19" i="2"/>
  <c r="DC19" i="2"/>
  <c r="DG23" i="2"/>
  <c r="DH23" i="2"/>
  <c r="DM23" i="2"/>
  <c r="I19" i="2"/>
  <c r="AI19" i="2"/>
  <c r="EC19" i="2"/>
  <c r="EE19" i="2"/>
  <c r="AK19" i="2"/>
  <c r="AL37" i="2"/>
  <c r="DG22" i="2"/>
  <c r="DH22" i="2"/>
  <c r="DM22" i="2"/>
  <c r="CT21" i="2"/>
  <c r="CP21" i="2"/>
  <c r="CQ21" i="2"/>
  <c r="CR21" i="2"/>
  <c r="H21" i="2"/>
  <c r="CS21" i="2"/>
  <c r="DL18" i="2"/>
  <c r="K18" i="2"/>
  <c r="DK18" i="2"/>
  <c r="J18" i="2"/>
  <c r="CI23" i="2"/>
  <c r="CJ23" i="2"/>
  <c r="CL23" i="2"/>
  <c r="CH23" i="2"/>
  <c r="CK23" i="2"/>
  <c r="DL17" i="2"/>
  <c r="K17" i="2"/>
  <c r="DK17" i="2"/>
  <c r="J17" i="2"/>
  <c r="DD20" i="2"/>
  <c r="L20" i="2"/>
  <c r="AJ20" i="2"/>
  <c r="Q20" i="2"/>
  <c r="DA20" i="2"/>
  <c r="DB20" i="2"/>
  <c r="CX20" i="2"/>
  <c r="DC20" i="2"/>
  <c r="EF19" i="2"/>
  <c r="I21" i="2"/>
  <c r="AI21" i="2"/>
  <c r="EC21" i="2"/>
  <c r="EE21" i="2"/>
  <c r="EF21" i="2"/>
  <c r="AK21" i="2"/>
  <c r="AL39" i="2"/>
  <c r="DN23" i="2"/>
  <c r="CM23" i="2"/>
  <c r="CO23" i="2"/>
  <c r="CT22" i="2"/>
  <c r="CQ22" i="2"/>
  <c r="CR22" i="2"/>
  <c r="H22" i="2"/>
  <c r="CS22" i="2"/>
  <c r="CP22" i="2"/>
  <c r="DN22" i="2"/>
  <c r="Q19" i="2"/>
  <c r="N20" i="2"/>
  <c r="CU21" i="2"/>
  <c r="CW21" i="2"/>
  <c r="DE20" i="2"/>
  <c r="O20" i="2"/>
  <c r="N19" i="2"/>
  <c r="DI19" i="2"/>
  <c r="DJ19" i="2"/>
  <c r="H23" i="2"/>
  <c r="CT23" i="2"/>
  <c r="CP23" i="2"/>
  <c r="CQ23" i="2"/>
  <c r="CR23" i="2"/>
  <c r="CS23" i="2"/>
  <c r="M20" i="2"/>
  <c r="P20" i="2"/>
  <c r="AI22" i="2"/>
  <c r="EC22" i="2"/>
  <c r="EE22" i="2"/>
  <c r="EF22" i="2"/>
  <c r="AK22" i="2"/>
  <c r="AL40" i="2"/>
  <c r="I22" i="2"/>
  <c r="DK19" i="2"/>
  <c r="J19" i="2"/>
  <c r="DL19" i="2"/>
  <c r="K19" i="2"/>
  <c r="P19" i="2"/>
  <c r="M19" i="2"/>
  <c r="DI20" i="2"/>
  <c r="DJ20" i="2"/>
  <c r="DD21" i="2"/>
  <c r="DE21" i="2"/>
  <c r="O21" i="2"/>
  <c r="CX21" i="2"/>
  <c r="L21" i="2"/>
  <c r="DA21" i="2"/>
  <c r="DB21" i="2"/>
  <c r="AJ21" i="2"/>
  <c r="Q21" i="2"/>
  <c r="DC21" i="2"/>
  <c r="CU22" i="2"/>
  <c r="CW22" i="2"/>
  <c r="DD22" i="2"/>
  <c r="CX22" i="2"/>
  <c r="DA22" i="2"/>
  <c r="DB22" i="2"/>
  <c r="AJ22" i="2"/>
  <c r="Q22" i="2"/>
  <c r="L22" i="2"/>
  <c r="DC22" i="2"/>
  <c r="DI21" i="2"/>
  <c r="DJ21" i="2"/>
  <c r="N21" i="2"/>
  <c r="CU23" i="2"/>
  <c r="CW23" i="2"/>
  <c r="DL20" i="2"/>
  <c r="K20" i="2"/>
  <c r="DK20" i="2"/>
  <c r="J20" i="2"/>
  <c r="AK23" i="2"/>
  <c r="AL41" i="2"/>
  <c r="AI23" i="2"/>
  <c r="EC23" i="2"/>
  <c r="EE23" i="2"/>
  <c r="I23" i="2"/>
  <c r="DK21" i="2"/>
  <c r="J21" i="2"/>
  <c r="DL21" i="2"/>
  <c r="K21" i="2"/>
  <c r="M21" i="2"/>
  <c r="P21" i="2"/>
  <c r="EF23" i="2"/>
  <c r="EE4" i="2"/>
  <c r="N22" i="2"/>
  <c r="DI22" i="2"/>
  <c r="DJ22" i="2"/>
  <c r="CX23" i="2"/>
  <c r="DA23" i="2"/>
  <c r="DB23" i="2"/>
  <c r="L23" i="2"/>
  <c r="DD23" i="2"/>
  <c r="AJ23" i="2"/>
  <c r="DC23" i="2"/>
  <c r="DE22" i="2"/>
  <c r="O22" i="2"/>
  <c r="DK22" i="2"/>
  <c r="J22" i="2"/>
  <c r="DL22" i="2"/>
  <c r="K22" i="2"/>
  <c r="Q23" i="2"/>
  <c r="AJ10" i="2"/>
  <c r="Q10" i="2"/>
  <c r="P22" i="2"/>
  <c r="M22" i="2"/>
  <c r="DE23" i="2"/>
  <c r="O23" i="2"/>
  <c r="DI23" i="2"/>
  <c r="DJ23" i="2"/>
  <c r="N23" i="2"/>
  <c r="DL23" i="2"/>
  <c r="K23" i="2"/>
  <c r="S10" i="2"/>
  <c r="S26" i="2"/>
  <c r="DK23" i="2"/>
  <c r="J23" i="2"/>
  <c r="P23" i="2"/>
  <c r="M23" i="2"/>
  <c r="T10" i="2"/>
  <c r="K17" i="11" l="1"/>
  <c r="AA18" i="10"/>
  <c r="I17" i="10"/>
  <c r="F17" i="10" s="1"/>
  <c r="H17" i="10"/>
  <c r="C18" i="10"/>
  <c r="E18" i="10" s="1"/>
  <c r="A19" i="10"/>
  <c r="G18" i="10"/>
  <c r="AD42" i="10"/>
  <c r="AE42" i="10"/>
  <c r="C32" i="10"/>
  <c r="B32" i="10"/>
  <c r="A33" i="10"/>
  <c r="G32" i="10"/>
  <c r="H32" i="10" s="1"/>
  <c r="AC43" i="10"/>
  <c r="W43" i="10"/>
  <c r="X43" i="10"/>
  <c r="T44" i="10"/>
  <c r="E31" i="10"/>
  <c r="AA31" i="10" s="1"/>
  <c r="S116" i="10"/>
  <c r="H116" i="10"/>
  <c r="E117" i="10"/>
  <c r="AF116" i="10"/>
  <c r="T25" i="9"/>
  <c r="U24" i="9"/>
  <c r="I18" i="10" l="1"/>
  <c r="H18" i="10"/>
  <c r="AD43" i="10"/>
  <c r="AE43" i="10"/>
  <c r="G19" i="10"/>
  <c r="C19" i="10"/>
  <c r="E19" i="10" s="1"/>
  <c r="A20" i="10"/>
  <c r="AA19" i="10"/>
  <c r="F18" i="10"/>
  <c r="A34" i="10"/>
  <c r="G33" i="10"/>
  <c r="H33" i="10" s="1"/>
  <c r="C33" i="10"/>
  <c r="B33" i="10"/>
  <c r="AF117" i="10"/>
  <c r="S117" i="10"/>
  <c r="H117" i="10"/>
  <c r="E32" i="10"/>
  <c r="AA32" i="10" s="1"/>
  <c r="AB43" i="10"/>
  <c r="T45" i="10"/>
  <c r="AC44" i="10"/>
  <c r="X44" i="10"/>
  <c r="W44" i="10"/>
  <c r="AB44" i="10" s="1"/>
  <c r="T26" i="9"/>
  <c r="U25" i="9"/>
  <c r="G20" i="10" l="1"/>
  <c r="C20" i="10"/>
  <c r="E20" i="10" s="1"/>
  <c r="A21" i="10"/>
  <c r="AA20" i="10"/>
  <c r="H19" i="10"/>
  <c r="I19" i="10"/>
  <c r="F19" i="10" s="1"/>
  <c r="AE44" i="10"/>
  <c r="AD44" i="10"/>
  <c r="E33" i="10"/>
  <c r="AA33" i="10" s="1"/>
  <c r="W45" i="10"/>
  <c r="T46" i="10"/>
  <c r="X45" i="10"/>
  <c r="AC45" i="10"/>
  <c r="B34" i="10"/>
  <c r="A35" i="10"/>
  <c r="C34" i="10"/>
  <c r="G34" i="10"/>
  <c r="H34" i="10" s="1"/>
  <c r="U26" i="9"/>
  <c r="T27" i="9"/>
  <c r="G35" i="10" l="1"/>
  <c r="C35" i="10"/>
  <c r="E35" i="10" s="1"/>
  <c r="AA35" i="10" s="1"/>
  <c r="A36" i="10"/>
  <c r="B35" i="10"/>
  <c r="X46" i="10"/>
  <c r="W46" i="10"/>
  <c r="AB46" i="10" s="1"/>
  <c r="AC46" i="10"/>
  <c r="T47" i="10"/>
  <c r="AB45" i="10"/>
  <c r="C21" i="10"/>
  <c r="E21" i="10" s="1"/>
  <c r="G21" i="10"/>
  <c r="A22" i="10"/>
  <c r="AA21" i="10"/>
  <c r="F20" i="10"/>
  <c r="AD45" i="10"/>
  <c r="AE45" i="10"/>
  <c r="E34" i="10"/>
  <c r="AA34" i="10" s="1"/>
  <c r="I20" i="10"/>
  <c r="H20" i="10"/>
  <c r="U27" i="9"/>
  <c r="T28" i="9"/>
  <c r="AC47" i="10" l="1"/>
  <c r="W47" i="10"/>
  <c r="AB47" i="10" s="1"/>
  <c r="X47" i="10"/>
  <c r="T48" i="10"/>
  <c r="AE46" i="10"/>
  <c r="AD46" i="10"/>
  <c r="A23" i="10"/>
  <c r="G22" i="10"/>
  <c r="C22" i="10"/>
  <c r="E22" i="10" s="1"/>
  <c r="H21" i="10"/>
  <c r="I21" i="10"/>
  <c r="C36" i="10"/>
  <c r="A37" i="10"/>
  <c r="B36" i="10"/>
  <c r="G36" i="10"/>
  <c r="H36" i="10" s="1"/>
  <c r="F21" i="10"/>
  <c r="AA22" i="10"/>
  <c r="H35" i="10"/>
  <c r="T29" i="9"/>
  <c r="U28" i="9"/>
  <c r="C37" i="10" l="1"/>
  <c r="A38" i="10"/>
  <c r="B37" i="10"/>
  <c r="G37" i="10"/>
  <c r="E36" i="10"/>
  <c r="AA36" i="10" s="1"/>
  <c r="T49" i="10"/>
  <c r="AC48" i="10"/>
  <c r="X48" i="10"/>
  <c r="W48" i="10"/>
  <c r="I22" i="10"/>
  <c r="H22" i="10"/>
  <c r="C23" i="10"/>
  <c r="E23" i="10" s="1"/>
  <c r="A24" i="10"/>
  <c r="G23" i="10"/>
  <c r="F22" i="10"/>
  <c r="AA23" i="10"/>
  <c r="AD47" i="10"/>
  <c r="AE47" i="10"/>
  <c r="T30" i="9"/>
  <c r="U29" i="9"/>
  <c r="AE48" i="10" l="1"/>
  <c r="AD48" i="10"/>
  <c r="H23" i="10"/>
  <c r="I23" i="10"/>
  <c r="W49" i="10"/>
  <c r="AC49" i="10"/>
  <c r="T50" i="10"/>
  <c r="X49" i="10"/>
  <c r="G24" i="10"/>
  <c r="C24" i="10"/>
  <c r="E24" i="10" s="1"/>
  <c r="AA24" i="10"/>
  <c r="F23" i="10"/>
  <c r="H37" i="10"/>
  <c r="B38" i="10"/>
  <c r="A39" i="10"/>
  <c r="G38" i="10"/>
  <c r="H38" i="10" s="1"/>
  <c r="C38" i="10"/>
  <c r="AB48" i="10"/>
  <c r="E37" i="10"/>
  <c r="AA37" i="10" s="1"/>
  <c r="U30" i="9"/>
  <c r="T31" i="9"/>
  <c r="AD49" i="10" l="1"/>
  <c r="AE49" i="10"/>
  <c r="AB49" i="10"/>
  <c r="G39" i="10"/>
  <c r="C39" i="10"/>
  <c r="B39" i="10"/>
  <c r="A40" i="10"/>
  <c r="F24" i="10"/>
  <c r="AA25" i="10"/>
  <c r="X50" i="10"/>
  <c r="W50" i="10"/>
  <c r="AC50" i="10"/>
  <c r="T51" i="10"/>
  <c r="E38" i="10"/>
  <c r="AA52" i="10" s="1"/>
  <c r="I24" i="10"/>
  <c r="H24" i="10"/>
  <c r="U31" i="9"/>
  <c r="T32" i="9"/>
  <c r="A41" i="10" l="1"/>
  <c r="G40" i="10"/>
  <c r="H40" i="10" s="1"/>
  <c r="C40" i="10"/>
  <c r="E40" i="10" s="1"/>
  <c r="AA54" i="10" s="1"/>
  <c r="B40" i="10"/>
  <c r="AC51" i="10"/>
  <c r="W51" i="10"/>
  <c r="X51" i="10"/>
  <c r="E39" i="10"/>
  <c r="AA53" i="10" s="1"/>
  <c r="AE50" i="10"/>
  <c r="AD50" i="10"/>
  <c r="H39" i="10"/>
  <c r="AB50" i="10"/>
  <c r="T33" i="9"/>
  <c r="U32" i="9"/>
  <c r="AB51" i="10" l="1"/>
  <c r="AD51" i="10"/>
  <c r="AE51" i="10"/>
  <c r="A42" i="10"/>
  <c r="G41" i="10"/>
  <c r="C41" i="10"/>
  <c r="B41" i="10"/>
  <c r="T34" i="9"/>
  <c r="U33" i="9"/>
  <c r="H41" i="10" l="1"/>
  <c r="C42" i="10"/>
  <c r="E42" i="10" s="1"/>
  <c r="AA56" i="10" s="1"/>
  <c r="B42" i="10"/>
  <c r="A43" i="10"/>
  <c r="G42" i="10"/>
  <c r="H42" i="10" s="1"/>
  <c r="E41" i="10"/>
  <c r="AA55" i="10" s="1"/>
  <c r="U34" i="9"/>
  <c r="T35" i="9"/>
  <c r="G43" i="10" l="1"/>
  <c r="H43" i="10" s="1"/>
  <c r="C43" i="10"/>
  <c r="E43" i="10" s="1"/>
  <c r="AA57" i="10" s="1"/>
  <c r="A44" i="10"/>
  <c r="B43" i="10"/>
  <c r="T36" i="9"/>
  <c r="U35" i="9"/>
  <c r="A45" i="10" l="1"/>
  <c r="G44" i="10"/>
  <c r="C44" i="10"/>
  <c r="E44" i="10" s="1"/>
  <c r="AA58" i="10" s="1"/>
  <c r="B44" i="10"/>
  <c r="T37" i="9"/>
  <c r="U36" i="9"/>
  <c r="H44" i="10" l="1"/>
  <c r="A46" i="10"/>
  <c r="G45" i="10"/>
  <c r="B45" i="10"/>
  <c r="C45" i="10"/>
  <c r="E45" i="10" s="1"/>
  <c r="AA59" i="10" s="1"/>
  <c r="T38" i="9"/>
  <c r="U37" i="9"/>
  <c r="H45" i="10" l="1"/>
  <c r="C46" i="10"/>
  <c r="B46" i="10"/>
  <c r="A47" i="10"/>
  <c r="G46" i="10"/>
  <c r="H46" i="10" s="1"/>
  <c r="U38" i="9"/>
  <c r="T39" i="9"/>
  <c r="G47" i="10" l="1"/>
  <c r="C47" i="10"/>
  <c r="E47" i="10" s="1"/>
  <c r="AA61" i="10" s="1"/>
  <c r="A48" i="10"/>
  <c r="B47" i="10"/>
  <c r="E46" i="10"/>
  <c r="AA60" i="10" s="1"/>
  <c r="T40" i="9"/>
  <c r="U39" i="9"/>
  <c r="A49" i="10" l="1"/>
  <c r="G48" i="10"/>
  <c r="C48" i="10"/>
  <c r="E48" i="10" s="1"/>
  <c r="AA62" i="10" s="1"/>
  <c r="B48" i="10"/>
  <c r="H47" i="10"/>
  <c r="T41" i="9"/>
  <c r="U40" i="9"/>
  <c r="H48" i="10" l="1"/>
  <c r="A50" i="10"/>
  <c r="G49" i="10"/>
  <c r="H49" i="10" s="1"/>
  <c r="C49" i="10"/>
  <c r="B49" i="10"/>
  <c r="T42" i="9"/>
  <c r="U41" i="9"/>
  <c r="E49" i="10" l="1"/>
  <c r="AA63" i="10" s="1"/>
  <c r="C50" i="10"/>
  <c r="B50" i="10"/>
  <c r="A51" i="10"/>
  <c r="G50" i="10"/>
  <c r="H50" i="10" s="1"/>
  <c r="U42" i="9"/>
  <c r="T43" i="9"/>
  <c r="G51" i="10" l="1"/>
  <c r="H51" i="10" s="1"/>
  <c r="C51" i="10"/>
  <c r="B51" i="10"/>
  <c r="A52" i="10"/>
  <c r="E50" i="10"/>
  <c r="AA64" i="10" s="1"/>
  <c r="T44" i="9"/>
  <c r="U43" i="9"/>
  <c r="G52" i="10" l="1"/>
  <c r="C52" i="10"/>
  <c r="E52" i="10" s="1"/>
  <c r="AA66" i="10" s="1"/>
  <c r="B52" i="10"/>
  <c r="A53" i="10"/>
  <c r="E51" i="10"/>
  <c r="AA65" i="10" s="1"/>
  <c r="T45" i="9"/>
  <c r="U44" i="9"/>
  <c r="G53" i="10" l="1"/>
  <c r="H53" i="10" s="1"/>
  <c r="A54" i="10"/>
  <c r="B53" i="10"/>
  <c r="C53" i="10"/>
  <c r="H52" i="10"/>
  <c r="T46" i="9"/>
  <c r="U45" i="9"/>
  <c r="E53" i="10" l="1"/>
  <c r="AA67" i="10" s="1"/>
  <c r="G54" i="10"/>
  <c r="H54" i="10" s="1"/>
  <c r="C54" i="10"/>
  <c r="E54" i="10" s="1"/>
  <c r="AA68" i="10" s="1"/>
  <c r="B54" i="10"/>
  <c r="A55" i="10"/>
  <c r="U46" i="9"/>
  <c r="T47" i="9"/>
  <c r="A56" i="10" l="1"/>
  <c r="G55" i="10"/>
  <c r="H55" i="10" s="1"/>
  <c r="C55" i="10"/>
  <c r="B55" i="10"/>
  <c r="T48" i="9"/>
  <c r="U47" i="9"/>
  <c r="E55" i="10" l="1"/>
  <c r="AA69" i="10" s="1"/>
  <c r="C56" i="10"/>
  <c r="B56" i="10"/>
  <c r="G56" i="10"/>
  <c r="A57" i="10"/>
  <c r="T49" i="9"/>
  <c r="U48" i="9"/>
  <c r="A58" i="10" l="1"/>
  <c r="G57" i="10"/>
  <c r="H57" i="10" s="1"/>
  <c r="B57" i="10"/>
  <c r="C57" i="10"/>
  <c r="H56" i="10"/>
  <c r="E56" i="10"/>
  <c r="AA70" i="10" s="1"/>
  <c r="T50" i="9"/>
  <c r="U49" i="9"/>
  <c r="E57" i="10" l="1"/>
  <c r="AA71" i="10" s="1"/>
  <c r="G58" i="10"/>
  <c r="A59" i="10"/>
  <c r="C58" i="10"/>
  <c r="B58" i="10"/>
  <c r="U50" i="9"/>
  <c r="T51" i="9"/>
  <c r="E58" i="10" l="1"/>
  <c r="AA72" i="10" s="1"/>
  <c r="C59" i="10"/>
  <c r="B59" i="10"/>
  <c r="G59" i="10"/>
  <c r="H59" i="10" s="1"/>
  <c r="A60" i="10"/>
  <c r="H58" i="10"/>
  <c r="T52" i="9"/>
  <c r="U51" i="9"/>
  <c r="A61" i="10" l="1"/>
  <c r="G60" i="10"/>
  <c r="C60" i="10"/>
  <c r="E60" i="10" s="1"/>
  <c r="AA74" i="10" s="1"/>
  <c r="B60" i="10"/>
  <c r="E59" i="10"/>
  <c r="AA73" i="10" s="1"/>
  <c r="T53" i="9"/>
  <c r="U52" i="9"/>
  <c r="H60" i="10" l="1"/>
  <c r="B61" i="10"/>
  <c r="A62" i="10"/>
  <c r="G61" i="10"/>
  <c r="C61" i="10"/>
  <c r="E61" i="10" s="1"/>
  <c r="AA75" i="10" s="1"/>
  <c r="T54" i="9"/>
  <c r="U53" i="9"/>
  <c r="H61" i="10" l="1"/>
  <c r="G62" i="10"/>
  <c r="C62" i="10"/>
  <c r="A63" i="10"/>
  <c r="B62" i="10"/>
  <c r="U54" i="9"/>
  <c r="T55" i="9"/>
  <c r="A64" i="10" l="1"/>
  <c r="C63" i="10"/>
  <c r="B63" i="10"/>
  <c r="G63" i="10"/>
  <c r="H63" i="10" s="1"/>
  <c r="E62" i="10"/>
  <c r="AA76" i="10" s="1"/>
  <c r="H62" i="10"/>
  <c r="T56" i="9"/>
  <c r="U55" i="9"/>
  <c r="E63" i="10" l="1"/>
  <c r="AA77" i="10" s="1"/>
  <c r="C64" i="10"/>
  <c r="B64" i="10"/>
  <c r="A65" i="10"/>
  <c r="G64" i="10"/>
  <c r="H64" i="10" s="1"/>
  <c r="T57" i="9"/>
  <c r="U56" i="9"/>
  <c r="A66" i="10" l="1"/>
  <c r="G65" i="10"/>
  <c r="B65" i="10"/>
  <c r="C65" i="10"/>
  <c r="E64" i="10"/>
  <c r="AA78" i="10" s="1"/>
  <c r="T58" i="9"/>
  <c r="U57" i="9"/>
  <c r="E65" i="10" l="1"/>
  <c r="AA79" i="10" s="1"/>
  <c r="H65" i="10"/>
  <c r="G66" i="10"/>
  <c r="H66" i="10" s="1"/>
  <c r="C66" i="10"/>
  <c r="B66" i="10"/>
  <c r="A67" i="10"/>
  <c r="U58" i="9"/>
  <c r="T59" i="9"/>
  <c r="E66" i="10" l="1"/>
  <c r="AA80" i="10" s="1"/>
  <c r="C67" i="10"/>
  <c r="B67" i="10"/>
  <c r="G67" i="10"/>
  <c r="H67" i="10" s="1"/>
  <c r="A68" i="10"/>
  <c r="T60" i="9"/>
  <c r="U59" i="9"/>
  <c r="A69" i="10" l="1"/>
  <c r="G68" i="10"/>
  <c r="C68" i="10"/>
  <c r="E68" i="10" s="1"/>
  <c r="B68" i="10"/>
  <c r="E67" i="10"/>
  <c r="T61" i="9"/>
  <c r="U60" i="9"/>
  <c r="H68" i="10" l="1"/>
  <c r="B69" i="10"/>
  <c r="A70" i="10"/>
  <c r="G69" i="10"/>
  <c r="C69" i="10"/>
  <c r="E69" i="10" s="1"/>
  <c r="T62" i="9"/>
  <c r="U61" i="9"/>
  <c r="H69" i="10" l="1"/>
  <c r="G70" i="10"/>
  <c r="C70" i="10"/>
  <c r="E70" i="10" s="1"/>
  <c r="B70" i="10"/>
  <c r="A71" i="10"/>
  <c r="U62" i="9"/>
  <c r="T63" i="9"/>
  <c r="A72" i="10" l="1"/>
  <c r="G71" i="10"/>
  <c r="C71" i="10"/>
  <c r="E71" i="10" s="1"/>
  <c r="B71" i="10"/>
  <c r="H70" i="10"/>
  <c r="T64" i="9"/>
  <c r="U63" i="9"/>
  <c r="H71" i="10" l="1"/>
  <c r="C72" i="10"/>
  <c r="B72" i="10"/>
  <c r="G72" i="10"/>
  <c r="H72" i="10" s="1"/>
  <c r="A73" i="10"/>
  <c r="T65" i="9"/>
  <c r="U64" i="9"/>
  <c r="A74" i="10" l="1"/>
  <c r="G73" i="10"/>
  <c r="B73" i="10"/>
  <c r="C73" i="10"/>
  <c r="E73" i="10" s="1"/>
  <c r="E72" i="10"/>
  <c r="T66" i="9"/>
  <c r="U65" i="9"/>
  <c r="H73" i="10" l="1"/>
  <c r="G74" i="10"/>
  <c r="A75" i="10"/>
  <c r="C74" i="10"/>
  <c r="B74" i="10"/>
  <c r="U66" i="9"/>
  <c r="T67" i="9"/>
  <c r="E74" i="10" l="1"/>
  <c r="C75" i="10"/>
  <c r="B75" i="10"/>
  <c r="G75" i="10"/>
  <c r="H75" i="10" s="1"/>
  <c r="H74" i="10"/>
  <c r="T68" i="9"/>
  <c r="U67" i="9"/>
  <c r="E75" i="10" l="1"/>
  <c r="T69" i="9"/>
  <c r="U68" i="9"/>
  <c r="T70" i="9" l="1"/>
  <c r="U70" i="9" s="1"/>
  <c r="U69" i="9"/>
</calcChain>
</file>

<file path=xl/sharedStrings.xml><?xml version="1.0" encoding="utf-8"?>
<sst xmlns="http://schemas.openxmlformats.org/spreadsheetml/2006/main" count="755" uniqueCount="512">
  <si>
    <t>p</t>
  </si>
  <si>
    <t>Psychrometric Chart Plots</t>
  </si>
  <si>
    <t>Relative Humidity Lines</t>
  </si>
  <si>
    <t>Enthalpy Lines</t>
  </si>
  <si>
    <t>RH =</t>
  </si>
  <si>
    <t>H</t>
  </si>
  <si>
    <t>Dry-bulb</t>
  </si>
  <si>
    <t>w</t>
  </si>
  <si>
    <t>RH</t>
  </si>
  <si>
    <t>&lt;--- This line handled a little differently…</t>
  </si>
  <si>
    <t>kPa</t>
  </si>
  <si>
    <t>Dry-bulb [C]</t>
  </si>
  <si>
    <t>[C]</t>
  </si>
  <si>
    <t>[kJ/kg]</t>
  </si>
  <si>
    <t>Values in table are W (kg/kg))</t>
  </si>
  <si>
    <t>σ</t>
  </si>
  <si>
    <t>ϵ</t>
  </si>
  <si>
    <r>
      <t>ϵ</t>
    </r>
    <r>
      <rPr>
        <vertAlign val="subscript"/>
        <sz val="12"/>
        <rFont val="Calibri"/>
        <family val="2"/>
      </rPr>
      <t>r</t>
    </r>
  </si>
  <si>
    <r>
      <t>c</t>
    </r>
    <r>
      <rPr>
        <vertAlign val="subscript"/>
        <sz val="12"/>
        <rFont val="Arial"/>
        <family val="2"/>
      </rPr>
      <t>p</t>
    </r>
  </si>
  <si>
    <t>per day</t>
  </si>
  <si>
    <t>seconds per day</t>
  </si>
  <si>
    <t>elevation</t>
  </si>
  <si>
    <t>Input values in purple</t>
  </si>
  <si>
    <t>Second iteration</t>
  </si>
  <si>
    <t>Third iteration</t>
  </si>
  <si>
    <t>Fourth iteration</t>
  </si>
  <si>
    <t>Fifth iteration</t>
  </si>
  <si>
    <t>Sixth iteration</t>
  </si>
  <si>
    <t>Seventh iteration</t>
  </si>
  <si>
    <t>Eighth iteration</t>
  </si>
  <si>
    <t>Ninth iteration</t>
  </si>
  <si>
    <t>Initial</t>
  </si>
  <si>
    <t>z</t>
  </si>
  <si>
    <t>increment %</t>
  </si>
  <si>
    <t>cc/gal</t>
  </si>
  <si>
    <t>calorie per Btu</t>
  </si>
  <si>
    <t>Ward 1980</t>
  </si>
  <si>
    <t>Constants</t>
  </si>
  <si>
    <t>saturation vapor pressure calculated on the basis of wet bulb temperature</t>
  </si>
  <si>
    <t xml:space="preserve">air vapor pressure </t>
  </si>
  <si>
    <t>water density</t>
  </si>
  <si>
    <t>heat of vapor-ization</t>
  </si>
  <si>
    <t>saturation vapor pressure at water temperature</t>
  </si>
  <si>
    <t>constant</t>
  </si>
  <si>
    <t>grams per pound</t>
  </si>
  <si>
    <t>SOURCE for constant</t>
  </si>
  <si>
    <t>SOURCE for constants</t>
  </si>
  <si>
    <t>mbar</t>
  </si>
  <si>
    <t>a</t>
  </si>
  <si>
    <t>b</t>
  </si>
  <si>
    <t>http://www.faqs.org/faqs/meteorology/temp-dewpoint/</t>
  </si>
  <si>
    <t>c</t>
  </si>
  <si>
    <t>conversion factor</t>
  </si>
  <si>
    <t>e(Twb) in mbar</t>
  </si>
  <si>
    <r>
      <t>e</t>
    </r>
    <r>
      <rPr>
        <i/>
        <vertAlign val="subscript"/>
        <sz val="10"/>
        <rFont val="Arial"/>
        <family val="2"/>
      </rPr>
      <t xml:space="preserve">a </t>
    </r>
    <r>
      <rPr>
        <i/>
        <sz val="10"/>
        <rFont val="Arial"/>
        <family val="2"/>
      </rPr>
      <t>in mbar</t>
    </r>
  </si>
  <si>
    <t>f(W) in    cm/(sec*mbar)</t>
  </si>
  <si>
    <r>
      <t>input heat load, cal/(cm</t>
    </r>
    <r>
      <rPr>
        <vertAlign val="superscript"/>
        <sz val="10"/>
        <rFont val="Arial"/>
        <family val="2"/>
      </rPr>
      <t>2</t>
    </r>
    <r>
      <rPr>
        <sz val="10"/>
        <rFont val="Arial"/>
        <family val="2"/>
      </rPr>
      <t xml:space="preserve"> sec)</t>
    </r>
  </si>
  <si>
    <t>L (cal/g)</t>
  </si>
  <si>
    <r>
      <t xml:space="preserve">ρ </t>
    </r>
    <r>
      <rPr>
        <sz val="11"/>
        <color indexed="12"/>
        <rFont val="Calibri"/>
        <family val="2"/>
      </rPr>
      <t xml:space="preserve"> (g/cm</t>
    </r>
    <r>
      <rPr>
        <vertAlign val="superscript"/>
        <sz val="11"/>
        <color indexed="12"/>
        <rFont val="Calibri"/>
        <family val="2"/>
      </rPr>
      <t>3</t>
    </r>
    <r>
      <rPr>
        <sz val="11"/>
        <color indexed="12"/>
        <rFont val="Calibri"/>
        <family val="2"/>
      </rPr>
      <t>)</t>
    </r>
  </si>
  <si>
    <t/>
  </si>
  <si>
    <t>feet</t>
  </si>
  <si>
    <t>Ward, 1980</t>
  </si>
  <si>
    <t>final ratio</t>
  </si>
  <si>
    <t>predicted ratio</t>
  </si>
  <si>
    <t>RMSE</t>
  </si>
  <si>
    <t xml:space="preserve">a </t>
  </si>
  <si>
    <t>windspeed in m/s</t>
  </si>
  <si>
    <t>squared error</t>
  </si>
  <si>
    <t>Maximum</t>
  </si>
  <si>
    <t>Percent change in T' in last iteration</t>
  </si>
  <si>
    <t>Gulliver</t>
  </si>
  <si>
    <t>Webster</t>
  </si>
  <si>
    <t>Fulford</t>
  </si>
  <si>
    <t>Anderson</t>
  </si>
  <si>
    <t>Brady</t>
  </si>
  <si>
    <t>Ward</t>
  </si>
  <si>
    <t>Harbeck</t>
  </si>
  <si>
    <t>These values averaged from fits to 7 wind functions</t>
  </si>
  <si>
    <t>final ratio of delta T to heat loading</t>
  </si>
  <si>
    <t>wind function coefficients</t>
  </si>
  <si>
    <t>Jan</t>
  </si>
  <si>
    <t>Feb</t>
  </si>
  <si>
    <t>Mar</t>
  </si>
  <si>
    <t>Apr</t>
  </si>
  <si>
    <t>May</t>
  </si>
  <si>
    <t>Jun</t>
  </si>
  <si>
    <t>Jul</t>
  </si>
  <si>
    <t>Aug</t>
  </si>
  <si>
    <t>Sep</t>
  </si>
  <si>
    <t>Oct</t>
  </si>
  <si>
    <t>Nov</t>
  </si>
  <si>
    <t>Dec</t>
  </si>
  <si>
    <t>absolute error</t>
  </si>
  <si>
    <t>average over 7 wind functions</t>
  </si>
  <si>
    <t>x T</t>
  </si>
  <si>
    <t>x W</t>
  </si>
  <si>
    <r>
      <t>x T</t>
    </r>
    <r>
      <rPr>
        <vertAlign val="superscript"/>
        <sz val="10"/>
        <color indexed="20"/>
        <rFont val="Arial"/>
        <family val="2"/>
      </rPr>
      <t>2</t>
    </r>
  </si>
  <si>
    <r>
      <t>x W</t>
    </r>
    <r>
      <rPr>
        <vertAlign val="superscript"/>
        <sz val="10"/>
        <color indexed="20"/>
        <rFont val="Arial"/>
        <family val="2"/>
      </rPr>
      <t>2</t>
    </r>
  </si>
  <si>
    <r>
      <t>x (MW/a)</t>
    </r>
    <r>
      <rPr>
        <vertAlign val="superscript"/>
        <sz val="10"/>
        <color indexed="20"/>
        <rFont val="Arial"/>
        <family val="2"/>
      </rPr>
      <t xml:space="preserve"> 2</t>
    </r>
  </si>
  <si>
    <t>x MW/a</t>
  </si>
  <si>
    <t>Joules per Btu</t>
  </si>
  <si>
    <t>Joules per calorie</t>
  </si>
  <si>
    <t>Calories per Btu</t>
  </si>
  <si>
    <t>ditto</t>
  </si>
  <si>
    <t>calculated</t>
  </si>
  <si>
    <t>Values of these variables have to be recalculated at each estimated heated temperature</t>
  </si>
  <si>
    <t>http://www.nist.gov/pml/wmd/metric/upload/SP1038.pdf</t>
  </si>
  <si>
    <t>initial estimated ratio of delta T to heat loading</t>
  </si>
  <si>
    <t>f(W) in    mm/ (day*kPa)</t>
  </si>
  <si>
    <r>
      <t xml:space="preserve">Initial Guess at Solution </t>
    </r>
    <r>
      <rPr>
        <sz val="10"/>
        <color indexed="20"/>
        <rFont val="Arial"/>
        <family val="2"/>
      </rPr>
      <t>based on quadratic fits to ratio of temperature increase to heat loading</t>
    </r>
  </si>
  <si>
    <t>This section is left to show how the coefficients for the intitial guess were calculated - the data set used for optimization contained a wide range of temperature, windspeed, and heat loading.</t>
  </si>
  <si>
    <t>Block for optimization of initial guess at final T</t>
  </si>
  <si>
    <r>
      <t xml:space="preserve">…to minimize </t>
    </r>
    <r>
      <rPr>
        <b/>
        <sz val="10"/>
        <color indexed="10"/>
        <rFont val="Arial"/>
        <family val="2"/>
      </rPr>
      <t>this</t>
    </r>
  </si>
  <si>
    <r>
      <t xml:space="preserve">Solver changes </t>
    </r>
    <r>
      <rPr>
        <b/>
        <sz val="10"/>
        <color indexed="12"/>
        <rFont val="Arial"/>
        <family val="2"/>
      </rPr>
      <t>these</t>
    </r>
  </si>
  <si>
    <t>Results ------------------------------------------------------------------------------------------------------------------------------------------------------------</t>
  </si>
  <si>
    <t>Constants used in formulae</t>
  </si>
  <si>
    <t>This section converts evaporation to gallons per million Btu of condenser duty for comparison to literature values</t>
  </si>
  <si>
    <t>Enter purple coefficients manually</t>
  </si>
  <si>
    <t>Input wind function coefficients</t>
  </si>
  <si>
    <t>Calculations for un-heated condition  ----------------------------------------------------------------------------------------------------------------------------------------------------------------------------------------------------</t>
  </si>
  <si>
    <t>also see Ward equation 1 2 3 14 tab</t>
  </si>
  <si>
    <t>from http://www.wrh.noaa.gov/slc/projects/wxcalc/formulas/rhTdFromWetBulb.pdf</t>
  </si>
  <si>
    <t>maximum W (m/s)</t>
  </si>
  <si>
    <t>- -</t>
  </si>
  <si>
    <t>Increment from initial to final conditions</t>
  </si>
  <si>
    <r>
      <t>x T</t>
    </r>
    <r>
      <rPr>
        <vertAlign val="superscript"/>
        <sz val="10"/>
        <color indexed="20"/>
        <rFont val="Arial"/>
        <family val="2"/>
      </rPr>
      <t>2</t>
    </r>
  </si>
  <si>
    <t>curve is nearly linear, so converge without any weight on previous guess</t>
  </si>
  <si>
    <t xml:space="preserve">Output </t>
  </si>
  <si>
    <t>Output</t>
  </si>
  <si>
    <r>
      <t>T</t>
    </r>
    <r>
      <rPr>
        <b/>
        <vertAlign val="subscript"/>
        <sz val="12"/>
        <rFont val="Arial"/>
        <family val="2"/>
      </rPr>
      <t>1</t>
    </r>
  </si>
  <si>
    <r>
      <t>T</t>
    </r>
    <r>
      <rPr>
        <b/>
        <vertAlign val="subscript"/>
        <sz val="12"/>
        <rFont val="Arial"/>
        <family val="2"/>
      </rPr>
      <t>2</t>
    </r>
  </si>
  <si>
    <r>
      <t>T</t>
    </r>
    <r>
      <rPr>
        <b/>
        <vertAlign val="subscript"/>
        <sz val="12"/>
        <rFont val="Arial"/>
        <family val="2"/>
      </rPr>
      <t>3</t>
    </r>
  </si>
  <si>
    <r>
      <rPr>
        <b/>
        <sz val="11"/>
        <rFont val="Wingdings 3"/>
        <family val="1"/>
        <charset val="2"/>
      </rPr>
      <t>r</t>
    </r>
    <r>
      <rPr>
        <b/>
        <sz val="11"/>
        <rFont val="Arial"/>
        <family val="2"/>
      </rPr>
      <t>H</t>
    </r>
    <r>
      <rPr>
        <b/>
        <vertAlign val="subscript"/>
        <sz val="11"/>
        <rFont val="Arial"/>
        <family val="2"/>
      </rPr>
      <t>1</t>
    </r>
  </si>
  <si>
    <r>
      <rPr>
        <b/>
        <sz val="11"/>
        <rFont val="Wingdings 3"/>
        <family val="1"/>
        <charset val="2"/>
      </rPr>
      <t>r</t>
    </r>
    <r>
      <rPr>
        <b/>
        <sz val="11"/>
        <rFont val="Arial"/>
        <family val="2"/>
      </rPr>
      <t>H</t>
    </r>
    <r>
      <rPr>
        <b/>
        <vertAlign val="subscript"/>
        <sz val="11"/>
        <rFont val="Arial"/>
        <family val="2"/>
      </rPr>
      <t>2</t>
    </r>
  </si>
  <si>
    <r>
      <rPr>
        <b/>
        <sz val="12"/>
        <rFont val="Wingdings 3"/>
        <family val="1"/>
        <charset val="2"/>
      </rPr>
      <t>r</t>
    </r>
    <r>
      <rPr>
        <b/>
        <sz val="12"/>
        <rFont val="Arial"/>
        <family val="2"/>
      </rPr>
      <t>H</t>
    </r>
    <r>
      <rPr>
        <b/>
        <vertAlign val="subscript"/>
        <sz val="12"/>
        <rFont val="Arial"/>
        <family val="2"/>
      </rPr>
      <t>f</t>
    </r>
  </si>
  <si>
    <r>
      <rPr>
        <sz val="10"/>
        <rFont val="Wingdings 3"/>
        <family val="1"/>
        <charset val="2"/>
      </rPr>
      <t>r</t>
    </r>
    <r>
      <rPr>
        <sz val="10"/>
        <rFont val="Arial"/>
        <family val="2"/>
      </rPr>
      <t>E</t>
    </r>
  </si>
  <si>
    <r>
      <rPr>
        <sz val="10"/>
        <rFont val="Wingdings 3"/>
        <family val="1"/>
        <charset val="2"/>
      </rPr>
      <t>r</t>
    </r>
    <r>
      <rPr>
        <sz val="10"/>
        <rFont val="Arial"/>
        <family val="2"/>
      </rPr>
      <t>C</t>
    </r>
  </si>
  <si>
    <r>
      <rPr>
        <sz val="10"/>
        <rFont val="Wingdings 3"/>
        <family val="1"/>
        <charset val="2"/>
      </rPr>
      <t>r</t>
    </r>
    <r>
      <rPr>
        <sz val="10"/>
        <rFont val="Arial"/>
        <family val="2"/>
      </rPr>
      <t>R</t>
    </r>
  </si>
  <si>
    <r>
      <t xml:space="preserve">ρ </t>
    </r>
    <r>
      <rPr>
        <sz val="11"/>
        <color indexed="10"/>
        <rFont val="Calibri"/>
        <family val="2"/>
      </rPr>
      <t xml:space="preserve"> (g/cm</t>
    </r>
    <r>
      <rPr>
        <vertAlign val="superscript"/>
        <sz val="11"/>
        <color indexed="10"/>
        <rFont val="Calibri"/>
        <family val="2"/>
      </rPr>
      <t>3</t>
    </r>
    <r>
      <rPr>
        <sz val="11"/>
        <color indexed="10"/>
        <rFont val="Calibri"/>
        <family val="2"/>
      </rPr>
      <t>)</t>
    </r>
  </si>
  <si>
    <t xml:space="preserve">Final values - Solution with added heat </t>
  </si>
  <si>
    <t>http://intro.chem.okstate.edu/1515sp01/database/vpwater.html</t>
  </si>
  <si>
    <t>Lowe 1977 below 62.276, my ad hoc cubic above that</t>
  </si>
  <si>
    <t>Input environmental data and heat loading</t>
  </si>
  <si>
    <r>
      <t>Wind Functions of the form f(W) = a + bW + cW</t>
    </r>
    <r>
      <rPr>
        <b/>
        <vertAlign val="superscript"/>
        <sz val="12"/>
        <rFont val="Arial"/>
        <family val="2"/>
      </rPr>
      <t xml:space="preserve">2 </t>
    </r>
  </si>
  <si>
    <t>Plant characteristics</t>
  </si>
  <si>
    <t>Days per month</t>
  </si>
  <si>
    <r>
      <t>Dry bulb air temp- erature Ta (</t>
    </r>
    <r>
      <rPr>
        <vertAlign val="superscript"/>
        <sz val="10"/>
        <rFont val="Arial"/>
        <family val="2"/>
      </rPr>
      <t>o</t>
    </r>
    <r>
      <rPr>
        <sz val="10"/>
        <rFont val="Arial"/>
        <family val="2"/>
      </rPr>
      <t>C)</t>
    </r>
  </si>
  <si>
    <r>
      <t>Wet bulb air temp- erature Twb (</t>
    </r>
    <r>
      <rPr>
        <vertAlign val="superscript"/>
        <sz val="10"/>
        <rFont val="Arial"/>
        <family val="2"/>
      </rPr>
      <t>o</t>
    </r>
    <r>
      <rPr>
        <sz val="10"/>
        <rFont val="Arial"/>
        <family val="2"/>
      </rPr>
      <t>C)</t>
    </r>
  </si>
  <si>
    <r>
      <t>Natural water temp- erature  T (</t>
    </r>
    <r>
      <rPr>
        <vertAlign val="superscript"/>
        <sz val="10"/>
        <color indexed="12"/>
        <rFont val="Arial"/>
        <family val="2"/>
      </rPr>
      <t>o</t>
    </r>
    <r>
      <rPr>
        <sz val="10"/>
        <color indexed="12"/>
        <rFont val="Arial"/>
        <family val="2"/>
      </rPr>
      <t>C)</t>
    </r>
  </si>
  <si>
    <t>Wind speed at 2m W (mph)</t>
  </si>
  <si>
    <r>
      <t xml:space="preserve">Added heat load </t>
    </r>
    <r>
      <rPr>
        <sz val="10"/>
        <rFont val="Wingdings 3"/>
        <family val="1"/>
        <charset val="2"/>
      </rPr>
      <t>r</t>
    </r>
    <r>
      <rPr>
        <sz val="10"/>
        <rFont val="Arial"/>
        <family val="2"/>
      </rPr>
      <t>H (MW/ acre)</t>
    </r>
  </si>
  <si>
    <r>
      <t>Heated water temperature T' (</t>
    </r>
    <r>
      <rPr>
        <b/>
        <vertAlign val="superscript"/>
        <sz val="10"/>
        <color indexed="10"/>
        <rFont val="Arial"/>
        <family val="2"/>
      </rPr>
      <t>o</t>
    </r>
    <r>
      <rPr>
        <b/>
        <sz val="10"/>
        <color indexed="10"/>
        <rFont val="Arial"/>
        <family val="2"/>
      </rPr>
      <t>C)</t>
    </r>
  </si>
  <si>
    <t>Asterisk indicates declining precision at T' &gt; 50</t>
  </si>
  <si>
    <t>Non-condenser heat loss as percent of fuel heat</t>
  </si>
  <si>
    <t>Evaporative cooling as percent of  added heat</t>
  </si>
  <si>
    <t>Evaporated gallons per million Btu of condenser duty</t>
  </si>
  <si>
    <t>Evaporated gallons per MWh thermal condenser duty</t>
  </si>
  <si>
    <r>
      <t>Heating of water  (</t>
    </r>
    <r>
      <rPr>
        <b/>
        <vertAlign val="superscript"/>
        <sz val="10"/>
        <rFont val="Arial"/>
        <family val="2"/>
      </rPr>
      <t>o</t>
    </r>
    <r>
      <rPr>
        <b/>
        <sz val="10"/>
        <rFont val="Arial"/>
        <family val="2"/>
      </rPr>
      <t>C)</t>
    </r>
  </si>
  <si>
    <t>Added evapo-ration (cm/ month)</t>
  </si>
  <si>
    <t>Evapo- rative heat loss incre- ment</t>
  </si>
  <si>
    <t>Total heat loss incre- ment</t>
  </si>
  <si>
    <t>Annual results for 12-month data</t>
  </si>
  <si>
    <t>Added evapo- ration (cm)</t>
  </si>
  <si>
    <t>Annual mean forced evaporation (gal/Mwe)</t>
  </si>
  <si>
    <t>Percent change in T' from previous iteration</t>
  </si>
  <si>
    <r>
      <t>Estimated heated water temperature T' (</t>
    </r>
    <r>
      <rPr>
        <vertAlign val="superscript"/>
        <sz val="10"/>
        <color indexed="10"/>
        <rFont val="Arial"/>
        <family val="2"/>
      </rPr>
      <t>o</t>
    </r>
    <r>
      <rPr>
        <sz val="10"/>
        <color indexed="10"/>
        <rFont val="Arial"/>
        <family val="2"/>
      </rPr>
      <t>C)</t>
    </r>
  </si>
  <si>
    <r>
      <t>Final heated water temperature T' (</t>
    </r>
    <r>
      <rPr>
        <vertAlign val="superscript"/>
        <sz val="10"/>
        <color indexed="10"/>
        <rFont val="Arial"/>
        <family val="2"/>
      </rPr>
      <t>o</t>
    </r>
    <r>
      <rPr>
        <sz val="10"/>
        <color indexed="10"/>
        <rFont val="Arial"/>
        <family val="2"/>
      </rPr>
      <t>C)</t>
    </r>
  </si>
  <si>
    <t>Initial guess at T'</t>
  </si>
  <si>
    <t>e(T')</t>
  </si>
  <si>
    <r>
      <t xml:space="preserve">Increment in total heat loss </t>
    </r>
    <r>
      <rPr>
        <sz val="10"/>
        <rFont val="Wingdings 3"/>
        <family val="1"/>
        <charset val="2"/>
      </rPr>
      <t>r</t>
    </r>
    <r>
      <rPr>
        <sz val="10"/>
        <rFont val="Arial"/>
        <family val="2"/>
      </rPr>
      <t>H</t>
    </r>
  </si>
  <si>
    <t>Increment in heat loss by mode</t>
  </si>
  <si>
    <t>density at heated temperature (pounds per gallon)</t>
  </si>
  <si>
    <t>Heat of vaporization (Btu/lb)</t>
  </si>
  <si>
    <t>Evaporated volume per condenser duty (gal/MMBtu)</t>
  </si>
  <si>
    <t>Evaporated volume per condenser duty               (gal/MWh thermal)</t>
  </si>
  <si>
    <t>Condenser duty per evaporated volume (MMBtu/gal)</t>
  </si>
  <si>
    <t>Percent forced evaporation</t>
  </si>
  <si>
    <t>Volumetric heat of vaporization (Btu/gal)</t>
  </si>
  <si>
    <t>Heat of vaporization (cal/cc)</t>
  </si>
  <si>
    <t>Output values for evaporation depth</t>
  </si>
  <si>
    <t>http://www.engineeringtoolbox.com/air-altitude-pressure-d_462.html</t>
  </si>
  <si>
    <t>http://www.wrh.noaa.gov/slc/projects/wxcalc/formulas/rhTdFromWetBulb.pdf</t>
  </si>
  <si>
    <t>http://www.engineeringtoolbox.com/water-thermal-properties-d_162.html</t>
  </si>
  <si>
    <t>The author gratefully acknowledges the assistance of David I. Stannard</t>
  </si>
  <si>
    <t>Constants and references in columns DO - DY</t>
  </si>
  <si>
    <t>big lake</t>
  </si>
  <si>
    <t>cooling ponds</t>
  </si>
  <si>
    <t>cooling lake</t>
  </si>
  <si>
    <t>river channel</t>
  </si>
  <si>
    <t>stream</t>
  </si>
  <si>
    <t>lake</t>
  </si>
  <si>
    <t>Lowe 1977 below 62.276 deg C, my ad hoc cubic above that</t>
  </si>
  <si>
    <t>Condenser duty (heat added to surface water) as percent of fuel heat</t>
  </si>
  <si>
    <t>Net thermal efficiency</t>
  </si>
  <si>
    <t>pressure function cite on "altitude vs. air pressure" page</t>
  </si>
  <si>
    <t>error in intial guess</t>
  </si>
  <si>
    <t>Annual mean forced evaporation (L/KWhe)</t>
  </si>
  <si>
    <t>INPUT SECTION</t>
  </si>
  <si>
    <t>C11-D23. We used NOAA weather data.</t>
  </si>
  <si>
    <t>WIND FUNCTIONS</t>
  </si>
  <si>
    <t xml:space="preserve">H7-J7. Copy numbers from Q2-S8 into these cells.  </t>
  </si>
  <si>
    <t>SUMMARY OUTPUT</t>
  </si>
  <si>
    <t>K12-K23. Estimated amount of forced evaporation, in gallons, per megawatt-hour of heat added to the water.</t>
  </si>
  <si>
    <t>P12-P23. Estimated heat loss through forced evaporation as a percentage of heat added by power plant.</t>
  </si>
  <si>
    <t>ANNUAL RESULTS</t>
  </si>
  <si>
    <t>S21. The fuel heat not exported as electricity or lost to the atmosphere is added to the cooling water.</t>
  </si>
  <si>
    <t>T10. Annual depth of forced evaporation.</t>
  </si>
  <si>
    <t>CALCULATIONS FOR UNHEATED CONDITION</t>
  </si>
  <si>
    <t>V12-V23, AF12-AF23.  See tab "Lowe 1977 e(T)" for supporting calculations.</t>
  </si>
  <si>
    <t>ITERATIVE SOLUTION</t>
  </si>
  <si>
    <t>AI12-AI23. These final values are repeated here to allow comparison with the intitial guesses.</t>
  </si>
  <si>
    <t>DG10-DN23. Conversion of evaporation to English units.</t>
  </si>
  <si>
    <t>C6. "Input values in purple" means that all numbers in purple on a light purple background are intended to be changed by the user.  Other numbers are functions or constants, and altering them may cause miscalculations.</t>
  </si>
  <si>
    <t xml:space="preserve">B11. This method was originally designed to be applied to monthly data.  Conversion to a shorter time step is probably not realistic.  </t>
  </si>
  <si>
    <t>Q12-Q23. Anything but zero in this column is a sign of non-convergence in the iterative solution. It's hard to get this without very unrealistic input values.  Repeated in column AJ and calculated in column CX.</t>
  </si>
  <si>
    <t>R10. Assuming constant fuel use and electric production throughout the year, this is the average forced evaporation per MWh of heat added to the cooling water, It differs from the average of K12-K23 only because of differences in the length of months.</t>
  </si>
  <si>
    <t>Columns AH and AL.  This is an ad hoc approach to making a good intial guess at the heated water temperature.  It assumes that the ratio of temperature change to added heat per acre is a quadratic function of initial temperature, windspeed, and added heat per area.  It's crude but adequate, given that convergence is rapid and the final value is insensitive to the initial guess.</t>
  </si>
  <si>
    <t>AQ12-AQ23. Estimated increase in heat loss due to raising the water temperature from the natural temperature (in column E) to the initial-guess heated water temperature (in column AL).  This should approximate the heat loading given in columns G and U.</t>
  </si>
  <si>
    <t>AS12-AS23. The estimated heated water temperature is adjusted to correct for the error in column AQ. Iterations continue through column DE.</t>
  </si>
  <si>
    <t xml:space="preserve">The first tab, "Forced Evaporation" stands on its own and is the only tab needed to apply the method. </t>
  </si>
  <si>
    <t>OTHER SECTIONS</t>
  </si>
  <si>
    <t xml:space="preserve">E12-E23. The natural or upstream water temperature is a critical input but it is difficult to estimate accurately from existing data. </t>
  </si>
  <si>
    <t>ABSTRACT</t>
  </si>
  <si>
    <t>NOTES</t>
  </si>
  <si>
    <t>Faqs.org, 1997, Temperature, humidity and dew point often needed answers. Accessed September 10, 2012 at:</t>
  </si>
  <si>
    <t>http://psas.pdx.edu/RocketScience/PressureAltitude_Derived.pdf</t>
  </si>
  <si>
    <t>DP-DX. Constants, and air pressure as a function of elevation.</t>
  </si>
  <si>
    <t xml:space="preserve">A9. Most constants are given in columns DO - DY, others in DG1-DJ7.  This spreadsheet applies the method developed by Earl Harbeck as documented by George Ward (1980). </t>
  </si>
  <si>
    <t>The spreadsheet is used by entering input data; calculations are automatic:</t>
  </si>
  <si>
    <t>The method implemented in this spreadsheet has four major sources of uncertainty:</t>
  </si>
  <si>
    <t>Forced evaporation in natural surface-water bodies occurs outside the power-plant boundary and cannot be easily measured.  Forced evaporation from dedicated cooling ponds can be measured using water budgets, and could be used to test this spreadsheet.</t>
  </si>
  <si>
    <t xml:space="preserve">  1. The user enters power-plant characteristics and mean monthly air temperature, wet bulb temperature, and wind speed are acquired for the site being modeled and entered.</t>
  </si>
  <si>
    <t xml:space="preserve">  2. A natural water temperature is derived from measured river temperature upstream from the plant, or in nearby lakes and streams, and entered. In principle, a natural water temperature could be derived from air temperature and wet bulb temperature.</t>
  </si>
  <si>
    <t xml:space="preserve">  4. An appropriate wind function is selected and its coefficients are entered.</t>
  </si>
  <si>
    <t xml:space="preserve">  5. The spreadsheet solves the relevant heat-loss equations iteratively to estimate a heated water temperature that matches the heat loading.</t>
  </si>
  <si>
    <t xml:space="preserve">  6. Monthly and annual estimates of forced evaporation are calculated as functions of added heat.</t>
  </si>
  <si>
    <t>Annual mean forced evaporation (gal/ MWht condenser duty)</t>
  </si>
  <si>
    <t>These averaged coefficients produce good convergence for all wind functions - see columns DZ through EN</t>
  </si>
  <si>
    <t>Anderson, E.R., 1954, Energy budget studies, water-loss investigations: Lake Hefner Studies: U.S. Geological Survey Professional Paper 269, p. 71-119.</t>
  </si>
  <si>
    <t>Brady, D.K., Graves, W.L., and Geyer, J.C., 1969, Surface heat exchange at power plant cooling lakes: New York, Edison Electric Institute Publication #69-901, Report #5.  Also referenced as: The Johns Hopkins University, Baltimore, Maryland, USA, Research Project R-P-49, Report no. 5.</t>
  </si>
  <si>
    <r>
      <t>Diehl, T.H., 2011, Estimating forced evaporation from surface water,</t>
    </r>
    <r>
      <rPr>
        <i/>
        <sz val="10"/>
        <rFont val="Arial"/>
        <family val="2"/>
      </rPr>
      <t xml:space="preserve"> in </t>
    </r>
    <r>
      <rPr>
        <sz val="10"/>
        <rFont val="Arial"/>
        <family val="2"/>
      </rPr>
      <t>Proceedings: Third Thermal Ecology and Regulation Workshop: October 11-12, 2011: Palo Alto, CA, EPRI, pp. 23-1--23-10.</t>
    </r>
  </si>
  <si>
    <t>Fulford, J.M., and Sturm, T.W., 1984, Evaporation from flowing channels: Journal of Energy Engineering, ASCE, v. 110, no. 1, p.  1-10.</t>
  </si>
  <si>
    <t>Gulliver, J.S., Stefan, H.G., 1986, Wind function for a sheltered stream: Journal of Environmental Engineering, v. 112, no. 2, p. 387-399.</t>
  </si>
  <si>
    <t>Lowe, P.R., 1977, An approximating polynomial for the computation of saturation vapor pressure: Journal of Applied Meteorology, v. 16, p. 100 - 102.</t>
  </si>
  <si>
    <t>Harbeck, G.E. Jr., 1964, Estimating forced evaporation from cooling ponds: Journal of the Power Division:  Proceedings of the American Society of Civil Engineers, v. 90, no. 3, p. 1-10.</t>
  </si>
  <si>
    <t>McJannet, D.L., Webster, I.T., and Cook, F.J., 2012, An area-dependent wind function for estimating open water evaporation using land-based meteorological data: Environmental Modelling &amp; Software, v, 31, p. 76-83, http://dx.doi.org/10.1016/j.envsoft.2011.11.017, accessed July 30, 2013 at http://www.sciencedirect.com/science/article/pii/S1364815211002805.</t>
  </si>
  <si>
    <t xml:space="preserve">Oklahoma State University, 2001, Vapor pressure of water, accessed September 10, 2012 at </t>
  </si>
  <si>
    <t>National Oceanic and Atmospheric Administration, 2012, Relative humidity and dewpoint temperature from temperature and wet-bulb temperature, accessed September 10, 2012 at</t>
  </si>
  <si>
    <t xml:space="preserve">Portland State Aerospace Society, 2004, A quick derivation relating altitude to air pressure. Version 1.03, 12/22/2004, accessed September 10, 2012 at </t>
  </si>
  <si>
    <t xml:space="preserve">The Engineering ToolBox, 2012, Water - thermal properties, accessed September 10, 2012 at  </t>
  </si>
  <si>
    <t xml:space="preserve">The Engineering ToolBox, 2012, Air pressure and altitude above sea level, accessed September 10, 2012 at </t>
  </si>
  <si>
    <t xml:space="preserve">Ward, G.H., Jr., 1980, Accuracy of Harbeck diagram for forced evaporation: Journal of the Energy Division, v. 106, no. 1, p. 23-31. </t>
  </si>
  <si>
    <t>Webster, I.T., and Sherman, B.S., 1995, Evaporation from fetch-limited water bodies: Irrigation Science, v. 16, p. 53-64.</t>
  </si>
  <si>
    <t xml:space="preserve">  3. A heat loading (heat added to surface-water per pond or plume area) is estimated or measured and entered.</t>
  </si>
  <si>
    <t xml:space="preserve">  1. The estimation of a natural water temperature in the absence of added heat;</t>
  </si>
  <si>
    <t xml:space="preserve">  2. The estimation of heat loading in a lake or river plume;</t>
  </si>
  <si>
    <t xml:space="preserve">  3. The selection of a wind function, and</t>
  </si>
  <si>
    <t xml:space="preserve">  4. At most 10-15-percent error between calculations and real heat loss (Stannard, D.I., USGS, written commun., 2012).</t>
  </si>
  <si>
    <t>This spreadsheet includes wind functions derived for rivers and lakes and reviewed by McJannet and others (2012), and the wind function of Brady and others (1969) developed for dedicated cooling lakes. Majewski and Miller (1979) reviewed other wind functions, but these should be checked against the original publications before being used.  Other wind functions can be added by the user as appropriate.</t>
  </si>
  <si>
    <t>G12. The monthly average heat loading is an important input. The added heat can be calculated by dividing the monthly fuel consumption in thermal megawatt-hours by the number of hours in the month, then multiplying by the percentage in cell S21.  For dedicated cooling ponds, the area in question is that of the pond; for plants that create a thermal plume in a river or large lake, the appropriate area is the area over which the average temperature increase is equal to the estimated heating in cells L12-L23</t>
  </si>
  <si>
    <t>Added heat loading is less than 0.5 MWt/acre for most lakes and rivers, but could be as high as 2 for some dedicated cooling ponds.  A value in this cell will be copied into G13-G23. However, the user can provide monthly heat loadings. The added heat load is shown in different units in column U.</t>
  </si>
  <si>
    <t xml:space="preserve">The "wind function" has been used to calibrate energy budgets, and as such, it accumulates all the unexplained variation.  It's informative to look at the original studies to see how much scatter there is around these curves. </t>
  </si>
  <si>
    <t>I use the function of Brady and others for dedicated cooling ponds and lakes, Gulliver and Stefan for rivers, and Webster and Sherman for large lakes.</t>
  </si>
  <si>
    <t>H12-H23. Estimated average water-surface temperature in the heated plume or cooling pond. Estimated temperatures above the boiling point won't be displayed.</t>
  </si>
  <si>
    <t xml:space="preserve">I12-I23. An asterisk in this column indicates that the estimate should not be trusted. This column will remain blank until heated water temperature exceeds 50 degrees Celsius, which is an unrealistically high temperature for a cooling pond, and the temperature at which the accuracy of some of the fundamental functions in the method begins to decline. </t>
  </si>
  <si>
    <t>J12-J23. Estimated amount of forced evaporation, in gallons, per million British thermal units (Btu) added to the water.  This estimate should be within 10-15 percent of the correct value if the natural water temperature and wind function are chosen correctly.</t>
  </si>
  <si>
    <t>M12-M23. Estimated forced evaporation as a monthly depth.</t>
  </si>
  <si>
    <t>S10. Estimated forced evaporation per MWh of net electric production. This is the coefficient most often used to describe thermoelectric water consumption in English units.  Compare to values given in Macknick and others (2011) table 2 for pond and once-through cooling, accessed at www.nrel.gov/docs/fy11osti/50900.pdf.</t>
  </si>
  <si>
    <t>S26. Estimated forced evaporation in liters per KWh of net electric production.</t>
  </si>
  <si>
    <t>W12-W23, See tab "unsaturated vapor pressure."</t>
  </si>
  <si>
    <t>AN12-AO23. This is the first of nine applications of the basic equations for increased heat loss from the water surface as a result of added heat.  See tab "Ward equation 1 2 3 14."</t>
  </si>
  <si>
    <t>DG1-DG7. Conversion constants.</t>
  </si>
  <si>
    <t>DZ-EP. Development of initial-guess quadratic.</t>
  </si>
  <si>
    <r>
      <t xml:space="preserve">Model of </t>
    </r>
    <r>
      <rPr>
        <b/>
        <sz val="16"/>
        <color indexed="60"/>
        <rFont val="Arial"/>
        <family val="2"/>
      </rPr>
      <t>F</t>
    </r>
    <r>
      <rPr>
        <b/>
        <sz val="14"/>
        <rFont val="Arial"/>
        <family val="2"/>
      </rPr>
      <t xml:space="preserve">orced </t>
    </r>
    <r>
      <rPr>
        <b/>
        <sz val="16"/>
        <color indexed="60"/>
        <rFont val="Arial"/>
        <family val="2"/>
      </rPr>
      <t>E</t>
    </r>
    <r>
      <rPr>
        <b/>
        <sz val="14"/>
        <rFont val="Arial"/>
        <family val="2"/>
      </rPr>
      <t xml:space="preserve">vaporation from a </t>
    </r>
    <r>
      <rPr>
        <b/>
        <sz val="16"/>
        <color indexed="60"/>
        <rFont val="Arial"/>
        <family val="2"/>
      </rPr>
      <t>W</t>
    </r>
    <r>
      <rPr>
        <b/>
        <sz val="14"/>
        <rFont val="Arial"/>
        <family val="2"/>
      </rPr>
      <t xml:space="preserve">ater </t>
    </r>
    <r>
      <rPr>
        <b/>
        <sz val="16"/>
        <color indexed="60"/>
        <rFont val="Arial"/>
        <family val="2"/>
      </rPr>
      <t>S</t>
    </r>
    <r>
      <rPr>
        <b/>
        <sz val="14"/>
        <rFont val="Arial"/>
        <family val="2"/>
      </rPr>
      <t>urface, with user choice of wind function</t>
    </r>
  </si>
  <si>
    <r>
      <t xml:space="preserve">These formulas use windspeed in m/s and give f(W) in mm/(day*kPa) following the format of </t>
    </r>
    <r>
      <rPr>
        <i/>
        <sz val="10"/>
        <rFont val="Arial"/>
        <family val="2"/>
      </rPr>
      <t>McJannet and others (2012).</t>
    </r>
  </si>
  <si>
    <t>meters</t>
  </si>
  <si>
    <r>
      <t>Dry bulb air temperature Ta (</t>
    </r>
    <r>
      <rPr>
        <vertAlign val="superscript"/>
        <sz val="10"/>
        <rFont val="Arial"/>
        <family val="2"/>
      </rPr>
      <t>o</t>
    </r>
    <r>
      <rPr>
        <sz val="10"/>
        <rFont val="Arial"/>
        <family val="2"/>
      </rPr>
      <t>C)</t>
    </r>
  </si>
  <si>
    <r>
      <t>Wet bulb air temperature Twb (</t>
    </r>
    <r>
      <rPr>
        <vertAlign val="superscript"/>
        <sz val="10"/>
        <rFont val="Arial"/>
        <family val="2"/>
      </rPr>
      <t>o</t>
    </r>
    <r>
      <rPr>
        <sz val="10"/>
        <rFont val="Arial"/>
        <family val="2"/>
      </rPr>
      <t>C)</t>
    </r>
  </si>
  <si>
    <r>
      <t>Natural water temperature  T (</t>
    </r>
    <r>
      <rPr>
        <vertAlign val="superscript"/>
        <sz val="10"/>
        <color indexed="12"/>
        <rFont val="Arial"/>
        <family val="2"/>
      </rPr>
      <t>o</t>
    </r>
    <r>
      <rPr>
        <sz val="10"/>
        <color indexed="12"/>
        <rFont val="Arial"/>
        <family val="2"/>
      </rPr>
      <t>C)</t>
    </r>
  </si>
  <si>
    <r>
      <t xml:space="preserve">Added heat load </t>
    </r>
    <r>
      <rPr>
        <sz val="10"/>
        <rFont val="Wingdings 3"/>
        <family val="1"/>
        <charset val="2"/>
      </rPr>
      <t>r</t>
    </r>
    <r>
      <rPr>
        <sz val="10"/>
        <rFont val="Arial"/>
        <family val="2"/>
      </rPr>
      <t>H (MW/acre)</t>
    </r>
  </si>
  <si>
    <t>degrees Celsius</t>
  </si>
  <si>
    <t>Wind speed at 2 meters above the surface, in miles per hour</t>
  </si>
  <si>
    <t>Heat added to a surface-water body by a power plant, in thermal megawatts per acre</t>
  </si>
  <si>
    <t>Change in water temperature from natural water temperature to heated water temperature.</t>
  </si>
  <si>
    <t>Btu are British Thermal Units</t>
  </si>
  <si>
    <t>Asterisk indicates declining precision at heated water temperature above 50 degrees Celsius</t>
  </si>
  <si>
    <t>Gallons of surface water evaporated per megawatt-hour of heat transferred to it from the condenser</t>
  </si>
  <si>
    <t>Increased evaporation in excess of natural evaporation, in centimeters per month</t>
  </si>
  <si>
    <t>Added evaporation (cm/ month)</t>
  </si>
  <si>
    <t>Evaporative heat loss increment</t>
  </si>
  <si>
    <t>Total heat loss increment</t>
  </si>
  <si>
    <t>Label on "Forced Evaporation" tab</t>
  </si>
  <si>
    <t>Explanation</t>
  </si>
  <si>
    <t>This is calculated as the ratio of evaporative heat loss increment to total heat loss increment</t>
  </si>
  <si>
    <t>This has no physical interpretation; it tracks the convergence of the heated water temperature through the iterations</t>
  </si>
  <si>
    <t>Annual average rate of forced evaporation in gallons per thermal megawatt-hour of added heat</t>
  </si>
  <si>
    <t>Annual average rate of forced evaporation in gallons per megawatt-hour of net electrical generation</t>
  </si>
  <si>
    <t>Added evaporation (cm)</t>
  </si>
  <si>
    <t>Annual sum of monthly forced evaporation, in centimeters of water depth over the actual or assumed surface-water area</t>
  </si>
  <si>
    <t>Heat transferred to the atmosphere through evaporation from surface water,  in calories per square centimeter of water surface per second</t>
  </si>
  <si>
    <t>Heat transferred to the atmosphere through evaporation, conduction, and radiation from surface water,  in calories per square centimeter of water surface per second</t>
  </si>
  <si>
    <t>Vapor pressure of water at the dry-bulb air temperature, in millibars</t>
  </si>
  <si>
    <t>Vapor pressure of water at the wet-bulb air temperature, in millibars</t>
  </si>
  <si>
    <t>Wind speed at 2 meters above the surface, in meters per second</t>
  </si>
  <si>
    <t>Wind-function coefficients</t>
  </si>
  <si>
    <t>Calculated wind function in millimeters per day per kilopascal</t>
  </si>
  <si>
    <t>Density of water, in grams per cubic centimeter</t>
  </si>
  <si>
    <t xml:space="preserve">Initial guess used to start iteration; delta T is T' minus T, and heat loading is in calories per square centimeter of water surface per second </t>
  </si>
  <si>
    <t>Calculated wind function in centimeters of water per second per millibar</t>
  </si>
  <si>
    <t>Heat of vaporization of liquid water, in calories per gram</t>
  </si>
  <si>
    <t>Saturation vapor pressure at natural water temperature, in millibars</t>
  </si>
  <si>
    <t>Change in heated water temperature in final iteration step; if the method converged successfully, this should be small.</t>
  </si>
  <si>
    <t>water emissivity</t>
  </si>
  <si>
    <t>specific heat of air at a constant pressure</t>
  </si>
  <si>
    <t xml:space="preserve">the Stefan-Boltzman constant </t>
  </si>
  <si>
    <t>the molecular weight ratio of water vapor to dry air</t>
  </si>
  <si>
    <t>Model of Forced Evaporation from a Water Surface (FEWS), with choice of wind function</t>
  </si>
  <si>
    <t>This spreadsheet implements methods described in Diehl and others ( 2013) for estimating forced evaporation from water surfaces driven by heat from thermoelectric power plants.</t>
  </si>
  <si>
    <r>
      <t xml:space="preserve">Butcher, K., Crown, L., and Gentry, E.J., 2006, The international system of units (SI) - conversion factors for general use: National Institute of Standards and Technology Special Publications 1038, 24 p, accessed September 10, 2012 at: </t>
    </r>
    <r>
      <rPr>
        <i/>
        <sz val="10"/>
        <rFont val="Arial"/>
        <family val="2"/>
      </rPr>
      <t>http://www.nist.gov/pml/wmd/metric/upload/SP1038.pdf</t>
    </r>
  </si>
  <si>
    <t>SELECTED REFERENCES</t>
  </si>
  <si>
    <t>Diehl, T.H., Harris, M.A., Murphy, J.C., and Hutson, S.S., 2013, Methods for estimating water consumption for thermoelectric power plants in the United States : U.S Geological Survey Scientific Investigations Report 2013-XXXX, xx  p.</t>
  </si>
  <si>
    <t>Brady and others, 1969</t>
  </si>
  <si>
    <t>Harbeck, 1964</t>
  </si>
  <si>
    <t>Anderson, 1954</t>
  </si>
  <si>
    <t>Fulford and Sturm, 1984</t>
  </si>
  <si>
    <t>Gulliver and Stefan, 1986</t>
  </si>
  <si>
    <t xml:space="preserve">Webster and Sherman, 1995 </t>
  </si>
  <si>
    <r>
      <rPr>
        <b/>
        <sz val="11"/>
        <rFont val="Arial"/>
        <family val="2"/>
      </rPr>
      <t>Summary output section</t>
    </r>
    <r>
      <rPr>
        <sz val="11"/>
        <rFont val="Arial"/>
        <family val="2"/>
      </rPr>
      <t xml:space="preserve"> - </t>
    </r>
    <r>
      <rPr>
        <sz val="10"/>
        <rFont val="Arial"/>
        <family val="2"/>
      </rPr>
      <t>heat loss rates are in cal/(cm</t>
    </r>
    <r>
      <rPr>
        <vertAlign val="superscript"/>
        <sz val="10"/>
        <rFont val="Arial"/>
        <family val="2"/>
      </rPr>
      <t>2</t>
    </r>
    <r>
      <rPr>
        <sz val="10"/>
        <rFont val="Arial"/>
        <family val="2"/>
      </rPr>
      <t>sec)</t>
    </r>
  </si>
  <si>
    <t>FEWS Version 3.104 - 2013/9/24 - Timothy H. Diehl</t>
  </si>
  <si>
    <t>Version 3.104 - 2013/09/24 - Timothy H. Diehl</t>
  </si>
  <si>
    <t>Majewski, W., and Miller, D.C., 1979, Predicting effects of power plant once-through cooling on aquatic systems: A state-of-the-art report of IHP Working Group 6.2 on the Effects of Thermal Discharges.: Paris, France: UNESCO,  Technical papers in hydrology 20, 171 p.</t>
  </si>
  <si>
    <t xml:space="preserve">Macknick, J., Newmark, R., Heath, G., and Hallett, K.C., 2011, A review of operational water consumption and withdrawal factors in electricity generating technologies: Golden, Colorado, National Renewable Energy Laboratory Technical report NREL/TP—6A20-50900, 21 p., accessed August 19, 2013 at http://www.nrel.gov/docs/fy11osti/50900.pdf. </t>
  </si>
  <si>
    <t>S18. An example value of the percentage of fuel heat exported from the plant as electricity.</t>
  </si>
  <si>
    <t>S13. An example value of the percentage of fuel heat lost to the atmosphere. For a coal plant, this is normally 10-18 percent; for a nuclear plant, it is only 1-2 percent.  In a plant with once-through or pond cooling with this spreadsheet, the value in this cell would have to include all the heat not discharged through the condenser or converted to electricity. If you wanted to model a plant with a cooling system including towers, this would include the heat lost to the atmosphere in the cooling towers, so it wouldn't be entirely "non-condenser" in that case.</t>
  </si>
  <si>
    <t>A Quick Derivation relating altitude to air pressure</t>
  </si>
  <si>
    <t>Engineering Toolbox</t>
  </si>
  <si>
    <t>A</t>
  </si>
  <si>
    <t>© 2004 Portland State Aerospace Society &lt;http://www.psas.pdx.edu&gt;</t>
  </si>
  <si>
    <t>Air pressure above sea level can be calculated as</t>
  </si>
  <si>
    <t>pages 3 to 4:</t>
  </si>
  <si>
    <r>
      <t>p = 101325 (1 - 2.25577 10</t>
    </r>
    <r>
      <rPr>
        <i/>
        <vertAlign val="superscript"/>
        <sz val="9"/>
        <color indexed="16"/>
        <rFont val="Arial"/>
        <family val="2"/>
      </rPr>
      <t>-5</t>
    </r>
    <r>
      <rPr>
        <i/>
        <sz val="9"/>
        <color indexed="16"/>
        <rFont val="Arial"/>
        <family val="2"/>
      </rPr>
      <t xml:space="preserve"> h)</t>
    </r>
    <r>
      <rPr>
        <i/>
        <vertAlign val="superscript"/>
        <sz val="9"/>
        <color indexed="16"/>
        <rFont val="Arial"/>
        <family val="2"/>
      </rPr>
      <t>5.25588</t>
    </r>
    <r>
      <rPr>
        <i/>
        <sz val="9"/>
        <color indexed="16"/>
        <rFont val="Arial"/>
        <family val="2"/>
      </rPr>
      <t xml:space="preserve"> (1) </t>
    </r>
  </si>
  <si>
    <t>"The 1996 edition of the CRC handbook gives this expression for pressure in terms of altitude in the standard atmosphere"</t>
  </si>
  <si>
    <t xml:space="preserve">where </t>
  </si>
  <si>
    <t>source url: http://psas.pdx.edu/RocketScience/PressureAltitude_Derived.pdf</t>
  </si>
  <si>
    <t>p = air pressure (Pa)</t>
  </si>
  <si>
    <t>h = altitude above sea level (m)</t>
  </si>
  <si>
    <t>P=100 * ((44331.514 - z)/11880.516)^(1/0.190263)</t>
  </si>
  <si>
    <t xml:space="preserve"> P = pressure in Pascals</t>
  </si>
  <si>
    <t>z = altitude in meters</t>
  </si>
  <si>
    <t>Pa</t>
  </si>
  <si>
    <t>elevation in meters</t>
  </si>
  <si>
    <t>difference from CRC formula</t>
  </si>
  <si>
    <t>in mbars</t>
  </si>
  <si>
    <t>z = 44330.8 - 4946.54*(p^0.1902632)</t>
  </si>
  <si>
    <t>Portland State prefers slightly different parameters</t>
  </si>
  <si>
    <t>(p^0.1902632) = (44330.8-z)/4946.54</t>
  </si>
  <si>
    <t>The differences among these three equations are insignificant for the purpose of this model.</t>
  </si>
  <si>
    <t>p = ((44330.8-z)/4946.54)^(1/0.1902632)</t>
  </si>
  <si>
    <t>difference from Engineering Toolbox formula</t>
  </si>
  <si>
    <t>Input</t>
  </si>
  <si>
    <t>This formula is used in the model:</t>
  </si>
  <si>
    <t>Alternative formula:</t>
  </si>
  <si>
    <t>A second alternative formula:</t>
  </si>
  <si>
    <t>Table 1, Ward 1980</t>
  </si>
  <si>
    <t>Symbol</t>
  </si>
  <si>
    <t>Parameter</t>
  </si>
  <si>
    <t>Value</t>
  </si>
  <si>
    <t>ρ</t>
  </si>
  <si>
    <t>rho</t>
  </si>
  <si>
    <t xml:space="preserve">0.99983 + 5*10^-5*T - 6.25*10^-6*T^2 </t>
  </si>
  <si>
    <r>
      <t>g/cm</t>
    </r>
    <r>
      <rPr>
        <vertAlign val="superscript"/>
        <sz val="10"/>
        <rFont val="Arial"/>
        <family val="2"/>
      </rPr>
      <t>3</t>
    </r>
  </si>
  <si>
    <t>Here, T = water temperature, in degrees Celsius.  Variation of water density with temperature is represented with sufficient accuracy for present purposes by a quadratic dependency.</t>
  </si>
  <si>
    <t>atmospheric pressure</t>
  </si>
  <si>
    <t>Ward uses 1000 mbar, but pressure as a function of altitude has been substituted in the model</t>
  </si>
  <si>
    <t>eta sub r</t>
  </si>
  <si>
    <t>dimensionless</t>
  </si>
  <si>
    <t>sigma</t>
  </si>
  <si>
    <t>Stefan-Boltzman constant</t>
  </si>
  <si>
    <r>
      <t>R</t>
    </r>
    <r>
      <rPr>
        <vertAlign val="subscript"/>
        <sz val="12"/>
        <rFont val="Calibri"/>
        <family val="2"/>
      </rPr>
      <t>ν</t>
    </r>
  </si>
  <si>
    <t>R sub nu</t>
  </si>
  <si>
    <t>specific gas constant for water vapor</t>
  </si>
  <si>
    <t>L</t>
  </si>
  <si>
    <t>latent heat of vaporization</t>
  </si>
  <si>
    <t>L = a + bTcal/g; a = 595.9 cal/g ; b = -0.545 cal/g/K</t>
  </si>
  <si>
    <t xml:space="preserve">cal/g </t>
  </si>
  <si>
    <t>T = water temperature, in degrees Celsius</t>
  </si>
  <si>
    <t>c sub p</t>
  </si>
  <si>
    <t>specific heat</t>
  </si>
  <si>
    <t xml:space="preserve">eta  </t>
  </si>
  <si>
    <t>molecular weight ratio, water vapor:dry air</t>
  </si>
  <si>
    <t>Test of temperature dependent formulae</t>
  </si>
  <si>
    <t xml:space="preserve">T </t>
  </si>
  <si>
    <t>Linear function of temperature in degrees celsius</t>
  </si>
  <si>
    <t>Plug in environmental values on sheet "Equation 1 2 3 14"</t>
  </si>
  <si>
    <t>Ta</t>
  </si>
  <si>
    <t>air temperature</t>
  </si>
  <si>
    <t>Example input value</t>
  </si>
  <si>
    <t>Twb</t>
  </si>
  <si>
    <t>wet bulb air temperature</t>
  </si>
  <si>
    <t>T</t>
  </si>
  <si>
    <t>ambient water temperature</t>
  </si>
  <si>
    <t>W</t>
  </si>
  <si>
    <t>wind in mph at 2m</t>
  </si>
  <si>
    <t>Derived</t>
  </si>
  <si>
    <t>e(T)</t>
  </si>
  <si>
    <t>saturation vapor pressure over natural water</t>
  </si>
  <si>
    <t>mb</t>
  </si>
  <si>
    <t>from Equation 12</t>
  </si>
  <si>
    <t>e(Twb)</t>
  </si>
  <si>
    <r>
      <t>e</t>
    </r>
    <r>
      <rPr>
        <vertAlign val="subscript"/>
        <sz val="10"/>
        <rFont val="Arial"/>
        <family val="2"/>
      </rPr>
      <t>a</t>
    </r>
  </si>
  <si>
    <t>vapor pressure of air</t>
  </si>
  <si>
    <t>from: http://www.wrh.noaa.gov/slc/projects/wxcalc/formulas/rhTdFromWetBulb.pdf</t>
  </si>
  <si>
    <t>saturation vapor pressure over heated pond</t>
  </si>
  <si>
    <t>heated water density</t>
  </si>
  <si>
    <t>latent heat of vaporization, heated water</t>
  </si>
  <si>
    <t>Calculate</t>
  </si>
  <si>
    <t>T'</t>
  </si>
  <si>
    <t>pond temperature</t>
  </si>
  <si>
    <t>Conversion constants</t>
  </si>
  <si>
    <t>cal</t>
  </si>
  <si>
    <t>J</t>
  </si>
  <si>
    <t>hectopascal</t>
  </si>
  <si>
    <t>0.1 kpas</t>
  </si>
  <si>
    <t>Ward 1980 equation 12</t>
  </si>
  <si>
    <t>Natural water temperature</t>
  </si>
  <si>
    <r>
      <t>R</t>
    </r>
    <r>
      <rPr>
        <b/>
        <vertAlign val="subscript"/>
        <sz val="12"/>
        <rFont val="Calibri"/>
        <family val="2"/>
      </rPr>
      <t>ν</t>
    </r>
  </si>
  <si>
    <t>Constants arranged on row 2 to make formula 12 more readable</t>
  </si>
  <si>
    <t>Heated water temperature</t>
  </si>
  <si>
    <t>'=6.11*EXP(((A1-273*B1)/R1)*((1/273)-(1/(T1+273)))+(B1/R1)*LN((T1+273)/273))</t>
  </si>
  <si>
    <t>millibars at natural water temperature</t>
  </si>
  <si>
    <t>millibars at heated water temperature</t>
  </si>
  <si>
    <t>I got the value of 6.1078 from</t>
  </si>
  <si>
    <r>
      <t>e(T) = 6.11*exp</t>
    </r>
    <r>
      <rPr>
        <b/>
        <sz val="18"/>
        <color indexed="10"/>
        <rFont val="Arial"/>
        <family val="2"/>
      </rPr>
      <t>(</t>
    </r>
    <r>
      <rPr>
        <b/>
        <sz val="18"/>
        <color indexed="12"/>
        <rFont val="Arial"/>
        <family val="2"/>
      </rPr>
      <t>(</t>
    </r>
    <r>
      <rPr>
        <sz val="18"/>
        <rFont val="Arial"/>
        <family val="2"/>
      </rPr>
      <t>(a-273*b)/Rν</t>
    </r>
    <r>
      <rPr>
        <b/>
        <sz val="18"/>
        <color indexed="12"/>
        <rFont val="Arial"/>
        <family val="2"/>
      </rPr>
      <t>)(</t>
    </r>
    <r>
      <rPr>
        <sz val="18"/>
        <rFont val="Arial"/>
        <family val="2"/>
      </rPr>
      <t>(1/273)-(1/(T+273))</t>
    </r>
    <r>
      <rPr>
        <b/>
        <sz val="18"/>
        <color indexed="12"/>
        <rFont val="Arial"/>
        <family val="2"/>
      </rPr>
      <t>)</t>
    </r>
    <r>
      <rPr>
        <sz val="18"/>
        <rFont val="Arial"/>
        <family val="2"/>
      </rPr>
      <t>+</t>
    </r>
    <r>
      <rPr>
        <b/>
        <sz val="18"/>
        <color indexed="12"/>
        <rFont val="Arial"/>
        <family val="2"/>
      </rPr>
      <t>(</t>
    </r>
    <r>
      <rPr>
        <sz val="18"/>
        <rFont val="Arial"/>
        <family val="2"/>
      </rPr>
      <t>b/Rν</t>
    </r>
    <r>
      <rPr>
        <b/>
        <sz val="18"/>
        <color indexed="12"/>
        <rFont val="Arial"/>
        <family val="2"/>
      </rPr>
      <t>)</t>
    </r>
    <r>
      <rPr>
        <sz val="18"/>
        <rFont val="Arial"/>
        <family val="2"/>
      </rPr>
      <t>*ln</t>
    </r>
    <r>
      <rPr>
        <b/>
        <sz val="18"/>
        <color indexed="12"/>
        <rFont val="Arial"/>
        <family val="2"/>
      </rPr>
      <t>(</t>
    </r>
    <r>
      <rPr>
        <sz val="18"/>
        <rFont val="Arial"/>
        <family val="2"/>
      </rPr>
      <t>(T+273)/273</t>
    </r>
    <r>
      <rPr>
        <b/>
        <sz val="18"/>
        <color indexed="12"/>
        <rFont val="Arial"/>
        <family val="2"/>
      </rPr>
      <t>)</t>
    </r>
    <r>
      <rPr>
        <b/>
        <sz val="18"/>
        <color indexed="10"/>
        <rFont val="Arial"/>
        <family val="2"/>
      </rPr>
      <t>)</t>
    </r>
  </si>
  <si>
    <t>Lowe, P.R., 1977, An approximating polynomial for the computation of saturation vapor pressure.  Journal of Applied Meteorology, v. 16, p. 100 - 102</t>
  </si>
  <si>
    <t>Temperature</t>
  </si>
  <si>
    <t>Pressure</t>
  </si>
  <si>
    <t>Change</t>
  </si>
  <si>
    <t>subscript</t>
  </si>
  <si>
    <t>these</t>
  </si>
  <si>
    <t>with</t>
  </si>
  <si>
    <t>Solver….</t>
  </si>
  <si>
    <r>
      <t>R</t>
    </r>
    <r>
      <rPr>
        <b/>
        <vertAlign val="subscript"/>
        <sz val="12"/>
        <color indexed="16"/>
        <rFont val="Calibri"/>
        <family val="2"/>
      </rPr>
      <t>ν</t>
    </r>
  </si>
  <si>
    <t>….to minimize this</t>
  </si>
  <si>
    <t>T Celsius</t>
  </si>
  <si>
    <t>Goff &amp; Gratch 1946 from Lowe 1977</t>
  </si>
  <si>
    <t>Lowe</t>
  </si>
  <si>
    <t>Lowe results</t>
  </si>
  <si>
    <t>Lowe % change from Goff-Gratch</t>
  </si>
  <si>
    <t>Lowe error as % of Ward error</t>
  </si>
  <si>
    <t>Ward % change from Lowe</t>
  </si>
  <si>
    <t>Ward % change from Goff-Gratch</t>
  </si>
  <si>
    <t>my cubic equation</t>
  </si>
  <si>
    <t>squared error in cubic</t>
  </si>
  <si>
    <t>error</t>
  </si>
  <si>
    <t>Lowe error</t>
  </si>
  <si>
    <t>Crossover difference</t>
  </si>
  <si>
    <t>combined equation</t>
  </si>
  <si>
    <t>infinite</t>
  </si>
  <si>
    <t>Matches Lowe results exactly</t>
  </si>
  <si>
    <t>Lowe change from ok.state table</t>
  </si>
  <si>
    <t>In this block below line 105, I create a spliced "combined" function for e(T), equal to Lowe's up to 62.276 degrees, then my own cubic fit up to 100</t>
  </si>
  <si>
    <t>me</t>
  </si>
  <si>
    <t>breakover threshold</t>
  </si>
  <si>
    <r>
      <t xml:space="preserve">Compared to </t>
    </r>
    <r>
      <rPr>
        <sz val="10"/>
        <color theme="5" tint="-0.499984740745262"/>
        <rFont val="Arial"/>
        <family val="2"/>
      </rPr>
      <t>Ward's (1980) formula</t>
    </r>
    <r>
      <rPr>
        <sz val="10"/>
        <rFont val="Arial"/>
        <family val="2"/>
      </rPr>
      <t xml:space="preserve"> and </t>
    </r>
    <r>
      <rPr>
        <sz val="10"/>
        <color rgb="FF008000"/>
        <rFont val="Arial"/>
        <family val="2"/>
      </rPr>
      <t>a table of e(T) from the Oklahoma State University Chemistry Department.</t>
    </r>
  </si>
  <si>
    <t>Ward 1980 equations 1, 2, 3, and 14</t>
  </si>
  <si>
    <t>Ward 1980 eqn number</t>
  </si>
  <si>
    <t xml:space="preserve">natural  </t>
  </si>
  <si>
    <t>heated</t>
  </si>
  <si>
    <r>
      <t xml:space="preserve">E = </t>
    </r>
    <r>
      <rPr>
        <sz val="10"/>
        <rFont val="Calibri"/>
        <family val="2"/>
      </rPr>
      <t>ρ</t>
    </r>
    <r>
      <rPr>
        <sz val="10"/>
        <rFont val="Arial"/>
        <family val="2"/>
      </rPr>
      <t xml:space="preserve"> L</t>
    </r>
    <r>
      <rPr>
        <i/>
        <sz val="10"/>
        <rFont val="Arial"/>
        <family val="2"/>
      </rPr>
      <t>f</t>
    </r>
    <r>
      <rPr>
        <sz val="10"/>
        <rFont val="Arial"/>
        <family val="2"/>
      </rPr>
      <t>(W)[e(T) - e</t>
    </r>
    <r>
      <rPr>
        <vertAlign val="subscript"/>
        <sz val="10"/>
        <rFont val="Arial"/>
        <family val="2"/>
      </rPr>
      <t>a</t>
    </r>
    <r>
      <rPr>
        <sz val="10"/>
        <rFont val="Arial"/>
        <family val="2"/>
      </rPr>
      <t>]</t>
    </r>
  </si>
  <si>
    <t>evaporation</t>
  </si>
  <si>
    <t>evap increment</t>
  </si>
  <si>
    <r>
      <t>C=</t>
    </r>
    <r>
      <rPr>
        <i/>
        <sz val="10"/>
        <rFont val="Arial"/>
        <family val="2"/>
      </rPr>
      <t>f</t>
    </r>
    <r>
      <rPr>
        <sz val="10"/>
        <rFont val="Arial"/>
        <family val="2"/>
      </rPr>
      <t>(W)ρpC</t>
    </r>
    <r>
      <rPr>
        <vertAlign val="subscript"/>
        <sz val="10"/>
        <rFont val="Arial"/>
        <family val="2"/>
      </rPr>
      <t>p</t>
    </r>
    <r>
      <rPr>
        <sz val="10"/>
        <rFont val="Arial"/>
        <family val="2"/>
      </rPr>
      <t>(T- Ta)/</t>
    </r>
    <r>
      <rPr>
        <sz val="10"/>
        <rFont val="Calibri"/>
        <family val="2"/>
      </rPr>
      <t>ϵ</t>
    </r>
  </si>
  <si>
    <t>conduction</t>
  </si>
  <si>
    <t>conduction increment</t>
  </si>
  <si>
    <r>
      <t xml:space="preserve">R = </t>
    </r>
    <r>
      <rPr>
        <sz val="10"/>
        <rFont val="Calibri"/>
        <family val="2"/>
      </rPr>
      <t>ϵ</t>
    </r>
    <r>
      <rPr>
        <vertAlign val="subscript"/>
        <sz val="10"/>
        <rFont val="Arial"/>
        <family val="2"/>
      </rPr>
      <t>r</t>
    </r>
    <r>
      <rPr>
        <sz val="10"/>
        <rFont val="Calibri"/>
        <family val="2"/>
      </rPr>
      <t>σ</t>
    </r>
    <r>
      <rPr>
        <sz val="10"/>
        <rFont val="Arial"/>
        <family val="2"/>
      </rPr>
      <t>(T + 273)^4</t>
    </r>
  </si>
  <si>
    <t>radiation</t>
  </si>
  <si>
    <t>radiation inrement</t>
  </si>
  <si>
    <t>sigma in "per day"</t>
  </si>
  <si>
    <t>total increment</t>
  </si>
  <si>
    <t>evap ratio</t>
  </si>
  <si>
    <r>
      <rPr>
        <i/>
        <sz val="10"/>
        <rFont val="Arial"/>
        <family val="2"/>
      </rPr>
      <t>f</t>
    </r>
    <r>
      <rPr>
        <sz val="10"/>
        <rFont val="Arial"/>
        <family val="2"/>
      </rPr>
      <t>(W) = 7E-8*W</t>
    </r>
  </si>
  <si>
    <r>
      <rPr>
        <i/>
        <sz val="10"/>
        <rFont val="Arial"/>
        <family val="2"/>
      </rPr>
      <t>f</t>
    </r>
    <r>
      <rPr>
        <sz val="10"/>
        <rFont val="Arial"/>
        <family val="2"/>
      </rPr>
      <t>(W) in "per second" units</t>
    </r>
  </si>
  <si>
    <t>forced evaporation ratio</t>
  </si>
  <si>
    <t>ratio of conduction to evaporation heat, Ward</t>
  </si>
  <si>
    <t>dry bulb air T</t>
  </si>
  <si>
    <t>wet bulb air T</t>
  </si>
  <si>
    <t>natural water T</t>
  </si>
  <si>
    <t>heated water T</t>
  </si>
  <si>
    <t>wind at 2m in mph</t>
  </si>
  <si>
    <t>e  = 6.1078 * 10 ** ((TD * A)/(TD + B)) in hPa</t>
  </si>
  <si>
    <t>A =   7.5 } for use in vapor pressure</t>
  </si>
  <si>
    <t>B = 237.3 } with respect to WATER</t>
  </si>
  <si>
    <t>Temperature and Wet-Bulb Temperature</t>
  </si>
  <si>
    <t>quote:</t>
  </si>
  <si>
    <t>Then, an actual vapor pressure (e) can be calculated using the</t>
  </si>
  <si>
    <t>equation below:</t>
  </si>
  <si>
    <t>e = ew − psta × (T − Tw) × 0.00066 × (1 + (0.00115 × Tw))</t>
  </si>
  <si>
    <t>Version 1.03, 12/22/2004</t>
  </si>
  <si>
    <t>E = a0+T(a1+T(a2+T(a3+T(a4+T(a5+a6T)))))</t>
  </si>
  <si>
    <t>See separate tab "Ward Eqn 12" for this equation</t>
  </si>
  <si>
    <r>
      <t xml:space="preserve">The purpose of my cubic equation is to provide a fairly good fit to the Oklahoma State table at high temperatures where the Lowe equation goes astray.  </t>
    </r>
    <r>
      <rPr>
        <b/>
        <sz val="10"/>
        <color rgb="FF660066"/>
        <rFont val="Arial"/>
        <family val="2"/>
      </rPr>
      <t>I don't think these temperatures actually occur in cooling ponds.</t>
    </r>
  </si>
  <si>
    <t>Relative Humidity and Dewpoint Temperature from</t>
  </si>
  <si>
    <r>
      <t>cal/cm</t>
    </r>
    <r>
      <rPr>
        <vertAlign val="superscript"/>
        <sz val="10"/>
        <rFont val="Arial"/>
        <family val="2"/>
      </rPr>
      <t>2</t>
    </r>
    <r>
      <rPr>
        <sz val="10"/>
        <rFont val="Arial"/>
        <family val="2"/>
      </rPr>
      <t>/K</t>
    </r>
    <r>
      <rPr>
        <vertAlign val="superscript"/>
        <sz val="10"/>
        <rFont val="Arial"/>
        <family val="2"/>
      </rPr>
      <t>4</t>
    </r>
    <r>
      <rPr>
        <sz val="10"/>
        <rFont val="Arial"/>
        <family val="2"/>
      </rPr>
      <t>/day</t>
    </r>
  </si>
  <si>
    <t>cal/ g/ K</t>
  </si>
  <si>
    <t>e(T)    (mbar)</t>
  </si>
  <si>
    <t>e(T)    
(mbar)</t>
  </si>
  <si>
    <r>
      <t>cal/(cm</t>
    </r>
    <r>
      <rPr>
        <vertAlign val="superscript"/>
        <sz val="10"/>
        <rFont val="Arial"/>
        <family val="2"/>
      </rPr>
      <t xml:space="preserve">2 • </t>
    </r>
    <r>
      <rPr>
        <sz val="10"/>
        <rFont val="Arial"/>
        <family val="2"/>
      </rPr>
      <t>K</t>
    </r>
    <r>
      <rPr>
        <vertAlign val="superscript"/>
        <sz val="10"/>
        <rFont val="Arial"/>
        <family val="2"/>
      </rPr>
      <t xml:space="preserve">4 • </t>
    </r>
    <r>
      <rPr>
        <sz val="10"/>
        <rFont val="Arial"/>
        <family val="2"/>
      </rPr>
      <t>day)</t>
    </r>
  </si>
  <si>
    <r>
      <t xml:space="preserve">cal/(g • </t>
    </r>
    <r>
      <rPr>
        <sz val="10"/>
        <rFont val="Arial"/>
        <family val="2"/>
      </rPr>
      <t>K)</t>
    </r>
  </si>
  <si>
    <r>
      <t>e</t>
    </r>
    <r>
      <rPr>
        <vertAlign val="subscript"/>
        <sz val="10"/>
        <rFont val="Arial"/>
        <family val="2"/>
        <charset val="1"/>
      </rPr>
      <t>a</t>
    </r>
  </si>
  <si>
    <r>
      <t xml:space="preserve">cal/(g </t>
    </r>
    <r>
      <rPr>
        <vertAlign val="superscript"/>
        <sz val="10"/>
        <rFont val="Arial"/>
        <family val="2"/>
      </rPr>
      <t xml:space="preserve">• </t>
    </r>
    <r>
      <rPr>
        <sz val="10"/>
        <rFont val="Arial"/>
        <family val="2"/>
      </rPr>
      <t>K)</t>
    </r>
  </si>
  <si>
    <t>Ward has this term as dimensionless, but after performing dimensional analysis, it has been determined to need a units of per day</t>
  </si>
  <si>
    <t>AD12-AD23, Ward's quadratic formula was sufficiently accurate, see tab "Ward Constants."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</si>
</sst>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_(* \(#,##0.00\);_(* &quot;-&quot;??_);_(@_)"/>
    <numFmt numFmtId="164" formatCode="0.0"/>
    <numFmt numFmtId="165" formatCode="0.000"/>
    <numFmt numFmtId="166" formatCode="0.00000"/>
    <numFmt numFmtId="167" formatCode="0.0000"/>
    <numFmt numFmtId="168" formatCode="0.0%"/>
    <numFmt numFmtId="169" formatCode="0.000000"/>
    <numFmt numFmtId="170" formatCode="0.000000%"/>
    <numFmt numFmtId="171" formatCode="0.000E+00"/>
    <numFmt numFmtId="172" formatCode="0.0000%"/>
    <numFmt numFmtId="173" formatCode="0.00000%"/>
    <numFmt numFmtId="174" formatCode="0.0000000"/>
    <numFmt numFmtId="175" formatCode="0.0000000%"/>
    <numFmt numFmtId="176" formatCode="0.000000000"/>
    <numFmt numFmtId="177" formatCode="0.000000000E+00"/>
    <numFmt numFmtId="178" formatCode="0.000%"/>
    <numFmt numFmtId="179" formatCode="0.00000000"/>
  </numFmts>
  <fonts count="107" x14ac:knownFonts="1">
    <font>
      <sz val="10"/>
      <name val="Arial"/>
    </font>
    <font>
      <sz val="10"/>
      <name val="Arial"/>
      <family val="2"/>
    </font>
    <font>
      <b/>
      <i/>
      <sz val="14"/>
      <color indexed="18"/>
      <name val="Arial"/>
      <family val="2"/>
    </font>
    <font>
      <b/>
      <sz val="10"/>
      <name val="Arial"/>
      <family val="2"/>
    </font>
    <font>
      <sz val="10"/>
      <color indexed="10"/>
      <name val="Arial"/>
      <family val="2"/>
    </font>
    <font>
      <sz val="10"/>
      <color indexed="18"/>
      <name val="Arial"/>
      <family val="2"/>
    </font>
    <font>
      <i/>
      <sz val="10"/>
      <name val="Arial"/>
      <family val="2"/>
    </font>
    <font>
      <sz val="12"/>
      <name val="Calibri"/>
      <family val="2"/>
    </font>
    <font>
      <sz val="12"/>
      <name val="Arial"/>
      <family val="2"/>
    </font>
    <font>
      <vertAlign val="subscript"/>
      <sz val="12"/>
      <name val="Calibri"/>
      <family val="2"/>
    </font>
    <font>
      <vertAlign val="subscript"/>
      <sz val="12"/>
      <name val="Arial"/>
      <family val="2"/>
    </font>
    <font>
      <b/>
      <sz val="10"/>
      <color indexed="10"/>
      <name val="Arial"/>
      <family val="2"/>
    </font>
    <font>
      <b/>
      <sz val="10"/>
      <color indexed="12"/>
      <name val="Arial"/>
      <family val="2"/>
    </font>
    <font>
      <sz val="10"/>
      <color indexed="12"/>
      <name val="Arial"/>
      <family val="2"/>
    </font>
    <font>
      <b/>
      <sz val="12"/>
      <name val="Arial"/>
      <family val="2"/>
    </font>
    <font>
      <i/>
      <sz val="12"/>
      <name val="Arial"/>
      <family val="2"/>
    </font>
    <font>
      <i/>
      <vertAlign val="subscript"/>
      <sz val="10"/>
      <name val="Arial"/>
      <family val="2"/>
    </font>
    <font>
      <sz val="11"/>
      <name val="Arial"/>
      <family val="2"/>
    </font>
    <font>
      <b/>
      <sz val="16"/>
      <name val="Arial"/>
      <family val="2"/>
    </font>
    <font>
      <b/>
      <sz val="11"/>
      <name val="Arial"/>
      <family val="2"/>
    </font>
    <font>
      <vertAlign val="superscript"/>
      <sz val="10"/>
      <name val="Arial"/>
      <family val="2"/>
    </font>
    <font>
      <b/>
      <vertAlign val="superscript"/>
      <sz val="10"/>
      <name val="Arial"/>
      <family val="2"/>
    </font>
    <font>
      <vertAlign val="superscript"/>
      <sz val="10"/>
      <color indexed="12"/>
      <name val="Arial"/>
      <family val="2"/>
    </font>
    <font>
      <sz val="11"/>
      <color indexed="12"/>
      <name val="Calibri"/>
      <family val="2"/>
    </font>
    <font>
      <vertAlign val="superscript"/>
      <sz val="11"/>
      <color indexed="12"/>
      <name val="Calibri"/>
      <family val="2"/>
    </font>
    <font>
      <sz val="10"/>
      <color indexed="20"/>
      <name val="Arial"/>
      <family val="2"/>
    </font>
    <font>
      <vertAlign val="superscript"/>
      <sz val="10"/>
      <color indexed="20"/>
      <name val="Arial"/>
      <family val="2"/>
    </font>
    <font>
      <sz val="8"/>
      <name val="Arial"/>
      <family val="2"/>
    </font>
    <font>
      <b/>
      <sz val="14"/>
      <name val="Arial"/>
      <family val="2"/>
    </font>
    <font>
      <b/>
      <vertAlign val="subscript"/>
      <sz val="11"/>
      <name val="Arial"/>
      <family val="2"/>
    </font>
    <font>
      <b/>
      <vertAlign val="subscript"/>
      <sz val="12"/>
      <name val="Arial"/>
      <family val="2"/>
    </font>
    <font>
      <sz val="10"/>
      <name val="Wingdings 3"/>
      <family val="1"/>
      <charset val="2"/>
    </font>
    <font>
      <b/>
      <sz val="11"/>
      <name val="Wingdings 3"/>
      <family val="1"/>
      <charset val="2"/>
    </font>
    <font>
      <b/>
      <sz val="12"/>
      <name val="Wingdings 3"/>
      <family val="1"/>
      <charset val="2"/>
    </font>
    <font>
      <sz val="11"/>
      <color indexed="10"/>
      <name val="Calibri"/>
      <family val="2"/>
    </font>
    <font>
      <vertAlign val="superscript"/>
      <sz val="11"/>
      <color indexed="10"/>
      <name val="Calibri"/>
      <family val="2"/>
    </font>
    <font>
      <b/>
      <vertAlign val="superscript"/>
      <sz val="12"/>
      <name val="Arial"/>
      <family val="2"/>
    </font>
    <font>
      <b/>
      <vertAlign val="superscript"/>
      <sz val="10"/>
      <color indexed="10"/>
      <name val="Arial"/>
      <family val="2"/>
    </font>
    <font>
      <vertAlign val="superscript"/>
      <sz val="10"/>
      <color indexed="10"/>
      <name val="Arial"/>
      <family val="2"/>
    </font>
    <font>
      <sz val="9"/>
      <name val="Arial"/>
      <family val="2"/>
    </font>
    <font>
      <b/>
      <sz val="16"/>
      <color indexed="60"/>
      <name val="Arial"/>
      <family val="2"/>
    </font>
    <font>
      <sz val="11"/>
      <color rgb="FF9C0006"/>
      <name val="Calibri"/>
      <family val="2"/>
      <scheme val="minor"/>
    </font>
    <font>
      <u/>
      <sz val="10"/>
      <color theme="10"/>
      <name val="Arial"/>
      <family val="2"/>
    </font>
    <font>
      <sz val="10"/>
      <color rgb="FFFF0000"/>
      <name val="Arial"/>
      <family val="2"/>
    </font>
    <font>
      <b/>
      <sz val="10"/>
      <color rgb="FFFF0000"/>
      <name val="Arial"/>
      <family val="2"/>
    </font>
    <font>
      <b/>
      <sz val="10"/>
      <color rgb="FF7030A0"/>
      <name val="Arial"/>
      <family val="2"/>
    </font>
    <font>
      <sz val="10"/>
      <color theme="5" tint="-0.249977111117893"/>
      <name val="Arial"/>
      <family val="2"/>
    </font>
    <font>
      <b/>
      <sz val="10"/>
      <color theme="5" tint="-0.249977111117893"/>
      <name val="Arial"/>
      <family val="2"/>
    </font>
    <font>
      <b/>
      <sz val="12"/>
      <color rgb="FF7030A0"/>
      <name val="Arial"/>
      <family val="2"/>
    </font>
    <font>
      <sz val="10"/>
      <color rgb="FF0000FF"/>
      <name val="Arial"/>
      <family val="2"/>
    </font>
    <font>
      <sz val="11"/>
      <color rgb="FF0000FF"/>
      <name val="Arial"/>
      <family val="2"/>
    </font>
    <font>
      <sz val="12"/>
      <color rgb="FF0000FF"/>
      <name val="Calibri"/>
      <family val="2"/>
    </font>
    <font>
      <b/>
      <sz val="10"/>
      <color rgb="FF990033"/>
      <name val="Arial"/>
      <family val="2"/>
    </font>
    <font>
      <sz val="10"/>
      <color rgb="FF990033"/>
      <name val="Arial"/>
      <family val="2"/>
    </font>
    <font>
      <b/>
      <sz val="11"/>
      <color rgb="FF7030A0"/>
      <name val="Arial"/>
      <family val="2"/>
    </font>
    <font>
      <b/>
      <i/>
      <sz val="10"/>
      <color rgb="FF990033"/>
      <name val="Arial"/>
      <family val="2"/>
    </font>
    <font>
      <sz val="11"/>
      <color rgb="FF990033"/>
      <name val="Calibri"/>
      <family val="2"/>
      <scheme val="minor"/>
    </font>
    <font>
      <sz val="10"/>
      <color rgb="FF663300"/>
      <name val="Arial"/>
      <family val="2"/>
    </font>
    <font>
      <i/>
      <sz val="10"/>
      <color theme="9" tint="-0.499984740745262"/>
      <name val="Arial"/>
      <family val="2"/>
    </font>
    <font>
      <b/>
      <sz val="10"/>
      <color rgb="FF0000FF"/>
      <name val="Arial"/>
      <family val="2"/>
    </font>
    <font>
      <b/>
      <sz val="14"/>
      <color rgb="FF7030A0"/>
      <name val="Arial"/>
      <family val="2"/>
    </font>
    <font>
      <b/>
      <sz val="10"/>
      <color rgb="FF663300"/>
      <name val="Arial"/>
      <family val="2"/>
    </font>
    <font>
      <sz val="11"/>
      <color rgb="FFFF0000"/>
      <name val="Arial"/>
      <family val="2"/>
    </font>
    <font>
      <sz val="12"/>
      <color rgb="FFFF0000"/>
      <name val="Calibri"/>
      <family val="2"/>
    </font>
    <font>
      <b/>
      <sz val="11"/>
      <color rgb="FFFF0000"/>
      <name val="Arial"/>
      <family val="2"/>
    </font>
    <font>
      <i/>
      <sz val="11"/>
      <color rgb="FF9C0006"/>
      <name val="Calibri"/>
      <family val="2"/>
      <scheme val="minor"/>
    </font>
    <font>
      <b/>
      <sz val="20"/>
      <color rgb="FFFF0000"/>
      <name val="Arial"/>
      <family val="2"/>
    </font>
    <font>
      <sz val="10"/>
      <color rgb="FF0000CC"/>
      <name val="Arial"/>
      <family val="2"/>
    </font>
    <font>
      <sz val="10"/>
      <color theme="9" tint="-0.499984740745262"/>
      <name val="Arial"/>
      <family val="2"/>
    </font>
    <font>
      <sz val="12"/>
      <color rgb="FF7030A0"/>
      <name val="Arial"/>
      <family val="2"/>
    </font>
    <font>
      <sz val="8"/>
      <color rgb="FF990033"/>
      <name val="Arial"/>
      <family val="2"/>
    </font>
    <font>
      <sz val="10"/>
      <color theme="0" tint="-0.14999847407452621"/>
      <name val="Arial"/>
      <family val="2"/>
    </font>
    <font>
      <b/>
      <sz val="10"/>
      <color rgb="FF660066"/>
      <name val="Arial"/>
      <family val="2"/>
    </font>
    <font>
      <sz val="10"/>
      <color rgb="FF660066"/>
      <name val="Arial"/>
      <family val="2"/>
    </font>
    <font>
      <b/>
      <sz val="12"/>
      <color rgb="FFFF0000"/>
      <name val="Arial"/>
      <family val="2"/>
    </font>
    <font>
      <b/>
      <sz val="8"/>
      <color rgb="FF660066"/>
      <name val="Arial"/>
      <family val="2"/>
    </font>
    <font>
      <sz val="11"/>
      <color rgb="FFFF0000"/>
      <name val="Calibri"/>
      <family val="2"/>
      <scheme val="minor"/>
    </font>
    <font>
      <sz val="10"/>
      <color theme="5" tint="-0.499984740745262"/>
      <name val="Arial"/>
      <family val="2"/>
    </font>
    <font>
      <sz val="9"/>
      <color theme="5" tint="-0.499984740745262"/>
      <name val="Arial"/>
      <family val="2"/>
    </font>
    <font>
      <i/>
      <sz val="9"/>
      <color theme="5" tint="-0.499984740745262"/>
      <name val="Arial"/>
      <family val="2"/>
    </font>
    <font>
      <i/>
      <vertAlign val="superscript"/>
      <sz val="9"/>
      <color indexed="16"/>
      <name val="Arial"/>
      <family val="2"/>
    </font>
    <font>
      <i/>
      <sz val="9"/>
      <color indexed="16"/>
      <name val="Arial"/>
      <family val="2"/>
    </font>
    <font>
      <sz val="11"/>
      <name val="Calibri"/>
      <family val="2"/>
      <scheme val="minor"/>
    </font>
    <font>
      <sz val="10"/>
      <color rgb="FF7030A0"/>
      <name val="Arial"/>
      <family val="2"/>
    </font>
    <font>
      <vertAlign val="subscript"/>
      <sz val="10"/>
      <name val="Arial"/>
      <family val="2"/>
    </font>
    <font>
      <b/>
      <sz val="12"/>
      <color theme="9" tint="-0.499984740745262"/>
      <name val="Arial"/>
      <family val="2"/>
    </font>
    <font>
      <b/>
      <vertAlign val="subscript"/>
      <sz val="12"/>
      <name val="Calibri"/>
      <family val="2"/>
    </font>
    <font>
      <b/>
      <sz val="10"/>
      <color theme="9" tint="-0.499984740745262"/>
      <name val="Arial Unicode MS"/>
      <family val="2"/>
    </font>
    <font>
      <sz val="18"/>
      <name val="Arial"/>
      <family val="2"/>
    </font>
    <font>
      <b/>
      <sz val="18"/>
      <color indexed="10"/>
      <name val="Arial"/>
      <family val="2"/>
    </font>
    <font>
      <b/>
      <sz val="18"/>
      <color indexed="12"/>
      <name val="Arial"/>
      <family val="2"/>
    </font>
    <font>
      <b/>
      <sz val="10"/>
      <color rgb="FF0000CC"/>
      <name val="Arial"/>
      <family val="2"/>
    </font>
    <font>
      <b/>
      <sz val="10"/>
      <color rgb="FF008000"/>
      <name val="Arial"/>
      <family val="2"/>
    </font>
    <font>
      <sz val="10"/>
      <color rgb="FF008000"/>
      <name val="Arial"/>
      <family val="2"/>
    </font>
    <font>
      <b/>
      <sz val="12"/>
      <color theme="5" tint="-0.499984740745262"/>
      <name val="Arial"/>
      <family val="2"/>
    </font>
    <font>
      <b/>
      <sz val="10"/>
      <color theme="5" tint="-0.499984740745262"/>
      <name val="Arial"/>
      <family val="2"/>
    </font>
    <font>
      <b/>
      <vertAlign val="subscript"/>
      <sz val="12"/>
      <color indexed="16"/>
      <name val="Calibri"/>
      <family val="2"/>
    </font>
    <font>
      <sz val="12"/>
      <color theme="5" tint="-0.499984740745262"/>
      <name val="Arial"/>
      <family val="2"/>
    </font>
    <font>
      <sz val="10"/>
      <name val="Calibri"/>
      <family val="2"/>
    </font>
    <font>
      <sz val="10"/>
      <color rgb="FFC00000"/>
      <name val="Arial"/>
      <family val="2"/>
    </font>
    <font>
      <sz val="11"/>
      <color rgb="FF0000FF"/>
      <name val="Calibri"/>
      <family val="2"/>
      <scheme val="minor"/>
    </font>
    <font>
      <b/>
      <sz val="10"/>
      <color theme="9" tint="-0.499984740745262"/>
      <name val="Arial"/>
      <family val="2"/>
    </font>
    <font>
      <sz val="11"/>
      <color rgb="FF9C0006"/>
      <name val="Calibri"/>
      <family val="2"/>
      <charset val="1"/>
    </font>
    <font>
      <sz val="12"/>
      <color rgb="FF0000FF"/>
      <name val="Times New Roman"/>
      <family val="1"/>
      <charset val="1"/>
    </font>
    <font>
      <sz val="12"/>
      <color rgb="FFFF0000"/>
      <name val="Times New Roman"/>
      <family val="1"/>
      <charset val="1"/>
    </font>
    <font>
      <vertAlign val="subscript"/>
      <sz val="10"/>
      <name val="Arial"/>
      <family val="2"/>
      <charset val="1"/>
    </font>
    <font>
      <sz val="10"/>
      <color rgb="FF222222"/>
      <name val="Arial"/>
      <family val="2"/>
    </font>
  </fonts>
  <fills count="9">
    <fill>
      <patternFill patternType="none"/>
    </fill>
    <fill>
      <patternFill patternType="gray125"/>
    </fill>
    <fill>
      <patternFill patternType="solid">
        <fgColor rgb="FFFFC7CE"/>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C7CE"/>
        <bgColor rgb="FFD9D9D9"/>
      </patternFill>
    </fill>
    <fill>
      <patternFill patternType="solid">
        <fgColor rgb="FFFFFFFF"/>
        <bgColor indexed="64"/>
      </patternFill>
    </fill>
  </fills>
  <borders count="78">
    <border>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theme="5" tint="-0.24994659260841701"/>
      </top>
      <bottom/>
      <diagonal/>
    </border>
    <border>
      <left/>
      <right style="medium">
        <color theme="5" tint="-0.24994659260841701"/>
      </right>
      <top style="medium">
        <color theme="5" tint="-0.24994659260841701"/>
      </top>
      <bottom/>
      <diagonal/>
    </border>
    <border>
      <left style="medium">
        <color theme="5" tint="-0.24994659260841701"/>
      </left>
      <right/>
      <top/>
      <bottom/>
      <diagonal/>
    </border>
    <border>
      <left style="medium">
        <color theme="5" tint="-0.24994659260841701"/>
      </left>
      <right/>
      <top/>
      <bottom style="medium">
        <color theme="5" tint="-0.24994659260841701"/>
      </bottom>
      <diagonal/>
    </border>
    <border>
      <left/>
      <right style="medium">
        <color theme="5" tint="-0.24994659260841701"/>
      </right>
      <top/>
      <bottom/>
      <diagonal/>
    </border>
    <border>
      <left/>
      <right style="medium">
        <color theme="5" tint="-0.24994659260841701"/>
      </right>
      <top/>
      <bottom style="medium">
        <color theme="5" tint="-0.24994659260841701"/>
      </bottom>
      <diagonal/>
    </border>
    <border>
      <left/>
      <right/>
      <top/>
      <bottom style="medium">
        <color theme="5" tint="-0.24994659260841701"/>
      </bottom>
      <diagonal/>
    </border>
    <border>
      <left style="medium">
        <color theme="5" tint="-0.24994659260841701"/>
      </left>
      <right/>
      <top style="medium">
        <color theme="5" tint="-0.24994659260841701"/>
      </top>
      <bottom/>
      <diagonal/>
    </border>
    <border>
      <left style="thin">
        <color theme="9" tint="-0.499984740745262"/>
      </left>
      <right style="thin">
        <color theme="9" tint="-0.499984740745262"/>
      </right>
      <top/>
      <bottom/>
      <diagonal/>
    </border>
    <border>
      <left/>
      <right/>
      <top style="hair">
        <color theme="0" tint="-0.34998626667073579"/>
      </top>
      <bottom style="hair">
        <color theme="0" tint="-0.34998626667073579"/>
      </bottom>
      <diagonal/>
    </border>
    <border>
      <left/>
      <right style="thin">
        <color theme="9" tint="-0.499984740745262"/>
      </right>
      <top/>
      <bottom/>
      <diagonal/>
    </border>
    <border>
      <left style="medium">
        <color theme="9" tint="-0.499984740745262"/>
      </left>
      <right/>
      <top style="medium">
        <color theme="9" tint="-0.499984740745262"/>
      </top>
      <bottom/>
      <diagonal/>
    </border>
    <border>
      <left/>
      <right/>
      <top style="medium">
        <color theme="9" tint="-0.499984740745262"/>
      </top>
      <bottom/>
      <diagonal/>
    </border>
    <border>
      <left/>
      <right style="medium">
        <color theme="9" tint="-0.499984740745262"/>
      </right>
      <top style="medium">
        <color theme="9" tint="-0.499984740745262"/>
      </top>
      <bottom/>
      <diagonal/>
    </border>
    <border>
      <left style="medium">
        <color theme="9" tint="-0.499984740745262"/>
      </left>
      <right/>
      <top style="hair">
        <color theme="0" tint="-0.34998626667073579"/>
      </top>
      <bottom style="hair">
        <color theme="0" tint="-0.34998626667073579"/>
      </bottom>
      <diagonal/>
    </border>
    <border>
      <left/>
      <right style="medium">
        <color theme="9" tint="-0.499984740745262"/>
      </right>
      <top/>
      <bottom/>
      <diagonal/>
    </border>
    <border>
      <left style="medium">
        <color theme="9" tint="-0.499984740745262"/>
      </left>
      <right/>
      <top style="hair">
        <color theme="0" tint="-0.34998626667073579"/>
      </top>
      <bottom/>
      <diagonal/>
    </border>
    <border>
      <left style="medium">
        <color theme="9" tint="-0.499984740745262"/>
      </left>
      <right/>
      <top/>
      <bottom/>
      <diagonal/>
    </border>
    <border>
      <left/>
      <right style="medium">
        <color rgb="FF990033"/>
      </right>
      <top/>
      <bottom/>
      <diagonal/>
    </border>
    <border>
      <left/>
      <right/>
      <top style="hair">
        <color theme="0" tint="-0.34998626667073579"/>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style="thin">
        <color rgb="FFFF0000"/>
      </left>
      <right style="thin">
        <color rgb="FFFF0000"/>
      </right>
      <top/>
      <bottom style="thin">
        <color rgb="FFFF0000"/>
      </bottom>
      <diagonal/>
    </border>
    <border>
      <left style="medium">
        <color rgb="FF990033"/>
      </left>
      <right/>
      <top/>
      <bottom style="medium">
        <color theme="5" tint="-0.24994659260841701"/>
      </bottom>
      <diagonal/>
    </border>
    <border>
      <left/>
      <right/>
      <top/>
      <bottom style="medium">
        <color rgb="FF990033"/>
      </bottom>
      <diagonal/>
    </border>
    <border>
      <left/>
      <right/>
      <top/>
      <bottom style="medium">
        <color theme="9" tint="-0.499984740745262"/>
      </bottom>
      <diagonal/>
    </border>
    <border>
      <left/>
      <right style="medium">
        <color theme="9" tint="-0.499984740745262"/>
      </right>
      <top/>
      <bottom style="medium">
        <color theme="9" tint="-0.499984740745262"/>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right style="medium">
        <color rgb="FF990033"/>
      </right>
      <top/>
      <bottom style="medium">
        <color theme="5" tint="-0.24994659260841701"/>
      </bottom>
      <diagonal/>
    </border>
    <border>
      <left/>
      <right/>
      <top/>
      <bottom style="medium">
        <color rgb="FFC00000"/>
      </bottom>
      <diagonal/>
    </border>
    <border>
      <left style="thin">
        <color rgb="FFFF0000"/>
      </left>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medium">
        <color theme="9" tint="-0.499984740745262"/>
      </left>
      <right style="thin">
        <color theme="9" tint="-0.499984740745262"/>
      </right>
      <top/>
      <bottom/>
      <diagonal/>
    </border>
    <border>
      <left/>
      <right style="medium">
        <color rgb="FFC00000"/>
      </right>
      <top/>
      <bottom/>
      <diagonal/>
    </border>
    <border>
      <left style="medium">
        <color theme="9" tint="-0.499984740745262"/>
      </left>
      <right style="medium">
        <color theme="9" tint="-0.499984740745262"/>
      </right>
      <top/>
      <bottom/>
      <diagonal/>
    </border>
    <border>
      <left style="thin">
        <color theme="9" tint="-0.499984740745262"/>
      </left>
      <right style="medium">
        <color theme="9" tint="-0.499984740745262"/>
      </right>
      <top/>
      <bottom/>
      <diagonal/>
    </border>
    <border>
      <left style="medium">
        <color theme="9" tint="-0.499984740745262"/>
      </left>
      <right/>
      <top/>
      <bottom style="medium">
        <color theme="9" tint="-0.499984740745262"/>
      </bottom>
      <diagonal/>
    </border>
    <border>
      <left style="thin">
        <color theme="9" tint="-0.499984740745262"/>
      </left>
      <right style="thin">
        <color theme="9" tint="-0.499984740745262"/>
      </right>
      <top style="thin">
        <color theme="9" tint="-0.499984740745262"/>
      </top>
      <bottom/>
      <diagonal/>
    </border>
    <border>
      <left style="thin">
        <color theme="9" tint="-0.499984740745262"/>
      </left>
      <right style="thin">
        <color theme="9" tint="-0.499984740745262"/>
      </right>
      <top/>
      <bottom style="thin">
        <color theme="9" tint="-0.499984740745262"/>
      </bottom>
      <diagonal/>
    </border>
    <border>
      <left/>
      <right style="medium">
        <color theme="9" tint="-0.499984740745262"/>
      </right>
      <top style="thin">
        <color indexed="64"/>
      </top>
      <bottom/>
      <diagonal/>
    </border>
    <border>
      <left style="medium">
        <color theme="9" tint="-0.499984740745262"/>
      </left>
      <right style="thin">
        <color indexed="64"/>
      </right>
      <top/>
      <bottom/>
      <diagonal/>
    </border>
    <border>
      <left style="medium">
        <color theme="9" tint="-0.499984740745262"/>
      </left>
      <right style="medium">
        <color theme="9" tint="-0.499984740745262"/>
      </right>
      <top/>
      <bottom style="medium">
        <color theme="9" tint="-0.499984740745262"/>
      </bottom>
      <diagonal/>
    </border>
    <border>
      <left/>
      <right style="thin">
        <color theme="9" tint="-0.499984740745262"/>
      </right>
      <top style="thin">
        <color theme="9" tint="-0.499984740745262"/>
      </top>
      <bottom/>
      <diagonal/>
    </border>
    <border>
      <left/>
      <right style="medium">
        <color theme="9" tint="-0.499984740745262"/>
      </right>
      <top/>
      <bottom style="thin">
        <color indexed="64"/>
      </bottom>
      <diagonal/>
    </border>
    <border>
      <left style="thin">
        <color theme="9" tint="-0.499984740745262"/>
      </left>
      <right style="medium">
        <color theme="9" tint="-0.499984740745262"/>
      </right>
      <top style="thin">
        <color theme="9" tint="-0.499984740745262"/>
      </top>
      <bottom/>
      <diagonal/>
    </border>
    <border>
      <left style="medium">
        <color theme="9" tint="-0.499984740745262"/>
      </left>
      <right style="medium">
        <color theme="9" tint="-0.499984740745262"/>
      </right>
      <top style="medium">
        <color theme="9" tint="-0.499984740745262"/>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7">
    <xf numFmtId="0" fontId="0" fillId="0" borderId="0"/>
    <xf numFmtId="0" fontId="41" fillId="2" borderId="0" applyNumberFormat="0" applyBorder="0" applyAlignment="0" applyProtection="0"/>
    <xf numFmtId="43" fontId="1" fillId="0" borderId="0" applyFont="0" applyFill="0" applyBorder="0" applyAlignment="0" applyProtection="0"/>
    <xf numFmtId="0" fontId="42" fillId="0" borderId="0" applyNumberFormat="0" applyFill="0" applyBorder="0" applyAlignment="0" applyProtection="0"/>
    <xf numFmtId="0" fontId="1" fillId="0" borderId="0"/>
    <xf numFmtId="9" fontId="1" fillId="0" borderId="0" applyFont="0" applyFill="0" applyBorder="0" applyAlignment="0" applyProtection="0"/>
    <xf numFmtId="0" fontId="102" fillId="7" borderId="0" applyBorder="0" applyProtection="0"/>
  </cellStyleXfs>
  <cellXfs count="575">
    <xf numFmtId="0" fontId="0" fillId="0" borderId="0" xfId="0"/>
    <xf numFmtId="0" fontId="0" fillId="0" borderId="0" xfId="0" applyAlignment="1">
      <alignment horizontal="right"/>
    </xf>
    <xf numFmtId="164" fontId="0" fillId="0" borderId="0" xfId="0" applyNumberFormat="1"/>
    <xf numFmtId="9" fontId="1" fillId="0" borderId="0" xfId="5"/>
    <xf numFmtId="0" fontId="0" fillId="0" borderId="0" xfId="0" applyAlignment="1">
      <alignment horizontal="center"/>
    </xf>
    <xf numFmtId="0" fontId="5" fillId="0" borderId="0" xfId="0" applyFont="1"/>
    <xf numFmtId="0" fontId="0" fillId="0" borderId="0" xfId="0" applyAlignment="1">
      <alignment horizontal="left"/>
    </xf>
    <xf numFmtId="0" fontId="3" fillId="0" borderId="0" xfId="0" applyFont="1"/>
    <xf numFmtId="0" fontId="3" fillId="0" borderId="0" xfId="0" applyFont="1" applyAlignment="1">
      <alignment horizontal="left"/>
    </xf>
    <xf numFmtId="9" fontId="0" fillId="0" borderId="0" xfId="0" applyNumberFormat="1" applyAlignment="1">
      <alignment horizontal="center"/>
    </xf>
    <xf numFmtId="167" fontId="0" fillId="0" borderId="0" xfId="0" applyNumberFormat="1"/>
    <xf numFmtId="166" fontId="0" fillId="0" borderId="0" xfId="0" applyNumberFormat="1"/>
    <xf numFmtId="2" fontId="0" fillId="0" borderId="0" xfId="0" applyNumberFormat="1"/>
    <xf numFmtId="43" fontId="1" fillId="0" borderId="0" xfId="2"/>
    <xf numFmtId="0" fontId="1" fillId="0" borderId="0" xfId="0" applyFont="1"/>
    <xf numFmtId="0" fontId="1" fillId="0" borderId="0" xfId="0" quotePrefix="1" applyFont="1"/>
    <xf numFmtId="0" fontId="43" fillId="0" borderId="0" xfId="0" applyFont="1"/>
    <xf numFmtId="0" fontId="43" fillId="0" borderId="0" xfId="0" applyFont="1" applyFill="1"/>
    <xf numFmtId="2" fontId="43" fillId="0" borderId="0" xfId="0" quotePrefix="1" applyNumberFormat="1" applyFont="1" applyFill="1"/>
    <xf numFmtId="167" fontId="43" fillId="0" borderId="0" xfId="0" applyNumberFormat="1" applyFont="1" applyAlignment="1">
      <alignment horizontal="right"/>
    </xf>
    <xf numFmtId="167" fontId="43" fillId="0" borderId="0" xfId="0" applyNumberFormat="1" applyFont="1" applyFill="1" applyAlignment="1">
      <alignment horizontal="right"/>
    </xf>
    <xf numFmtId="0" fontId="44" fillId="0" borderId="0" xfId="0" quotePrefix="1" applyFont="1" applyFill="1"/>
    <xf numFmtId="0" fontId="44" fillId="0" borderId="0" xfId="0" applyNumberFormat="1" applyFont="1" applyFill="1"/>
    <xf numFmtId="165" fontId="1" fillId="0" borderId="0" xfId="0" applyNumberFormat="1" applyFont="1" applyAlignment="1">
      <alignment horizontal="left"/>
    </xf>
    <xf numFmtId="1" fontId="1" fillId="0" borderId="0" xfId="0" applyNumberFormat="1" applyFont="1"/>
    <xf numFmtId="0" fontId="0" fillId="0" borderId="0" xfId="0" applyFill="1"/>
    <xf numFmtId="1" fontId="0" fillId="0" borderId="0" xfId="0" applyNumberFormat="1"/>
    <xf numFmtId="0" fontId="1" fillId="0" borderId="0" xfId="0" applyFont="1" applyFill="1" applyBorder="1"/>
    <xf numFmtId="0" fontId="0" fillId="0" borderId="0" xfId="0" applyFill="1" applyBorder="1"/>
    <xf numFmtId="0" fontId="3" fillId="0" borderId="0" xfId="0" applyFont="1" applyFill="1" applyBorder="1"/>
    <xf numFmtId="0" fontId="1" fillId="0" borderId="0" xfId="0" applyFont="1" applyAlignment="1">
      <alignment wrapText="1"/>
    </xf>
    <xf numFmtId="0" fontId="0" fillId="0" borderId="0" xfId="0" applyAlignment="1">
      <alignment wrapText="1"/>
    </xf>
    <xf numFmtId="0" fontId="1" fillId="0" borderId="0" xfId="0" applyFont="1" applyBorder="1"/>
    <xf numFmtId="0" fontId="44" fillId="0" borderId="0" xfId="0" applyFont="1" applyBorder="1"/>
    <xf numFmtId="0" fontId="44" fillId="0" borderId="0" xfId="0" applyFont="1" applyBorder="1" applyAlignment="1">
      <alignment wrapText="1"/>
    </xf>
    <xf numFmtId="170" fontId="0" fillId="0" borderId="0" xfId="5" applyNumberFormat="1" applyFont="1"/>
    <xf numFmtId="168" fontId="1" fillId="0" borderId="0" xfId="0" applyNumberFormat="1" applyFont="1"/>
    <xf numFmtId="167" fontId="1" fillId="0" borderId="0" xfId="0" applyNumberFormat="1" applyFont="1"/>
    <xf numFmtId="0" fontId="0" fillId="0" borderId="0" xfId="0" applyBorder="1"/>
    <xf numFmtId="0" fontId="1" fillId="0" borderId="22" xfId="0" applyFont="1" applyBorder="1"/>
    <xf numFmtId="0" fontId="45" fillId="0" borderId="22" xfId="0" applyFont="1" applyBorder="1"/>
    <xf numFmtId="0" fontId="46" fillId="0" borderId="0" xfId="0" applyFont="1" applyBorder="1"/>
    <xf numFmtId="0" fontId="47" fillId="0" borderId="23" xfId="0" applyFont="1" applyBorder="1"/>
    <xf numFmtId="0" fontId="0" fillId="0" borderId="22" xfId="0" applyBorder="1"/>
    <xf numFmtId="0" fontId="1" fillId="0" borderId="24" xfId="0" applyFont="1" applyBorder="1"/>
    <xf numFmtId="0" fontId="1" fillId="0" borderId="25" xfId="0" applyFont="1" applyBorder="1"/>
    <xf numFmtId="0" fontId="0" fillId="0" borderId="26" xfId="0" applyBorder="1"/>
    <xf numFmtId="0" fontId="0" fillId="0" borderId="27" xfId="0" applyBorder="1"/>
    <xf numFmtId="0" fontId="0" fillId="0" borderId="28" xfId="0" applyBorder="1"/>
    <xf numFmtId="0" fontId="47" fillId="0" borderId="22" xfId="0" applyFont="1" applyBorder="1"/>
    <xf numFmtId="0" fontId="0" fillId="0" borderId="23" xfId="0" applyBorder="1"/>
    <xf numFmtId="0" fontId="7" fillId="0" borderId="24" xfId="0" applyFont="1" applyBorder="1" applyAlignment="1">
      <alignment horizontal="right"/>
    </xf>
    <xf numFmtId="0" fontId="8" fillId="0" borderId="24" xfId="0" applyFont="1" applyBorder="1" applyAlignment="1">
      <alignment horizontal="right"/>
    </xf>
    <xf numFmtId="0" fontId="7" fillId="0" borderId="25" xfId="0" applyFont="1" applyBorder="1" applyAlignment="1">
      <alignment horizontal="right"/>
    </xf>
    <xf numFmtId="0" fontId="0" fillId="0" borderId="28" xfId="0" applyFill="1" applyBorder="1"/>
    <xf numFmtId="0" fontId="46" fillId="0" borderId="28" xfId="0" applyFont="1" applyBorder="1"/>
    <xf numFmtId="0" fontId="3" fillId="0" borderId="29" xfId="0" applyFont="1" applyFill="1" applyBorder="1"/>
    <xf numFmtId="0" fontId="14" fillId="0" borderId="29" xfId="0" applyFont="1" applyBorder="1" applyAlignment="1">
      <alignment horizontal="right"/>
    </xf>
    <xf numFmtId="0" fontId="0" fillId="3" borderId="0" xfId="0" applyFill="1" applyBorder="1"/>
    <xf numFmtId="0" fontId="0" fillId="0" borderId="1" xfId="0" applyBorder="1"/>
    <xf numFmtId="0" fontId="48" fillId="3" borderId="2" xfId="0" applyFont="1" applyFill="1" applyBorder="1"/>
    <xf numFmtId="0" fontId="43" fillId="0" borderId="0" xfId="0" applyFont="1" applyBorder="1"/>
    <xf numFmtId="0" fontId="0" fillId="4" borderId="0" xfId="0" applyFill="1" applyBorder="1"/>
    <xf numFmtId="0" fontId="1" fillId="4" borderId="0" xfId="0" applyFont="1" applyFill="1" applyBorder="1" applyAlignment="1">
      <alignment horizontal="center" wrapText="1"/>
    </xf>
    <xf numFmtId="0" fontId="49" fillId="4" borderId="0" xfId="0" applyFont="1" applyFill="1" applyBorder="1"/>
    <xf numFmtId="0" fontId="49" fillId="4" borderId="0" xfId="0" applyFont="1" applyFill="1" applyBorder="1" applyAlignment="1">
      <alignment wrapText="1"/>
    </xf>
    <xf numFmtId="2" fontId="49" fillId="4" borderId="0" xfId="0" quotePrefix="1" applyNumberFormat="1" applyFont="1" applyFill="1" applyBorder="1"/>
    <xf numFmtId="0" fontId="0" fillId="0" borderId="30" xfId="0" applyBorder="1"/>
    <xf numFmtId="0" fontId="49" fillId="0" borderId="30" xfId="0" applyFont="1" applyBorder="1"/>
    <xf numFmtId="0" fontId="50" fillId="0" borderId="30" xfId="0" applyFont="1" applyBorder="1" applyAlignment="1">
      <alignment wrapText="1"/>
    </xf>
    <xf numFmtId="0" fontId="1" fillId="0" borderId="0" xfId="0" applyFont="1" applyFill="1" applyBorder="1" applyAlignment="1">
      <alignment horizontal="center" wrapText="1"/>
    </xf>
    <xf numFmtId="2" fontId="49" fillId="0" borderId="0" xfId="0" quotePrefix="1" applyNumberFormat="1" applyFont="1" applyFill="1" applyBorder="1"/>
    <xf numFmtId="0" fontId="43" fillId="0" borderId="0" xfId="0" applyFont="1" applyFill="1" applyBorder="1" applyAlignment="1">
      <alignment wrapText="1"/>
    </xf>
    <xf numFmtId="0" fontId="1" fillId="0" borderId="0" xfId="0" applyFont="1" applyBorder="1" applyAlignment="1">
      <alignment horizontal="center" wrapText="1"/>
    </xf>
    <xf numFmtId="0" fontId="6" fillId="0" borderId="0" xfId="0" applyFont="1" applyFill="1" applyBorder="1" applyAlignment="1">
      <alignment horizontal="center" wrapText="1"/>
    </xf>
    <xf numFmtId="0" fontId="1" fillId="0" borderId="31" xfId="4" applyFill="1" applyBorder="1" applyAlignment="1">
      <alignment horizontal="center"/>
    </xf>
    <xf numFmtId="2" fontId="1" fillId="0" borderId="31" xfId="4" applyNumberFormat="1" applyBorder="1" applyAlignment="1">
      <alignment horizontal="center"/>
    </xf>
    <xf numFmtId="0" fontId="1" fillId="0" borderId="31" xfId="4" applyBorder="1" applyAlignment="1">
      <alignment horizontal="center"/>
    </xf>
    <xf numFmtId="0" fontId="0" fillId="0" borderId="32" xfId="0" applyBorder="1"/>
    <xf numFmtId="0" fontId="49" fillId="0" borderId="32" xfId="0" applyFont="1" applyFill="1" applyBorder="1"/>
    <xf numFmtId="0" fontId="51" fillId="0" borderId="32" xfId="0" applyFont="1" applyBorder="1" applyAlignment="1">
      <alignment wrapText="1"/>
    </xf>
    <xf numFmtId="0" fontId="3" fillId="0" borderId="33" xfId="4" applyFont="1" applyBorder="1"/>
    <xf numFmtId="0" fontId="0" fillId="0" borderId="34" xfId="0" applyBorder="1"/>
    <xf numFmtId="0" fontId="0" fillId="0" borderId="35" xfId="0" applyBorder="1"/>
    <xf numFmtId="0" fontId="1" fillId="0" borderId="36" xfId="4" applyFont="1" applyFill="1" applyBorder="1"/>
    <xf numFmtId="0" fontId="0" fillId="0" borderId="37" xfId="0" applyBorder="1"/>
    <xf numFmtId="0" fontId="1" fillId="0" borderId="36" xfId="4" applyFont="1" applyBorder="1"/>
    <xf numFmtId="0" fontId="1" fillId="0" borderId="38" xfId="4" applyFont="1" applyBorder="1"/>
    <xf numFmtId="0" fontId="15" fillId="0" borderId="39" xfId="0" applyFont="1" applyFill="1" applyBorder="1" applyAlignment="1">
      <alignment horizontal="right"/>
    </xf>
    <xf numFmtId="0" fontId="1" fillId="0" borderId="37" xfId="0" applyFont="1" applyBorder="1" applyAlignment="1">
      <alignment horizontal="center" wrapText="1"/>
    </xf>
    <xf numFmtId="0" fontId="52" fillId="0" borderId="0" xfId="0" applyFont="1" applyBorder="1"/>
    <xf numFmtId="0" fontId="53" fillId="0" borderId="0" xfId="0" applyFont="1"/>
    <xf numFmtId="0" fontId="53" fillId="0" borderId="0" xfId="0" applyFont="1" applyFill="1" applyBorder="1" applyAlignment="1">
      <alignment horizontal="center" wrapText="1"/>
    </xf>
    <xf numFmtId="0" fontId="53" fillId="0" borderId="0" xfId="0" applyFont="1" applyFill="1" applyBorder="1" applyAlignment="1">
      <alignment wrapText="1"/>
    </xf>
    <xf numFmtId="0" fontId="53" fillId="0" borderId="0" xfId="0" applyFont="1" applyFill="1" applyBorder="1"/>
    <xf numFmtId="2" fontId="53" fillId="0" borderId="0" xfId="0" quotePrefix="1" applyNumberFormat="1" applyFont="1" applyFill="1" applyBorder="1"/>
    <xf numFmtId="1" fontId="53" fillId="0" borderId="0" xfId="0" applyNumberFormat="1" applyFont="1"/>
    <xf numFmtId="2" fontId="53" fillId="0" borderId="0" xfId="0" applyNumberFormat="1" applyFont="1"/>
    <xf numFmtId="0" fontId="53" fillId="0" borderId="0" xfId="0" applyFont="1" applyAlignment="1">
      <alignment wrapText="1"/>
    </xf>
    <xf numFmtId="0" fontId="53" fillId="0" borderId="3" xfId="0" applyFont="1" applyBorder="1"/>
    <xf numFmtId="0" fontId="53" fillId="0" borderId="4" xfId="0" applyFont="1" applyBorder="1"/>
    <xf numFmtId="0" fontId="53" fillId="0" borderId="5" xfId="0" applyFont="1" applyBorder="1"/>
    <xf numFmtId="1" fontId="53" fillId="0" borderId="6" xfId="0" applyNumberFormat="1" applyFont="1" applyBorder="1"/>
    <xf numFmtId="0" fontId="53" fillId="0" borderId="7" xfId="0" applyFont="1" applyBorder="1"/>
    <xf numFmtId="0" fontId="53" fillId="0" borderId="0" xfId="0" applyFont="1" applyBorder="1"/>
    <xf numFmtId="0" fontId="52" fillId="0" borderId="0" xfId="0" applyFont="1" applyFill="1" applyBorder="1"/>
    <xf numFmtId="0" fontId="48" fillId="0" borderId="0" xfId="0" applyFont="1" applyFill="1"/>
    <xf numFmtId="165" fontId="1" fillId="0" borderId="31" xfId="4" applyNumberFormat="1" applyFill="1" applyBorder="1" applyAlignment="1">
      <alignment horizontal="center"/>
    </xf>
    <xf numFmtId="2" fontId="53" fillId="0" borderId="2" xfId="0" applyNumberFormat="1" applyFont="1" applyBorder="1"/>
    <xf numFmtId="1" fontId="53" fillId="0" borderId="2" xfId="0" applyNumberFormat="1" applyFont="1" applyBorder="1"/>
    <xf numFmtId="1" fontId="53" fillId="0" borderId="0" xfId="0" applyNumberFormat="1" applyFont="1" applyBorder="1"/>
    <xf numFmtId="1" fontId="53" fillId="0" borderId="8" xfId="0" applyNumberFormat="1" applyFont="1" applyBorder="1"/>
    <xf numFmtId="0" fontId="0" fillId="0" borderId="4" xfId="0" applyFill="1" applyBorder="1"/>
    <xf numFmtId="0" fontId="1" fillId="3" borderId="0" xfId="0" applyFont="1" applyFill="1" applyBorder="1"/>
    <xf numFmtId="2" fontId="54" fillId="3" borderId="0" xfId="0" applyNumberFormat="1" applyFont="1" applyFill="1" applyBorder="1"/>
    <xf numFmtId="0" fontId="19" fillId="0" borderId="0" xfId="0" applyFont="1" applyFill="1" applyBorder="1" applyAlignment="1">
      <alignment horizontal="right"/>
    </xf>
    <xf numFmtId="0" fontId="0" fillId="0" borderId="25" xfId="0" applyBorder="1"/>
    <xf numFmtId="0" fontId="0" fillId="4" borderId="0" xfId="0" quotePrefix="1" applyFill="1" applyBorder="1"/>
    <xf numFmtId="0" fontId="47" fillId="0" borderId="26" xfId="0" applyFont="1" applyBorder="1"/>
    <xf numFmtId="0" fontId="1" fillId="0" borderId="28" xfId="0" applyFont="1" applyFill="1" applyBorder="1"/>
    <xf numFmtId="0" fontId="0" fillId="0" borderId="27" xfId="0" applyFill="1" applyBorder="1"/>
    <xf numFmtId="0" fontId="3" fillId="0" borderId="0" xfId="0" applyFont="1" applyFill="1"/>
    <xf numFmtId="0" fontId="1" fillId="0" borderId="0" xfId="0" applyFont="1" applyFill="1"/>
    <xf numFmtId="166" fontId="0" fillId="0" borderId="0" xfId="0" applyNumberFormat="1" applyFill="1"/>
    <xf numFmtId="0" fontId="1" fillId="4" borderId="0" xfId="0" quotePrefix="1" applyFont="1" applyFill="1" applyBorder="1" applyAlignment="1">
      <alignment horizontal="center" wrapText="1"/>
    </xf>
    <xf numFmtId="1" fontId="48" fillId="3" borderId="0" xfId="0" applyNumberFormat="1" applyFont="1" applyFill="1" applyBorder="1"/>
    <xf numFmtId="0" fontId="1" fillId="0" borderId="0" xfId="0" quotePrefix="1" applyFont="1" applyFill="1" applyBorder="1"/>
    <xf numFmtId="0" fontId="19" fillId="0" borderId="0" xfId="0" applyFont="1" applyBorder="1"/>
    <xf numFmtId="0" fontId="18" fillId="0" borderId="0" xfId="0" applyFont="1" applyBorder="1"/>
    <xf numFmtId="0" fontId="3" fillId="3" borderId="0" xfId="0" applyFont="1" applyFill="1" applyBorder="1"/>
    <xf numFmtId="0" fontId="1" fillId="0" borderId="0" xfId="0" applyFont="1" applyBorder="1" applyAlignment="1">
      <alignment horizontal="right"/>
    </xf>
    <xf numFmtId="0" fontId="48" fillId="3" borderId="0" xfId="0" applyFont="1" applyFill="1" applyBorder="1"/>
    <xf numFmtId="0" fontId="1" fillId="0" borderId="22" xfId="0" quotePrefix="1" applyFont="1" applyFill="1" applyBorder="1"/>
    <xf numFmtId="0" fontId="41" fillId="0" borderId="0" xfId="1" applyFill="1"/>
    <xf numFmtId="0" fontId="0" fillId="0" borderId="0" xfId="0" applyFill="1" applyBorder="1" applyAlignment="1">
      <alignment horizontal="left"/>
    </xf>
    <xf numFmtId="11" fontId="27" fillId="0" borderId="0" xfId="0" applyNumberFormat="1" applyFont="1" applyFill="1" applyBorder="1" applyAlignment="1">
      <alignment horizontal="left"/>
    </xf>
    <xf numFmtId="0" fontId="1" fillId="0" borderId="0" xfId="0" applyFont="1" applyFill="1" applyBorder="1" applyAlignment="1">
      <alignment horizontal="left"/>
    </xf>
    <xf numFmtId="0" fontId="1" fillId="0" borderId="28" xfId="0" applyFont="1" applyFill="1" applyBorder="1" applyAlignment="1">
      <alignment horizontal="left"/>
    </xf>
    <xf numFmtId="0" fontId="6" fillId="0" borderId="39" xfId="0" applyFont="1" applyFill="1" applyBorder="1" applyAlignment="1">
      <alignment horizontal="right" wrapText="1"/>
    </xf>
    <xf numFmtId="2" fontId="6" fillId="0" borderId="39" xfId="0" applyNumberFormat="1" applyFont="1" applyFill="1" applyBorder="1"/>
    <xf numFmtId="165" fontId="6" fillId="0" borderId="0" xfId="0" applyNumberFormat="1" applyFont="1" applyFill="1" applyBorder="1"/>
    <xf numFmtId="2" fontId="6" fillId="0" borderId="0" xfId="0" applyNumberFormat="1" applyFont="1" applyFill="1" applyBorder="1"/>
    <xf numFmtId="167" fontId="49" fillId="0" borderId="32" xfId="0" applyNumberFormat="1" applyFont="1" applyFill="1" applyBorder="1"/>
    <xf numFmtId="165" fontId="49" fillId="0" borderId="30" xfId="0" applyNumberFormat="1" applyFont="1" applyFill="1" applyBorder="1"/>
    <xf numFmtId="1" fontId="52" fillId="0" borderId="0" xfId="0" applyNumberFormat="1" applyFont="1" applyFill="1"/>
    <xf numFmtId="1" fontId="1" fillId="0" borderId="0" xfId="0" applyNumberFormat="1" applyFont="1" applyFill="1"/>
    <xf numFmtId="168" fontId="1" fillId="0" borderId="0" xfId="0" applyNumberFormat="1" applyFont="1" applyFill="1"/>
    <xf numFmtId="167" fontId="1" fillId="0" borderId="0" xfId="0" applyNumberFormat="1" applyFont="1" applyFill="1"/>
    <xf numFmtId="164" fontId="1" fillId="0" borderId="0" xfId="0" applyNumberFormat="1" applyFont="1" applyFill="1"/>
    <xf numFmtId="1" fontId="0" fillId="0" borderId="0" xfId="0" applyNumberFormat="1" applyFill="1"/>
    <xf numFmtId="171" fontId="41" fillId="0" borderId="37" xfId="1" applyNumberFormat="1" applyFill="1" applyBorder="1"/>
    <xf numFmtId="0" fontId="52" fillId="0" borderId="0" xfId="0" applyFont="1"/>
    <xf numFmtId="1" fontId="44" fillId="0" borderId="8" xfId="0" applyNumberFormat="1" applyFont="1" applyBorder="1"/>
    <xf numFmtId="0" fontId="53" fillId="0" borderId="0" xfId="0" applyFont="1" applyAlignment="1">
      <alignment horizontal="right"/>
    </xf>
    <xf numFmtId="0" fontId="53" fillId="0" borderId="0" xfId="0" applyFont="1" applyAlignment="1">
      <alignment horizontal="right" wrapText="1"/>
    </xf>
    <xf numFmtId="1" fontId="52" fillId="0" borderId="0" xfId="0" applyNumberFormat="1" applyFont="1" applyBorder="1" applyAlignment="1">
      <alignment horizontal="right"/>
    </xf>
    <xf numFmtId="1" fontId="49" fillId="0" borderId="2" xfId="0" applyNumberFormat="1" applyFont="1" applyBorder="1"/>
    <xf numFmtId="2" fontId="49" fillId="0" borderId="2" xfId="0" applyNumberFormat="1" applyFont="1" applyBorder="1"/>
    <xf numFmtId="1" fontId="49" fillId="0" borderId="6" xfId="0" applyNumberFormat="1" applyFont="1" applyBorder="1"/>
    <xf numFmtId="0" fontId="0" fillId="0" borderId="7" xfId="0" applyBorder="1"/>
    <xf numFmtId="0" fontId="1" fillId="0" borderId="7" xfId="0" quotePrefix="1" applyFont="1" applyBorder="1"/>
    <xf numFmtId="1" fontId="53" fillId="0" borderId="9" xfId="0" applyNumberFormat="1" applyFont="1" applyBorder="1"/>
    <xf numFmtId="2" fontId="53" fillId="0" borderId="9" xfId="0" applyNumberFormat="1" applyFont="1" applyBorder="1"/>
    <xf numFmtId="1" fontId="53" fillId="0" borderId="10" xfId="0" applyNumberFormat="1" applyFont="1" applyBorder="1"/>
    <xf numFmtId="0" fontId="0" fillId="0" borderId="40" xfId="0" applyBorder="1"/>
    <xf numFmtId="0" fontId="47" fillId="0" borderId="24" xfId="0" applyFont="1" applyBorder="1"/>
    <xf numFmtId="172" fontId="0" fillId="0" borderId="0" xfId="5" applyNumberFormat="1" applyFont="1"/>
    <xf numFmtId="173" fontId="0" fillId="0" borderId="0" xfId="5" applyNumberFormat="1" applyFont="1"/>
    <xf numFmtId="164" fontId="48" fillId="3" borderId="0" xfId="0" applyNumberFormat="1" applyFont="1" applyFill="1" applyBorder="1"/>
    <xf numFmtId="0" fontId="55" fillId="0" borderId="37" xfId="4" applyFont="1" applyFill="1" applyBorder="1" applyAlignment="1">
      <alignment wrapText="1"/>
    </xf>
    <xf numFmtId="11" fontId="56" fillId="0" borderId="0" xfId="1" applyNumberFormat="1" applyFont="1" applyFill="1" applyBorder="1"/>
    <xf numFmtId="2" fontId="53" fillId="0" borderId="0" xfId="0" applyNumberFormat="1" applyFont="1" applyBorder="1"/>
    <xf numFmtId="172" fontId="57" fillId="0" borderId="4" xfId="0" applyNumberFormat="1" applyFont="1" applyFill="1" applyBorder="1"/>
    <xf numFmtId="0" fontId="57" fillId="0" borderId="3" xfId="0" applyFont="1" applyBorder="1"/>
    <xf numFmtId="2" fontId="1" fillId="0" borderId="41" xfId="4" applyNumberFormat="1" applyBorder="1" applyAlignment="1">
      <alignment horizontal="center"/>
    </xf>
    <xf numFmtId="165" fontId="0" fillId="0" borderId="0" xfId="0" applyNumberFormat="1" applyFill="1" applyBorder="1"/>
    <xf numFmtId="165" fontId="0" fillId="0" borderId="28" xfId="0" applyNumberFormat="1" applyBorder="1"/>
    <xf numFmtId="0" fontId="44" fillId="0" borderId="42" xfId="0" applyFont="1" applyBorder="1"/>
    <xf numFmtId="0" fontId="0" fillId="0" borderId="43" xfId="0" applyBorder="1"/>
    <xf numFmtId="0" fontId="44" fillId="0" borderId="44" xfId="0" applyFont="1" applyBorder="1"/>
    <xf numFmtId="0" fontId="43" fillId="0" borderId="45" xfId="0" applyFont="1" applyBorder="1"/>
    <xf numFmtId="0" fontId="44" fillId="0" borderId="46" xfId="0" applyFont="1" applyBorder="1"/>
    <xf numFmtId="0" fontId="44" fillId="0" borderId="47" xfId="0" applyNumberFormat="1" applyFont="1" applyFill="1" applyBorder="1"/>
    <xf numFmtId="0" fontId="44" fillId="0" borderId="48" xfId="0" applyNumberFormat="1" applyFont="1" applyFill="1" applyBorder="1"/>
    <xf numFmtId="0" fontId="43" fillId="0" borderId="47" xfId="0" applyFont="1" applyBorder="1" applyAlignment="1">
      <alignment wrapText="1"/>
    </xf>
    <xf numFmtId="0" fontId="14" fillId="0" borderId="0" xfId="0" applyFont="1" applyFill="1" applyBorder="1"/>
    <xf numFmtId="0" fontId="19" fillId="0" borderId="0" xfId="0" applyFont="1" applyFill="1"/>
    <xf numFmtId="0" fontId="14" fillId="0" borderId="0" xfId="0" applyFont="1" applyFill="1"/>
    <xf numFmtId="0" fontId="0" fillId="4" borderId="39" xfId="0" applyFill="1" applyBorder="1"/>
    <xf numFmtId="0" fontId="0" fillId="0" borderId="33" xfId="0" applyFill="1" applyBorder="1"/>
    <xf numFmtId="169" fontId="0" fillId="0" borderId="0" xfId="0" applyNumberFormat="1" applyFill="1"/>
    <xf numFmtId="165" fontId="43" fillId="0" borderId="0" xfId="0" applyNumberFormat="1" applyFont="1" applyFill="1"/>
    <xf numFmtId="0" fontId="3" fillId="0" borderId="0" xfId="0" applyFont="1" applyFill="1" applyBorder="1" applyAlignment="1"/>
    <xf numFmtId="0" fontId="3" fillId="5" borderId="0" xfId="0" applyFont="1" applyFill="1" applyBorder="1" applyAlignment="1">
      <alignment wrapText="1"/>
    </xf>
    <xf numFmtId="0" fontId="3" fillId="0" borderId="0" xfId="0" applyFont="1" applyBorder="1" applyAlignment="1">
      <alignment wrapText="1"/>
    </xf>
    <xf numFmtId="174" fontId="0" fillId="0" borderId="0" xfId="0" applyNumberFormat="1" applyFill="1"/>
    <xf numFmtId="0" fontId="3" fillId="0" borderId="2" xfId="0" applyFont="1" applyBorder="1" applyAlignment="1">
      <alignment wrapText="1"/>
    </xf>
    <xf numFmtId="9" fontId="1" fillId="0" borderId="0" xfId="0" applyNumberFormat="1" applyFont="1" applyFill="1" applyBorder="1"/>
    <xf numFmtId="0" fontId="47" fillId="0" borderId="0" xfId="0" applyFont="1" applyBorder="1" applyAlignment="1">
      <alignment horizontal="center" wrapText="1"/>
    </xf>
    <xf numFmtId="0" fontId="44" fillId="0" borderId="0" xfId="0" applyFont="1" applyFill="1" applyBorder="1" applyAlignment="1">
      <alignment wrapText="1"/>
    </xf>
    <xf numFmtId="0" fontId="1" fillId="0" borderId="0" xfId="0" applyFont="1" applyBorder="1" applyAlignment="1">
      <alignment wrapText="1"/>
    </xf>
    <xf numFmtId="0" fontId="49" fillId="0" borderId="0" xfId="0" applyFont="1" applyBorder="1" applyAlignment="1">
      <alignment wrapText="1"/>
    </xf>
    <xf numFmtId="0" fontId="1" fillId="0" borderId="0" xfId="0" applyFont="1" applyFill="1" applyBorder="1" applyAlignment="1">
      <alignment wrapText="1"/>
    </xf>
    <xf numFmtId="0" fontId="58" fillId="0" borderId="49" xfId="0" applyFont="1" applyFill="1" applyBorder="1"/>
    <xf numFmtId="0" fontId="0" fillId="0" borderId="50" xfId="0" applyFill="1" applyBorder="1"/>
    <xf numFmtId="0" fontId="47" fillId="0" borderId="28" xfId="0" applyFont="1" applyFill="1" applyBorder="1"/>
    <xf numFmtId="0" fontId="3" fillId="0" borderId="27" xfId="0" applyFont="1" applyFill="1" applyBorder="1"/>
    <xf numFmtId="0" fontId="48" fillId="0" borderId="0" xfId="0" applyFont="1" applyFill="1" applyBorder="1"/>
    <xf numFmtId="0" fontId="53" fillId="0" borderId="0" xfId="0" applyFont="1" applyFill="1"/>
    <xf numFmtId="0" fontId="47" fillId="0" borderId="33" xfId="0" applyFont="1" applyBorder="1"/>
    <xf numFmtId="0" fontId="47" fillId="0" borderId="34" xfId="0" applyFont="1" applyBorder="1"/>
    <xf numFmtId="0" fontId="1" fillId="0" borderId="51" xfId="0" applyFont="1" applyFill="1" applyBorder="1"/>
    <xf numFmtId="0" fontId="0" fillId="0" borderId="51" xfId="0" applyBorder="1"/>
    <xf numFmtId="0" fontId="0" fillId="0" borderId="51" xfId="0" applyFill="1" applyBorder="1"/>
    <xf numFmtId="0" fontId="0" fillId="0" borderId="52" xfId="0" applyBorder="1"/>
    <xf numFmtId="0" fontId="0" fillId="0" borderId="53" xfId="0" applyFill="1" applyBorder="1" applyAlignment="1"/>
    <xf numFmtId="0" fontId="1" fillId="0" borderId="54" xfId="0" applyFont="1" applyFill="1" applyBorder="1"/>
    <xf numFmtId="0" fontId="0" fillId="0" borderId="55" xfId="0" applyFill="1" applyBorder="1"/>
    <xf numFmtId="0" fontId="59" fillId="5" borderId="2" xfId="0" applyFont="1" applyFill="1" applyBorder="1" applyAlignment="1">
      <alignment wrapText="1"/>
    </xf>
    <xf numFmtId="0" fontId="60" fillId="3" borderId="2" xfId="0" applyFont="1" applyFill="1" applyBorder="1"/>
    <xf numFmtId="172" fontId="43" fillId="0" borderId="0" xfId="0" applyNumberFormat="1" applyFont="1" applyFill="1" applyBorder="1" applyAlignment="1">
      <alignment horizontal="right"/>
    </xf>
    <xf numFmtId="0" fontId="43" fillId="0" borderId="0" xfId="0" applyFont="1" applyFill="1" applyBorder="1" applyAlignment="1">
      <alignment horizontal="left"/>
    </xf>
    <xf numFmtId="0" fontId="57" fillId="0" borderId="4" xfId="0" applyFont="1" applyBorder="1"/>
    <xf numFmtId="0" fontId="1" fillId="0" borderId="0" xfId="4" applyBorder="1" applyAlignment="1">
      <alignment horizontal="center"/>
    </xf>
    <xf numFmtId="165" fontId="1" fillId="0" borderId="0" xfId="4" applyNumberFormat="1" applyFill="1" applyBorder="1" applyAlignment="1">
      <alignment horizontal="center"/>
    </xf>
    <xf numFmtId="2" fontId="1" fillId="0" borderId="0" xfId="4" applyNumberFormat="1" applyBorder="1" applyAlignment="1">
      <alignment horizontal="center"/>
    </xf>
    <xf numFmtId="0" fontId="19" fillId="3" borderId="0" xfId="4" applyFont="1" applyFill="1" applyBorder="1" applyAlignment="1">
      <alignment horizontal="center"/>
    </xf>
    <xf numFmtId="0" fontId="14" fillId="3" borderId="0" xfId="0" applyFont="1" applyFill="1" applyBorder="1"/>
    <xf numFmtId="167" fontId="3" fillId="0" borderId="0" xfId="0" applyNumberFormat="1" applyFont="1" applyFill="1" applyBorder="1"/>
    <xf numFmtId="0" fontId="3" fillId="0" borderId="3" xfId="0" applyFont="1" applyFill="1" applyBorder="1"/>
    <xf numFmtId="164" fontId="3" fillId="0" borderId="0" xfId="5" applyNumberFormat="1" applyFont="1" applyFill="1" applyBorder="1" applyAlignment="1">
      <alignment horizontal="center"/>
    </xf>
    <xf numFmtId="167" fontId="3" fillId="0" borderId="0" xfId="0" applyNumberFormat="1" applyFont="1" applyFill="1" applyBorder="1" applyAlignment="1">
      <alignment horizontal="center"/>
    </xf>
    <xf numFmtId="10" fontId="57" fillId="0" borderId="0" xfId="0" applyNumberFormat="1" applyFont="1" applyFill="1" applyBorder="1"/>
    <xf numFmtId="10" fontId="57" fillId="0" borderId="0" xfId="0" applyNumberFormat="1" applyFont="1" applyFill="1" applyBorder="1" applyAlignment="1">
      <alignment horizontal="center"/>
    </xf>
    <xf numFmtId="0" fontId="3" fillId="0" borderId="4" xfId="0" applyFont="1" applyFill="1" applyBorder="1" applyAlignment="1"/>
    <xf numFmtId="0" fontId="3" fillId="0" borderId="4" xfId="0" applyFont="1" applyBorder="1" applyAlignment="1">
      <alignment wrapText="1"/>
    </xf>
    <xf numFmtId="164" fontId="3" fillId="0" borderId="4" xfId="5" applyNumberFormat="1" applyFont="1" applyFill="1" applyBorder="1" applyAlignment="1">
      <alignment horizontal="center"/>
    </xf>
    <xf numFmtId="0" fontId="17" fillId="0" borderId="2" xfId="0" applyFont="1" applyBorder="1" applyAlignment="1">
      <alignment wrapText="1"/>
    </xf>
    <xf numFmtId="9" fontId="19" fillId="0" borderId="2" xfId="5" applyNumberFormat="1" applyFont="1" applyFill="1" applyBorder="1" applyAlignment="1">
      <alignment horizontal="center"/>
    </xf>
    <xf numFmtId="167" fontId="44" fillId="0" borderId="5" xfId="0" applyNumberFormat="1" applyFont="1" applyBorder="1"/>
    <xf numFmtId="168" fontId="44" fillId="0" borderId="8" xfId="5" applyNumberFormat="1" applyFont="1" applyBorder="1"/>
    <xf numFmtId="166" fontId="3" fillId="0" borderId="8" xfId="0" applyNumberFormat="1" applyFont="1" applyBorder="1"/>
    <xf numFmtId="0" fontId="3" fillId="0" borderId="6" xfId="0" applyFont="1" applyFill="1" applyBorder="1"/>
    <xf numFmtId="10" fontId="61" fillId="0" borderId="0" xfId="0" applyNumberFormat="1" applyFont="1" applyFill="1" applyBorder="1" applyAlignment="1">
      <alignment wrapText="1"/>
    </xf>
    <xf numFmtId="0" fontId="44" fillId="0" borderId="0" xfId="0" applyFont="1" applyFill="1" applyBorder="1" applyAlignment="1">
      <alignment horizontal="center" vertical="top" wrapText="1"/>
    </xf>
    <xf numFmtId="0" fontId="0" fillId="0" borderId="56" xfId="0" applyBorder="1"/>
    <xf numFmtId="0" fontId="0" fillId="0" borderId="57" xfId="0" applyBorder="1"/>
    <xf numFmtId="172" fontId="1" fillId="0" borderId="0" xfId="0" applyNumberFormat="1" applyFont="1" applyFill="1" applyBorder="1" applyAlignment="1">
      <alignment wrapText="1"/>
    </xf>
    <xf numFmtId="169" fontId="43" fillId="0" borderId="0" xfId="0" applyNumberFormat="1" applyFont="1" applyFill="1" applyBorder="1" applyAlignment="1">
      <alignment horizontal="right"/>
    </xf>
    <xf numFmtId="167" fontId="1" fillId="0" borderId="0" xfId="0" applyNumberFormat="1" applyFont="1" applyBorder="1" applyAlignment="1">
      <alignment horizontal="right"/>
    </xf>
    <xf numFmtId="2" fontId="1" fillId="0" borderId="0" xfId="0" quotePrefix="1" applyNumberFormat="1" applyFont="1" applyFill="1" applyBorder="1"/>
    <xf numFmtId="169" fontId="1" fillId="0" borderId="0" xfId="0" applyNumberFormat="1" applyFont="1" applyFill="1" applyBorder="1" applyAlignment="1">
      <alignment horizontal="right"/>
    </xf>
    <xf numFmtId="2" fontId="1" fillId="0" borderId="0" xfId="0" quotePrefix="1" applyNumberFormat="1" applyFont="1" applyBorder="1"/>
    <xf numFmtId="172" fontId="1" fillId="0" borderId="0" xfId="5" quotePrefix="1" applyNumberFormat="1" applyFont="1" applyFill="1" applyBorder="1"/>
    <xf numFmtId="169" fontId="1" fillId="0" borderId="0" xfId="0" applyNumberFormat="1" applyFont="1" applyFill="1" applyBorder="1"/>
    <xf numFmtId="167" fontId="1" fillId="0" borderId="0" xfId="0" applyNumberFormat="1" applyFont="1" applyFill="1" applyBorder="1" applyAlignment="1">
      <alignment horizontal="right"/>
    </xf>
    <xf numFmtId="0" fontId="43" fillId="0" borderId="0" xfId="0" applyFont="1" applyBorder="1" applyAlignment="1">
      <alignment wrapText="1"/>
    </xf>
    <xf numFmtId="0" fontId="53" fillId="0" borderId="0" xfId="0" applyFont="1" applyBorder="1" applyAlignment="1">
      <alignment wrapText="1"/>
    </xf>
    <xf numFmtId="0" fontId="62" fillId="0" borderId="0" xfId="0" applyFont="1" applyBorder="1" applyAlignment="1">
      <alignment wrapText="1"/>
    </xf>
    <xf numFmtId="165" fontId="43" fillId="0" borderId="0" xfId="0" applyNumberFormat="1" applyFont="1" applyFill="1" applyBorder="1"/>
    <xf numFmtId="0" fontId="1" fillId="0" borderId="58" xfId="0" applyFont="1" applyBorder="1"/>
    <xf numFmtId="0" fontId="1" fillId="0" borderId="58" xfId="0" applyFont="1" applyFill="1" applyBorder="1"/>
    <xf numFmtId="0" fontId="1" fillId="0" borderId="45" xfId="0" applyFont="1" applyFill="1" applyBorder="1"/>
    <xf numFmtId="169" fontId="43" fillId="0" borderId="58" xfId="0" applyNumberFormat="1" applyFont="1" applyFill="1" applyBorder="1" applyAlignment="1">
      <alignment horizontal="right"/>
    </xf>
    <xf numFmtId="169" fontId="43" fillId="0" borderId="45" xfId="0" applyNumberFormat="1" applyFont="1" applyFill="1" applyBorder="1" applyAlignment="1">
      <alignment horizontal="right"/>
    </xf>
    <xf numFmtId="169" fontId="43" fillId="0" borderId="59" xfId="0" applyNumberFormat="1" applyFont="1" applyFill="1" applyBorder="1" applyAlignment="1">
      <alignment horizontal="right"/>
    </xf>
    <xf numFmtId="169" fontId="43" fillId="0" borderId="60" xfId="0" applyNumberFormat="1" applyFont="1" applyFill="1" applyBorder="1" applyAlignment="1">
      <alignment horizontal="right"/>
    </xf>
    <xf numFmtId="169" fontId="43" fillId="0" borderId="61" xfId="0" applyNumberFormat="1" applyFont="1" applyFill="1" applyBorder="1" applyAlignment="1">
      <alignment horizontal="right"/>
    </xf>
    <xf numFmtId="0" fontId="63" fillId="0" borderId="58" xfId="0" applyFont="1" applyBorder="1" applyAlignment="1">
      <alignment wrapText="1"/>
    </xf>
    <xf numFmtId="0" fontId="1" fillId="0" borderId="45" xfId="0" applyFont="1" applyBorder="1"/>
    <xf numFmtId="167" fontId="43" fillId="0" borderId="58" xfId="0" applyNumberFormat="1" applyFont="1" applyFill="1" applyBorder="1"/>
    <xf numFmtId="2" fontId="1" fillId="0" borderId="45" xfId="0" quotePrefix="1" applyNumberFormat="1" applyFont="1" applyFill="1" applyBorder="1"/>
    <xf numFmtId="167" fontId="43" fillId="0" borderId="59" xfId="0" applyNumberFormat="1" applyFont="1" applyFill="1" applyBorder="1"/>
    <xf numFmtId="165" fontId="43" fillId="0" borderId="60" xfId="0" applyNumberFormat="1" applyFont="1" applyFill="1" applyBorder="1"/>
    <xf numFmtId="2" fontId="1" fillId="0" borderId="61" xfId="0" quotePrefix="1" applyNumberFormat="1" applyFont="1" applyFill="1" applyBorder="1"/>
    <xf numFmtId="1" fontId="64" fillId="0" borderId="0" xfId="0" applyNumberFormat="1" applyFont="1" applyFill="1" applyBorder="1" applyAlignment="1">
      <alignment horizontal="center"/>
    </xf>
    <xf numFmtId="167" fontId="49" fillId="0" borderId="62" xfId="0" applyNumberFormat="1" applyFont="1" applyFill="1" applyBorder="1"/>
    <xf numFmtId="0" fontId="0" fillId="0" borderId="11" xfId="0" applyBorder="1"/>
    <xf numFmtId="0" fontId="0" fillId="0" borderId="12" xfId="0" applyBorder="1"/>
    <xf numFmtId="0" fontId="0" fillId="0" borderId="12" xfId="0" applyFill="1" applyBorder="1"/>
    <xf numFmtId="0" fontId="0" fillId="0" borderId="13" xfId="0" applyFill="1" applyBorder="1"/>
    <xf numFmtId="0" fontId="0" fillId="0" borderId="14" xfId="0" applyBorder="1"/>
    <xf numFmtId="0" fontId="1" fillId="0" borderId="15" xfId="0" applyFont="1" applyFill="1" applyBorder="1"/>
    <xf numFmtId="0" fontId="0" fillId="0" borderId="15" xfId="0" applyBorder="1"/>
    <xf numFmtId="0" fontId="65" fillId="0" borderId="0" xfId="1" applyFont="1" applyFill="1" applyBorder="1"/>
    <xf numFmtId="0" fontId="41" fillId="0" borderId="0" xfId="1" applyFill="1" applyBorder="1"/>
    <xf numFmtId="0" fontId="41" fillId="0" borderId="15" xfId="1" applyFill="1" applyBorder="1"/>
    <xf numFmtId="0" fontId="0" fillId="0" borderId="14" xfId="0" applyFill="1" applyBorder="1"/>
    <xf numFmtId="0" fontId="48" fillId="0" borderId="15" xfId="0" applyFont="1" applyFill="1" applyBorder="1"/>
    <xf numFmtId="0" fontId="0" fillId="0" borderId="15" xfId="0" applyFill="1" applyBorder="1"/>
    <xf numFmtId="0" fontId="0" fillId="0" borderId="16" xfId="0" applyBorder="1"/>
    <xf numFmtId="0" fontId="0" fillId="0" borderId="17" xfId="0" applyBorder="1"/>
    <xf numFmtId="0" fontId="0" fillId="0" borderId="18" xfId="0" applyBorder="1"/>
    <xf numFmtId="0" fontId="66" fillId="0" borderId="0" xfId="0" applyFont="1" applyFill="1" applyBorder="1" applyAlignment="1">
      <alignment horizontal="left" vertical="top"/>
    </xf>
    <xf numFmtId="1" fontId="44" fillId="0" borderId="0" xfId="0" applyNumberFormat="1" applyFont="1" applyFill="1" applyBorder="1" applyAlignment="1">
      <alignment horizontal="center"/>
    </xf>
    <xf numFmtId="1" fontId="3" fillId="0" borderId="0" xfId="0" applyNumberFormat="1" applyFont="1" applyFill="1" applyBorder="1" applyAlignment="1">
      <alignment horizontal="center"/>
    </xf>
    <xf numFmtId="0" fontId="6" fillId="0" borderId="0" xfId="0" applyFont="1" applyFill="1" applyBorder="1"/>
    <xf numFmtId="172" fontId="61" fillId="0" borderId="0" xfId="5" applyNumberFormat="1" applyFont="1" applyFill="1" applyBorder="1"/>
    <xf numFmtId="0" fontId="1" fillId="0" borderId="0" xfId="0" quotePrefix="1" applyFont="1" applyBorder="1"/>
    <xf numFmtId="0" fontId="3" fillId="0" borderId="0" xfId="4" applyFont="1" applyFill="1" applyBorder="1"/>
    <xf numFmtId="0" fontId="3" fillId="0" borderId="0" xfId="4" applyFont="1" applyBorder="1"/>
    <xf numFmtId="0" fontId="6" fillId="0" borderId="0" xfId="4" applyFont="1" applyFill="1" applyBorder="1"/>
    <xf numFmtId="0" fontId="6" fillId="0" borderId="0" xfId="4" applyFont="1" applyBorder="1"/>
    <xf numFmtId="0" fontId="15" fillId="0" borderId="0" xfId="0" applyFont="1" applyFill="1" applyBorder="1" applyAlignment="1">
      <alignment horizontal="right"/>
    </xf>
    <xf numFmtId="0" fontId="6" fillId="0" borderId="0" xfId="0" applyFont="1" applyFill="1" applyBorder="1" applyAlignment="1">
      <alignment horizontal="right"/>
    </xf>
    <xf numFmtId="0" fontId="46" fillId="0" borderId="26" xfId="0" applyFont="1" applyBorder="1"/>
    <xf numFmtId="0" fontId="0" fillId="0" borderId="63" xfId="0" applyBorder="1"/>
    <xf numFmtId="0" fontId="1" fillId="0" borderId="50" xfId="0" applyFont="1" applyBorder="1"/>
    <xf numFmtId="0" fontId="0" fillId="0" borderId="39" xfId="0" applyBorder="1"/>
    <xf numFmtId="0" fontId="1" fillId="0" borderId="64" xfId="0" applyFont="1" applyBorder="1"/>
    <xf numFmtId="167" fontId="67" fillId="0" borderId="64" xfId="0" applyNumberFormat="1" applyFont="1" applyBorder="1"/>
    <xf numFmtId="0" fontId="1" fillId="0" borderId="37" xfId="0" applyFont="1" applyFill="1" applyBorder="1" applyAlignment="1">
      <alignment horizontal="center" vertical="top" wrapText="1"/>
    </xf>
    <xf numFmtId="0" fontId="44" fillId="0" borderId="14" xfId="0" applyFont="1" applyBorder="1" applyAlignment="1">
      <alignment wrapText="1"/>
    </xf>
    <xf numFmtId="164" fontId="44" fillId="0" borderId="14" xfId="5" applyNumberFormat="1" applyFont="1" applyFill="1" applyBorder="1"/>
    <xf numFmtId="167" fontId="59" fillId="0" borderId="14" xfId="0" applyNumberFormat="1" applyFont="1" applyBorder="1"/>
    <xf numFmtId="0" fontId="0" fillId="0" borderId="16" xfId="0" applyFill="1" applyBorder="1"/>
    <xf numFmtId="0" fontId="0" fillId="0" borderId="17" xfId="0" applyFill="1" applyBorder="1"/>
    <xf numFmtId="0" fontId="17" fillId="0" borderId="14" xfId="0" applyFont="1" applyFill="1" applyBorder="1"/>
    <xf numFmtId="0" fontId="19" fillId="0" borderId="12" xfId="4" applyFont="1" applyFill="1" applyBorder="1" applyAlignment="1">
      <alignment horizontal="center"/>
    </xf>
    <xf numFmtId="0" fontId="27" fillId="0" borderId="13" xfId="0" applyFont="1" applyFill="1" applyBorder="1" applyAlignment="1">
      <alignment wrapText="1"/>
    </xf>
    <xf numFmtId="0" fontId="1" fillId="0" borderId="15" xfId="0" quotePrefix="1" applyFont="1" applyFill="1" applyBorder="1" applyAlignment="1">
      <alignment horizontal="center"/>
    </xf>
    <xf numFmtId="0" fontId="3" fillId="3" borderId="14" xfId="0" applyFont="1" applyFill="1" applyBorder="1"/>
    <xf numFmtId="0" fontId="1" fillId="0" borderId="15" xfId="4" applyFill="1" applyBorder="1" applyAlignment="1">
      <alignment horizontal="center"/>
    </xf>
    <xf numFmtId="0" fontId="19" fillId="3" borderId="14" xfId="4" applyFont="1" applyFill="1" applyBorder="1" applyAlignment="1">
      <alignment horizontal="center"/>
    </xf>
    <xf numFmtId="2" fontId="1" fillId="0" borderId="15" xfId="0" applyNumberFormat="1" applyFont="1" applyFill="1" applyBorder="1" applyAlignment="1">
      <alignment horizontal="center"/>
    </xf>
    <xf numFmtId="2" fontId="54" fillId="3" borderId="14" xfId="0" applyNumberFormat="1" applyFont="1" applyFill="1" applyBorder="1"/>
    <xf numFmtId="0" fontId="1" fillId="3" borderId="16" xfId="0" applyFont="1" applyFill="1" applyBorder="1"/>
    <xf numFmtId="0" fontId="0" fillId="3" borderId="17" xfId="0" applyFill="1" applyBorder="1"/>
    <xf numFmtId="0" fontId="3" fillId="0" borderId="17" xfId="0" applyFont="1" applyFill="1" applyBorder="1"/>
    <xf numFmtId="0" fontId="3" fillId="0" borderId="17" xfId="4" applyFont="1" applyBorder="1"/>
    <xf numFmtId="0" fontId="1" fillId="0" borderId="17" xfId="4" applyBorder="1" applyAlignment="1">
      <alignment horizontal="center"/>
    </xf>
    <xf numFmtId="0" fontId="18" fillId="0" borderId="11" xfId="0" applyFont="1" applyBorder="1"/>
    <xf numFmtId="164" fontId="0" fillId="0" borderId="13" xfId="0" applyNumberFormat="1" applyFill="1" applyBorder="1"/>
    <xf numFmtId="0" fontId="68" fillId="0" borderId="15" xfId="0" applyFont="1" applyBorder="1"/>
    <xf numFmtId="0" fontId="1" fillId="0" borderId="15" xfId="0" applyFont="1" applyBorder="1"/>
    <xf numFmtId="0" fontId="1" fillId="0" borderId="14" xfId="0" applyFont="1" applyBorder="1"/>
    <xf numFmtId="164" fontId="1" fillId="0" borderId="19" xfId="0" applyNumberFormat="1" applyFont="1" applyBorder="1" applyAlignment="1">
      <alignment horizontal="left" wrapText="1"/>
    </xf>
    <xf numFmtId="0" fontId="48" fillId="3" borderId="19" xfId="4" applyFont="1" applyFill="1" applyBorder="1"/>
    <xf numFmtId="0" fontId="69" fillId="3" borderId="19" xfId="4" applyFont="1" applyFill="1" applyBorder="1"/>
    <xf numFmtId="0" fontId="1" fillId="0" borderId="16" xfId="0" applyFont="1" applyBorder="1"/>
    <xf numFmtId="0" fontId="45" fillId="3" borderId="20" xfId="0" applyFont="1" applyFill="1" applyBorder="1"/>
    <xf numFmtId="0" fontId="3" fillId="3" borderId="17" xfId="0" applyFont="1" applyFill="1" applyBorder="1"/>
    <xf numFmtId="0" fontId="1" fillId="3" borderId="17" xfId="0" applyFont="1" applyFill="1" applyBorder="1"/>
    <xf numFmtId="0" fontId="1" fillId="3" borderId="21" xfId="0" applyFont="1" applyFill="1" applyBorder="1"/>
    <xf numFmtId="0" fontId="1" fillId="4" borderId="0" xfId="0" quotePrefix="1" applyFont="1" applyFill="1" applyBorder="1"/>
    <xf numFmtId="0" fontId="3" fillId="0" borderId="33" xfId="0" applyFont="1" applyBorder="1"/>
    <xf numFmtId="0" fontId="0" fillId="0" borderId="65" xfId="0" applyBorder="1"/>
    <xf numFmtId="0" fontId="49" fillId="0" borderId="65" xfId="0" applyFont="1" applyBorder="1"/>
    <xf numFmtId="165" fontId="67" fillId="0" borderId="37" xfId="0" applyNumberFormat="1" applyFont="1" applyBorder="1"/>
    <xf numFmtId="165" fontId="67" fillId="0" borderId="65" xfId="0" applyNumberFormat="1" applyFont="1" applyBorder="1"/>
    <xf numFmtId="0" fontId="0" fillId="0" borderId="66" xfId="0" applyBorder="1"/>
    <xf numFmtId="0" fontId="43" fillId="0" borderId="67" xfId="0" applyFont="1" applyBorder="1"/>
    <xf numFmtId="0" fontId="49" fillId="0" borderId="30" xfId="0" applyFont="1" applyFill="1" applyBorder="1"/>
    <xf numFmtId="0" fontId="43" fillId="0" borderId="30" xfId="0" applyFont="1" applyBorder="1" applyAlignment="1">
      <alignment wrapText="1"/>
    </xf>
    <xf numFmtId="164" fontId="44" fillId="0" borderId="30" xfId="0" applyNumberFormat="1" applyFont="1" applyFill="1" applyBorder="1"/>
    <xf numFmtId="164" fontId="44" fillId="0" borderId="68" xfId="0" applyNumberFormat="1" applyFont="1" applyFill="1" applyBorder="1"/>
    <xf numFmtId="172" fontId="57" fillId="0" borderId="0" xfId="0" applyNumberFormat="1" applyFont="1" applyFill="1" applyBorder="1" applyAlignment="1">
      <alignment wrapText="1"/>
    </xf>
    <xf numFmtId="172" fontId="61" fillId="0" borderId="8" xfId="5" applyNumberFormat="1" applyFont="1" applyFill="1" applyBorder="1"/>
    <xf numFmtId="0" fontId="43" fillId="0" borderId="67" xfId="0" applyFont="1" applyFill="1" applyBorder="1" applyAlignment="1">
      <alignment wrapText="1"/>
    </xf>
    <xf numFmtId="1" fontId="44" fillId="0" borderId="30" xfId="0" applyNumberFormat="1" applyFont="1" applyFill="1" applyBorder="1"/>
    <xf numFmtId="1" fontId="44" fillId="0" borderId="68" xfId="0" applyNumberFormat="1" applyFont="1" applyFill="1" applyBorder="1"/>
    <xf numFmtId="9" fontId="52" fillId="0" borderId="0" xfId="5" applyFont="1" applyFill="1" applyBorder="1"/>
    <xf numFmtId="0" fontId="70" fillId="0" borderId="0" xfId="0" applyFont="1" applyFill="1" applyBorder="1" applyAlignment="1">
      <alignment vertical="center" wrapText="1"/>
    </xf>
    <xf numFmtId="166" fontId="0" fillId="0" borderId="0" xfId="0" applyNumberFormat="1" applyFill="1" applyBorder="1"/>
    <xf numFmtId="0" fontId="3" fillId="0" borderId="34" xfId="0" applyFont="1" applyBorder="1"/>
    <xf numFmtId="0" fontId="0" fillId="0" borderId="35" xfId="0" applyFill="1" applyBorder="1"/>
    <xf numFmtId="1" fontId="17" fillId="0" borderId="39" xfId="0" applyNumberFormat="1" applyFont="1" applyFill="1" applyBorder="1" applyAlignment="1">
      <alignment horizontal="center"/>
    </xf>
    <xf numFmtId="1" fontId="17" fillId="0" borderId="37" xfId="0" applyNumberFormat="1" applyFont="1" applyFill="1" applyBorder="1" applyAlignment="1">
      <alignment horizontal="center"/>
    </xf>
    <xf numFmtId="1" fontId="71" fillId="0" borderId="39" xfId="0" applyNumberFormat="1" applyFont="1" applyFill="1" applyBorder="1"/>
    <xf numFmtId="0" fontId="0" fillId="0" borderId="69" xfId="0" applyFill="1" applyBorder="1"/>
    <xf numFmtId="0" fontId="0" fillId="0" borderId="37" xfId="0" applyFill="1" applyBorder="1"/>
    <xf numFmtId="1" fontId="0" fillId="0" borderId="70" xfId="0" applyNumberFormat="1" applyFill="1" applyBorder="1"/>
    <xf numFmtId="0" fontId="0" fillId="0" borderId="39" xfId="0" applyFill="1" applyBorder="1"/>
    <xf numFmtId="166" fontId="3" fillId="0" borderId="39" xfId="0" applyNumberFormat="1" applyFont="1" applyBorder="1"/>
    <xf numFmtId="0" fontId="44" fillId="0" borderId="37" xfId="0" applyFont="1" applyFill="1" applyBorder="1" applyAlignment="1">
      <alignment wrapText="1"/>
    </xf>
    <xf numFmtId="168" fontId="41" fillId="0" borderId="37" xfId="1" applyNumberFormat="1" applyFill="1" applyBorder="1"/>
    <xf numFmtId="0" fontId="1" fillId="0" borderId="39" xfId="0" applyFont="1" applyFill="1" applyBorder="1"/>
    <xf numFmtId="0" fontId="1" fillId="0" borderId="37" xfId="0" applyFont="1" applyFill="1" applyBorder="1"/>
    <xf numFmtId="0" fontId="1" fillId="0" borderId="66" xfId="0" applyFont="1" applyFill="1" applyBorder="1"/>
    <xf numFmtId="0" fontId="1" fillId="0" borderId="52" xfId="0" applyFont="1" applyFill="1" applyBorder="1"/>
    <xf numFmtId="0" fontId="72" fillId="0" borderId="0" xfId="0" applyFont="1" applyFill="1" applyBorder="1"/>
    <xf numFmtId="0" fontId="73" fillId="0" borderId="0" xfId="0" applyFont="1" applyBorder="1"/>
    <xf numFmtId="0" fontId="73" fillId="0" borderId="2" xfId="0" applyFont="1" applyBorder="1"/>
    <xf numFmtId="1" fontId="72" fillId="0" borderId="2" xfId="0" applyNumberFormat="1" applyFont="1" applyBorder="1"/>
    <xf numFmtId="2" fontId="72" fillId="0" borderId="2" xfId="0" applyNumberFormat="1" applyFont="1" applyBorder="1"/>
    <xf numFmtId="1" fontId="72" fillId="0" borderId="6" xfId="0" applyNumberFormat="1" applyFont="1" applyBorder="1"/>
    <xf numFmtId="0" fontId="73" fillId="0" borderId="8" xfId="0" applyFont="1" applyBorder="1"/>
    <xf numFmtId="0" fontId="73" fillId="0" borderId="6" xfId="0" applyFont="1" applyBorder="1"/>
    <xf numFmtId="164" fontId="74" fillId="0" borderId="0" xfId="0" applyNumberFormat="1" applyFont="1" applyFill="1" applyBorder="1" applyAlignment="1">
      <alignment horizontal="center" vertical="center" wrapText="1"/>
    </xf>
    <xf numFmtId="0" fontId="42" fillId="0" borderId="26" xfId="3" applyBorder="1"/>
    <xf numFmtId="0" fontId="27" fillId="0" borderId="39" xfId="0" applyFont="1" applyFill="1" applyBorder="1" applyAlignment="1">
      <alignment horizontal="center" vertical="top" wrapText="1"/>
    </xf>
    <xf numFmtId="164" fontId="1" fillId="0" borderId="0" xfId="0" applyNumberFormat="1" applyFont="1" applyBorder="1" applyAlignment="1">
      <alignment horizontal="left" wrapText="1"/>
    </xf>
    <xf numFmtId="0" fontId="1" fillId="0" borderId="0" xfId="0" applyFont="1" applyBorder="1" applyAlignment="1"/>
    <xf numFmtId="0" fontId="1" fillId="0" borderId="0" xfId="0" applyFont="1" applyFill="1" applyBorder="1" applyAlignment="1"/>
    <xf numFmtId="0" fontId="1" fillId="0" borderId="0" xfId="0" applyFont="1" applyBorder="1" applyAlignment="1">
      <alignment horizontal="left" wrapText="1"/>
    </xf>
    <xf numFmtId="0" fontId="49" fillId="0" borderId="0" xfId="0" applyFont="1" applyBorder="1" applyAlignment="1">
      <alignment horizontal="left" wrapText="1"/>
    </xf>
    <xf numFmtId="0" fontId="44" fillId="0" borderId="0" xfId="0" applyFont="1" applyBorder="1" applyAlignment="1">
      <alignment horizontal="left"/>
    </xf>
    <xf numFmtId="0" fontId="1" fillId="0" borderId="0" xfId="0" applyFont="1" applyBorder="1" applyAlignment="1">
      <alignment horizontal="left"/>
    </xf>
    <xf numFmtId="0" fontId="3" fillId="5" borderId="0" xfId="0" applyFont="1" applyFill="1" applyBorder="1" applyAlignment="1">
      <alignment horizontal="left"/>
    </xf>
    <xf numFmtId="0" fontId="3" fillId="0" borderId="0" xfId="0" applyFont="1" applyBorder="1" applyAlignment="1">
      <alignment horizontal="left"/>
    </xf>
    <xf numFmtId="10" fontId="61" fillId="0" borderId="0" xfId="0" applyNumberFormat="1" applyFont="1" applyFill="1" applyBorder="1" applyAlignment="1">
      <alignment horizontal="left"/>
    </xf>
    <xf numFmtId="0" fontId="44" fillId="0" borderId="0" xfId="0" applyFont="1" applyFill="1" applyBorder="1" applyAlignment="1">
      <alignment horizontal="left" vertical="top"/>
    </xf>
    <xf numFmtId="0" fontId="6" fillId="0" borderId="0" xfId="0" applyFont="1" applyFill="1" applyBorder="1" applyAlignment="1">
      <alignment horizontal="left"/>
    </xf>
    <xf numFmtId="0" fontId="19" fillId="0" borderId="0" xfId="0" applyFont="1" applyFill="1" applyBorder="1" applyAlignment="1">
      <alignment horizontal="left"/>
    </xf>
    <xf numFmtId="0" fontId="53" fillId="0" borderId="0" xfId="0" applyFont="1" applyFill="1" applyBorder="1" applyAlignment="1">
      <alignment horizontal="left"/>
    </xf>
    <xf numFmtId="172" fontId="57" fillId="0" borderId="0" xfId="0" applyNumberFormat="1" applyFont="1" applyFill="1" applyBorder="1" applyAlignment="1">
      <alignment horizontal="left"/>
    </xf>
    <xf numFmtId="0" fontId="28" fillId="0" borderId="0" xfId="0" applyFont="1"/>
    <xf numFmtId="0" fontId="28" fillId="0" borderId="0" xfId="0" applyFont="1" applyBorder="1" applyAlignment="1">
      <alignment horizontal="left"/>
    </xf>
    <xf numFmtId="0" fontId="28" fillId="0" borderId="0" xfId="0" applyFont="1" applyBorder="1"/>
    <xf numFmtId="0" fontId="17" fillId="0" borderId="0" xfId="0" applyFont="1" applyBorder="1" applyAlignment="1">
      <alignment horizontal="left"/>
    </xf>
    <xf numFmtId="0" fontId="1" fillId="0" borderId="0" xfId="0" applyFont="1" applyFill="1" applyBorder="1" applyAlignment="1">
      <alignment horizontal="left" vertical="top"/>
    </xf>
    <xf numFmtId="0" fontId="51" fillId="0" borderId="0" xfId="0" applyFont="1" applyBorder="1" applyAlignment="1">
      <alignment horizontal="left"/>
    </xf>
    <xf numFmtId="0" fontId="50" fillId="0" borderId="0" xfId="0" applyFont="1" applyBorder="1" applyAlignment="1">
      <alignment horizontal="left"/>
    </xf>
    <xf numFmtId="0" fontId="49" fillId="0" borderId="0" xfId="0" applyFont="1" applyBorder="1" applyAlignment="1">
      <alignment horizontal="left"/>
    </xf>
    <xf numFmtId="0" fontId="0" fillId="0" borderId="0" xfId="0" applyBorder="1" applyAlignment="1">
      <alignment horizontal="left"/>
    </xf>
    <xf numFmtId="0" fontId="27" fillId="0" borderId="0" xfId="0" applyFont="1" applyFill="1" applyBorder="1" applyAlignment="1">
      <alignment horizontal="left" vertical="center"/>
    </xf>
    <xf numFmtId="0" fontId="8" fillId="0" borderId="0" xfId="0" applyFont="1"/>
    <xf numFmtId="0" fontId="77" fillId="0" borderId="0" xfId="0" applyFont="1"/>
    <xf numFmtId="0" fontId="78" fillId="0" borderId="0" xfId="0" applyFont="1" applyAlignment="1">
      <alignment vertical="center"/>
    </xf>
    <xf numFmtId="0" fontId="79" fillId="0" borderId="0" xfId="0" applyFont="1" applyAlignment="1">
      <alignment horizontal="left" vertical="center" indent="15"/>
    </xf>
    <xf numFmtId="0" fontId="82" fillId="0" borderId="0" xfId="1" applyFont="1" applyFill="1"/>
    <xf numFmtId="0" fontId="82" fillId="0" borderId="0" xfId="1" applyFont="1" applyFill="1" applyAlignment="1">
      <alignment horizontal="left"/>
    </xf>
    <xf numFmtId="0" fontId="45" fillId="3" borderId="0" xfId="0" applyFont="1" applyFill="1"/>
    <xf numFmtId="0" fontId="14" fillId="0" borderId="0" xfId="0" applyFont="1" applyBorder="1" applyAlignment="1">
      <alignment horizontal="right"/>
    </xf>
    <xf numFmtId="175" fontId="77" fillId="0" borderId="0" xfId="5" applyNumberFormat="1" applyFont="1"/>
    <xf numFmtId="0" fontId="49" fillId="0" borderId="0" xfId="0" applyFont="1"/>
    <xf numFmtId="0" fontId="59" fillId="0" borderId="0" xfId="0" applyFont="1"/>
    <xf numFmtId="170" fontId="49" fillId="0" borderId="0" xfId="5" applyNumberFormat="1" applyFont="1"/>
    <xf numFmtId="170" fontId="77" fillId="0" borderId="0" xfId="5" applyNumberFormat="1" applyFont="1"/>
    <xf numFmtId="0" fontId="7" fillId="0" borderId="0" xfId="0" applyFont="1"/>
    <xf numFmtId="11" fontId="1" fillId="0" borderId="0" xfId="0" applyNumberFormat="1" applyFont="1"/>
    <xf numFmtId="0" fontId="0" fillId="6" borderId="0" xfId="0" applyFill="1"/>
    <xf numFmtId="0" fontId="0" fillId="6" borderId="0" xfId="0" applyFill="1" applyAlignment="1">
      <alignment wrapText="1"/>
    </xf>
    <xf numFmtId="0" fontId="43" fillId="0" borderId="76" xfId="0" applyFont="1" applyBorder="1"/>
    <xf numFmtId="0" fontId="43" fillId="0" borderId="77" xfId="0" applyFont="1" applyBorder="1"/>
    <xf numFmtId="0" fontId="83" fillId="3" borderId="0" xfId="0" applyFont="1" applyFill="1"/>
    <xf numFmtId="164" fontId="1" fillId="0" borderId="0" xfId="0" applyNumberFormat="1" applyFont="1"/>
    <xf numFmtId="0" fontId="85" fillId="0" borderId="0" xfId="0" applyFont="1"/>
    <xf numFmtId="165" fontId="1" fillId="0" borderId="0" xfId="0" applyNumberFormat="1" applyFont="1"/>
    <xf numFmtId="0" fontId="14" fillId="0" borderId="0" xfId="0" applyFont="1"/>
    <xf numFmtId="0" fontId="3" fillId="0" borderId="0" xfId="0" applyFont="1" applyAlignment="1">
      <alignment horizontal="right"/>
    </xf>
    <xf numFmtId="0" fontId="3" fillId="0" borderId="0" xfId="0" applyFont="1" applyAlignment="1"/>
    <xf numFmtId="0" fontId="0" fillId="0" borderId="0" xfId="0" applyAlignment="1"/>
    <xf numFmtId="0" fontId="14" fillId="0" borderId="0" xfId="0" applyFont="1" applyAlignment="1">
      <alignment horizontal="right"/>
    </xf>
    <xf numFmtId="0" fontId="1" fillId="0" borderId="0" xfId="0" applyFont="1" applyAlignment="1">
      <alignment horizontal="right"/>
    </xf>
    <xf numFmtId="0" fontId="87" fillId="0" borderId="0" xfId="0" applyFont="1" applyAlignment="1">
      <alignment horizontal="left"/>
    </xf>
    <xf numFmtId="164" fontId="1" fillId="0" borderId="0" xfId="0" quotePrefix="1" applyNumberFormat="1" applyFont="1"/>
    <xf numFmtId="0" fontId="88" fillId="0" borderId="0" xfId="0" applyFont="1"/>
    <xf numFmtId="0" fontId="88" fillId="0" borderId="0" xfId="0" quotePrefix="1" applyFont="1"/>
    <xf numFmtId="164" fontId="88" fillId="0" borderId="0" xfId="0" quotePrefix="1" applyNumberFormat="1" applyFont="1"/>
    <xf numFmtId="164" fontId="88" fillId="0" borderId="0" xfId="0" applyNumberFormat="1" applyFont="1"/>
    <xf numFmtId="0" fontId="42" fillId="0" borderId="0" xfId="3" applyAlignment="1">
      <alignment horizontal="left"/>
    </xf>
    <xf numFmtId="0" fontId="45" fillId="3" borderId="0" xfId="0" applyFont="1" applyFill="1" applyAlignment="1"/>
    <xf numFmtId="0" fontId="91" fillId="0" borderId="0" xfId="0" applyFont="1"/>
    <xf numFmtId="0" fontId="91" fillId="0" borderId="0" xfId="0" applyFont="1" applyAlignment="1">
      <alignment horizontal="right"/>
    </xf>
    <xf numFmtId="0" fontId="3" fillId="6" borderId="0" xfId="0" applyFont="1" applyFill="1" applyAlignment="1"/>
    <xf numFmtId="0" fontId="92" fillId="0" borderId="0" xfId="0" applyFont="1"/>
    <xf numFmtId="0" fontId="93" fillId="0" borderId="0" xfId="0" applyFont="1"/>
    <xf numFmtId="0" fontId="67" fillId="0" borderId="0" xfId="0" applyFont="1"/>
    <xf numFmtId="0" fontId="73" fillId="0" borderId="0" xfId="0" applyFont="1"/>
    <xf numFmtId="176" fontId="67" fillId="0" borderId="0" xfId="0" applyNumberFormat="1" applyFont="1"/>
    <xf numFmtId="0" fontId="94" fillId="0" borderId="0" xfId="0" applyFont="1"/>
    <xf numFmtId="177" fontId="67" fillId="0" borderId="0" xfId="0" applyNumberFormat="1" applyFont="1"/>
    <xf numFmtId="0" fontId="95" fillId="0" borderId="0" xfId="0" applyFont="1" applyAlignment="1">
      <alignment horizontal="right"/>
    </xf>
    <xf numFmtId="0" fontId="95" fillId="0" borderId="0" xfId="0" applyFont="1" applyAlignment="1"/>
    <xf numFmtId="0" fontId="57" fillId="0" borderId="0" xfId="0" applyFont="1"/>
    <xf numFmtId="0" fontId="94" fillId="0" borderId="0" xfId="0" applyFont="1" applyAlignment="1">
      <alignment horizontal="right"/>
    </xf>
    <xf numFmtId="0" fontId="77" fillId="0" borderId="0" xfId="0" applyFont="1" applyAlignment="1">
      <alignment horizontal="right"/>
    </xf>
    <xf numFmtId="0" fontId="77" fillId="0" borderId="0" xfId="0" applyFont="1" applyAlignment="1"/>
    <xf numFmtId="164" fontId="97" fillId="0" borderId="0" xfId="0" quotePrefix="1" applyNumberFormat="1" applyFont="1"/>
    <xf numFmtId="165" fontId="67" fillId="0" borderId="0" xfId="0" applyNumberFormat="1" applyFont="1"/>
    <xf numFmtId="0" fontId="67" fillId="0" borderId="0" xfId="0" applyFont="1" applyAlignment="1">
      <alignment wrapText="1"/>
    </xf>
    <xf numFmtId="0" fontId="77" fillId="0" borderId="0" xfId="0" applyFont="1" applyAlignment="1">
      <alignment wrapText="1"/>
    </xf>
    <xf numFmtId="0" fontId="73" fillId="0" borderId="0" xfId="0" applyFont="1" applyAlignment="1">
      <alignment wrapText="1"/>
    </xf>
    <xf numFmtId="0" fontId="57" fillId="0" borderId="0" xfId="0" applyFont="1" applyAlignment="1">
      <alignment wrapText="1"/>
    </xf>
    <xf numFmtId="167" fontId="67" fillId="0" borderId="0" xfId="0" applyNumberFormat="1" applyFont="1"/>
    <xf numFmtId="175" fontId="67" fillId="0" borderId="0" xfId="5" applyNumberFormat="1" applyFont="1"/>
    <xf numFmtId="9" fontId="67" fillId="0" borderId="0" xfId="5" applyFont="1" applyAlignment="1">
      <alignment horizontal="right"/>
    </xf>
    <xf numFmtId="167" fontId="77" fillId="0" borderId="0" xfId="0" quotePrefix="1" applyNumberFormat="1" applyFont="1"/>
    <xf numFmtId="166" fontId="67" fillId="0" borderId="0" xfId="0" applyNumberFormat="1" applyFont="1"/>
    <xf numFmtId="166" fontId="1" fillId="0" borderId="0" xfId="0" applyNumberFormat="1" applyFont="1"/>
    <xf numFmtId="10" fontId="67" fillId="0" borderId="0" xfId="5" applyNumberFormat="1" applyFont="1"/>
    <xf numFmtId="9" fontId="67" fillId="0" borderId="0" xfId="5" applyFont="1"/>
    <xf numFmtId="166" fontId="77" fillId="0" borderId="0" xfId="0" quotePrefix="1" applyNumberFormat="1" applyFont="1"/>
    <xf numFmtId="10" fontId="77" fillId="0" borderId="0" xfId="5" applyNumberFormat="1" applyFont="1"/>
    <xf numFmtId="10" fontId="73" fillId="0" borderId="0" xfId="5" applyNumberFormat="1" applyFont="1"/>
    <xf numFmtId="178" fontId="67" fillId="0" borderId="0" xfId="0" applyNumberFormat="1" applyFont="1"/>
    <xf numFmtId="178" fontId="67" fillId="0" borderId="0" xfId="5" applyNumberFormat="1" applyFont="1"/>
    <xf numFmtId="178" fontId="77" fillId="0" borderId="0" xfId="5" applyNumberFormat="1" applyFont="1"/>
    <xf numFmtId="0" fontId="92" fillId="0" borderId="0" xfId="0" applyFont="1" applyAlignment="1">
      <alignment wrapText="1"/>
    </xf>
    <xf numFmtId="165" fontId="93" fillId="0" borderId="0" xfId="0" applyNumberFormat="1" applyFont="1"/>
    <xf numFmtId="179" fontId="67" fillId="0" borderId="0" xfId="0" applyNumberFormat="1" applyFont="1"/>
    <xf numFmtId="179" fontId="0" fillId="0" borderId="0" xfId="0" applyNumberFormat="1"/>
    <xf numFmtId="0" fontId="0" fillId="4" borderId="0" xfId="0" applyFill="1"/>
    <xf numFmtId="0" fontId="93" fillId="4" borderId="0" xfId="0" applyFont="1" applyFill="1"/>
    <xf numFmtId="0" fontId="93" fillId="0" borderId="0" xfId="0" applyFont="1" applyFill="1"/>
    <xf numFmtId="0" fontId="49" fillId="0" borderId="0" xfId="0" applyFont="1" applyAlignment="1">
      <alignment horizontal="right"/>
    </xf>
    <xf numFmtId="0" fontId="43" fillId="0" borderId="0" xfId="0" applyFont="1" applyAlignment="1">
      <alignment horizontal="right"/>
    </xf>
    <xf numFmtId="169" fontId="49" fillId="0" borderId="0" xfId="0" applyNumberFormat="1" applyFont="1" applyAlignment="1">
      <alignment horizontal="right"/>
    </xf>
    <xf numFmtId="169" fontId="43" fillId="0" borderId="0" xfId="0" applyNumberFormat="1" applyFont="1" applyAlignment="1">
      <alignment horizontal="right"/>
    </xf>
    <xf numFmtId="10" fontId="8" fillId="0" borderId="0" xfId="5" applyNumberFormat="1" applyFont="1"/>
    <xf numFmtId="165" fontId="0" fillId="0" borderId="0" xfId="0" applyNumberFormat="1"/>
    <xf numFmtId="166" fontId="49" fillId="0" borderId="0" xfId="0" applyNumberFormat="1" applyFont="1"/>
    <xf numFmtId="166" fontId="43" fillId="0" borderId="0" xfId="0" applyNumberFormat="1" applyFont="1"/>
    <xf numFmtId="9" fontId="8" fillId="0" borderId="0" xfId="5" applyNumberFormat="1" applyFont="1"/>
    <xf numFmtId="0" fontId="99" fillId="0" borderId="0" xfId="0" applyFont="1"/>
    <xf numFmtId="164" fontId="100" fillId="0" borderId="0" xfId="1" applyNumberFormat="1" applyFont="1" applyFill="1"/>
    <xf numFmtId="164" fontId="76" fillId="0" borderId="0" xfId="1" applyNumberFormat="1" applyFont="1" applyFill="1"/>
    <xf numFmtId="0" fontId="4" fillId="0" borderId="0" xfId="0" applyFont="1"/>
    <xf numFmtId="0" fontId="101" fillId="0" borderId="0" xfId="0" applyFont="1"/>
    <xf numFmtId="0" fontId="87" fillId="0" borderId="0" xfId="0" applyFont="1"/>
    <xf numFmtId="0" fontId="0" fillId="0" borderId="0" xfId="0" applyFont="1"/>
    <xf numFmtId="164" fontId="103" fillId="0" borderId="0" xfId="6" applyNumberFormat="1" applyFont="1" applyFill="1" applyBorder="1" applyAlignment="1" applyProtection="1"/>
    <xf numFmtId="169" fontId="104" fillId="0" borderId="0" xfId="0" applyNumberFormat="1" applyFont="1" applyAlignment="1">
      <alignment horizontal="right"/>
    </xf>
    <xf numFmtId="169" fontId="103" fillId="0" borderId="0" xfId="0" applyNumberFormat="1" applyFont="1" applyAlignment="1">
      <alignment horizontal="right"/>
    </xf>
    <xf numFmtId="0" fontId="106" fillId="8" borderId="0" xfId="0" applyFont="1" applyFill="1" applyAlignment="1">
      <alignment vertical="center" wrapText="1"/>
    </xf>
    <xf numFmtId="0" fontId="106" fillId="0" borderId="0" xfId="0" applyFont="1"/>
    <xf numFmtId="0" fontId="2" fillId="0" borderId="0" xfId="0" applyFont="1" applyAlignment="1">
      <alignment horizontal="left"/>
    </xf>
    <xf numFmtId="0" fontId="28" fillId="0" borderId="0" xfId="0" applyFont="1" applyBorder="1" applyAlignment="1">
      <alignment horizontal="center" wrapText="1"/>
    </xf>
    <xf numFmtId="168" fontId="54" fillId="3" borderId="4" xfId="5" applyNumberFormat="1" applyFont="1" applyFill="1" applyBorder="1" applyAlignment="1">
      <alignment horizontal="center"/>
    </xf>
    <xf numFmtId="168" fontId="54" fillId="3" borderId="37" xfId="5" applyNumberFormat="1" applyFont="1" applyFill="1" applyBorder="1" applyAlignment="1">
      <alignment horizontal="center"/>
    </xf>
    <xf numFmtId="0" fontId="1" fillId="0" borderId="14" xfId="0" applyFont="1" applyFill="1" applyBorder="1" applyAlignment="1">
      <alignment horizontal="center" wrapText="1"/>
    </xf>
    <xf numFmtId="0" fontId="1" fillId="0" borderId="0" xfId="0" applyFont="1" applyFill="1" applyBorder="1" applyAlignment="1">
      <alignment horizontal="center" wrapText="1"/>
    </xf>
    <xf numFmtId="0" fontId="14" fillId="0" borderId="11" xfId="4" applyFont="1" applyBorder="1" applyAlignment="1">
      <alignment horizontal="center"/>
    </xf>
    <xf numFmtId="0" fontId="14" fillId="0" borderId="12" xfId="4" applyFont="1" applyBorder="1" applyAlignment="1">
      <alignment horizontal="center"/>
    </xf>
    <xf numFmtId="0" fontId="1" fillId="0" borderId="75" xfId="0" applyFont="1" applyBorder="1" applyAlignment="1">
      <alignment horizontal="center" wrapText="1"/>
    </xf>
    <xf numFmtId="0" fontId="1" fillId="0" borderId="64" xfId="0" applyFont="1" applyBorder="1" applyAlignment="1">
      <alignment horizontal="center" wrapText="1"/>
    </xf>
    <xf numFmtId="0" fontId="1" fillId="3" borderId="4" xfId="0" applyFont="1" applyFill="1" applyBorder="1" applyAlignment="1">
      <alignment horizontal="center" vertical="top" wrapText="1"/>
    </xf>
    <xf numFmtId="0" fontId="1" fillId="3" borderId="37" xfId="0" applyFont="1" applyFill="1" applyBorder="1" applyAlignment="1">
      <alignment horizontal="center" vertical="top" wrapText="1"/>
    </xf>
    <xf numFmtId="0" fontId="1" fillId="0" borderId="17" xfId="0" applyFont="1" applyBorder="1" applyAlignment="1">
      <alignment horizontal="center"/>
    </xf>
    <xf numFmtId="0" fontId="1" fillId="0" borderId="18" xfId="0" applyFont="1" applyBorder="1" applyAlignment="1">
      <alignment horizontal="center"/>
    </xf>
    <xf numFmtId="0" fontId="75" fillId="0" borderId="64" xfId="0" applyFont="1" applyBorder="1" applyAlignment="1">
      <alignment horizontal="center" wrapText="1"/>
    </xf>
    <xf numFmtId="0" fontId="75" fillId="0" borderId="71" xfId="0" applyFont="1" applyBorder="1" applyAlignment="1">
      <alignment horizontal="center" wrapText="1"/>
    </xf>
    <xf numFmtId="0" fontId="43" fillId="0" borderId="14" xfId="0" applyFont="1" applyFill="1" applyBorder="1" applyAlignment="1">
      <alignment horizontal="center" wrapText="1"/>
    </xf>
    <xf numFmtId="0" fontId="43" fillId="0" borderId="0" xfId="0" applyFont="1" applyFill="1" applyBorder="1" applyAlignment="1">
      <alignment horizontal="center" wrapText="1"/>
    </xf>
    <xf numFmtId="0" fontId="1" fillId="0" borderId="72" xfId="0" applyFont="1" applyBorder="1" applyAlignment="1">
      <alignment horizontal="center" wrapText="1"/>
    </xf>
    <xf numFmtId="0" fontId="1" fillId="0" borderId="32" xfId="0" applyFont="1" applyBorder="1" applyAlignment="1">
      <alignment horizontal="center" wrapText="1"/>
    </xf>
    <xf numFmtId="0" fontId="39" fillId="0" borderId="4" xfId="0" applyFont="1" applyFill="1" applyBorder="1" applyAlignment="1">
      <alignment horizontal="center" wrapText="1"/>
    </xf>
    <xf numFmtId="0" fontId="39" fillId="0" borderId="37" xfId="0" applyFont="1" applyFill="1" applyBorder="1" applyAlignment="1">
      <alignment horizontal="center" wrapText="1"/>
    </xf>
    <xf numFmtId="0" fontId="39" fillId="0" borderId="5" xfId="0" applyFont="1" applyFill="1" applyBorder="1" applyAlignment="1">
      <alignment horizontal="center" wrapText="1"/>
    </xf>
    <xf numFmtId="0" fontId="39" fillId="0" borderId="73" xfId="0" applyFont="1" applyFill="1" applyBorder="1" applyAlignment="1">
      <alignment horizontal="center" wrapText="1"/>
    </xf>
    <xf numFmtId="0" fontId="47" fillId="0" borderId="64" xfId="0" applyFont="1" applyBorder="1" applyAlignment="1">
      <alignment horizontal="center" wrapText="1"/>
    </xf>
    <xf numFmtId="0" fontId="47" fillId="0" borderId="71" xfId="0" applyFont="1" applyBorder="1" applyAlignment="1">
      <alignment horizontal="center" wrapText="1"/>
    </xf>
    <xf numFmtId="0" fontId="47" fillId="0" borderId="39" xfId="0" applyFont="1" applyBorder="1" applyAlignment="1">
      <alignment horizontal="center" wrapText="1"/>
    </xf>
    <xf numFmtId="0" fontId="47" fillId="0" borderId="66" xfId="0" applyFont="1" applyBorder="1" applyAlignment="1">
      <alignment horizontal="center" wrapText="1"/>
    </xf>
    <xf numFmtId="0" fontId="1" fillId="0" borderId="67" xfId="0" applyFont="1" applyBorder="1" applyAlignment="1">
      <alignment horizontal="center" wrapText="1"/>
    </xf>
    <xf numFmtId="0" fontId="1" fillId="0" borderId="30" xfId="0" applyFont="1" applyBorder="1" applyAlignment="1">
      <alignment horizontal="center" wrapText="1"/>
    </xf>
    <xf numFmtId="0" fontId="1" fillId="0" borderId="74" xfId="0" applyFont="1" applyBorder="1" applyAlignment="1">
      <alignment horizontal="center" wrapText="1"/>
    </xf>
    <xf numFmtId="0" fontId="1" fillId="0" borderId="65" xfId="0" applyFont="1" applyBorder="1" applyAlignment="1">
      <alignment horizontal="center" wrapText="1"/>
    </xf>
    <xf numFmtId="0" fontId="44" fillId="0" borderId="0" xfId="0" applyFont="1" applyFill="1" applyBorder="1" applyAlignment="1">
      <alignment horizontal="center" vertical="top" wrapText="1"/>
    </xf>
    <xf numFmtId="0" fontId="44" fillId="0" borderId="51" xfId="0" applyFont="1" applyFill="1" applyBorder="1" applyAlignment="1">
      <alignment horizontal="center" vertical="top" wrapText="1"/>
    </xf>
    <xf numFmtId="0" fontId="1" fillId="0" borderId="53" xfId="0" applyFont="1" applyBorder="1" applyAlignment="1">
      <alignment horizontal="center" wrapText="1"/>
    </xf>
    <xf numFmtId="0" fontId="1" fillId="0" borderId="54" xfId="0" applyFont="1" applyBorder="1" applyAlignment="1">
      <alignment horizontal="center" wrapText="1"/>
    </xf>
    <xf numFmtId="0" fontId="1" fillId="0" borderId="55" xfId="0" applyFont="1" applyBorder="1" applyAlignment="1">
      <alignment horizontal="center" wrapText="1"/>
    </xf>
    <xf numFmtId="0" fontId="1" fillId="0" borderId="22" xfId="0" applyFont="1" applyBorder="1" applyAlignment="1">
      <alignment horizontal="center" wrapText="1"/>
    </xf>
    <xf numFmtId="0" fontId="1" fillId="0" borderId="0" xfId="0" applyFont="1" applyBorder="1" applyAlignment="1">
      <alignment horizontal="center" wrapText="1"/>
    </xf>
    <xf numFmtId="0" fontId="1" fillId="3" borderId="4" xfId="0" applyFont="1" applyFill="1" applyBorder="1" applyAlignment="1">
      <alignment horizontal="center" wrapText="1"/>
    </xf>
    <xf numFmtId="0" fontId="1" fillId="3" borderId="37" xfId="0" applyFont="1" applyFill="1" applyBorder="1" applyAlignment="1">
      <alignment horizontal="center" wrapText="1"/>
    </xf>
    <xf numFmtId="168" fontId="19" fillId="0" borderId="4" xfId="5" applyNumberFormat="1" applyFont="1" applyFill="1" applyBorder="1" applyAlignment="1">
      <alignment horizontal="center"/>
    </xf>
    <xf numFmtId="168" fontId="19" fillId="0" borderId="37" xfId="5" applyNumberFormat="1" applyFont="1" applyFill="1" applyBorder="1" applyAlignment="1">
      <alignment horizontal="center"/>
    </xf>
    <xf numFmtId="0" fontId="53" fillId="0" borderId="0" xfId="0" applyFont="1" applyAlignment="1">
      <alignment horizontal="center" wrapText="1"/>
    </xf>
    <xf numFmtId="0" fontId="19" fillId="0" borderId="0" xfId="4" applyFont="1" applyFill="1" applyBorder="1" applyAlignment="1">
      <alignment horizontal="center" wrapText="1"/>
    </xf>
    <xf numFmtId="0" fontId="53" fillId="0" borderId="0" xfId="0" applyFont="1" applyFill="1" applyBorder="1" applyAlignment="1">
      <alignment horizontal="center" wrapText="1"/>
    </xf>
    <xf numFmtId="0" fontId="1" fillId="0" borderId="42" xfId="0" applyFont="1" applyBorder="1" applyAlignment="1">
      <alignment horizontal="center" wrapText="1"/>
    </xf>
    <xf numFmtId="0" fontId="1" fillId="0" borderId="43" xfId="0" applyFont="1" applyBorder="1" applyAlignment="1">
      <alignment horizontal="center" wrapText="1"/>
    </xf>
    <xf numFmtId="0" fontId="1" fillId="0" borderId="44" xfId="0" applyFont="1" applyBorder="1" applyAlignment="1">
      <alignment horizontal="center" wrapText="1"/>
    </xf>
    <xf numFmtId="0" fontId="1" fillId="0" borderId="58" xfId="0" applyFont="1" applyBorder="1" applyAlignment="1">
      <alignment horizontal="center" wrapText="1"/>
    </xf>
    <xf numFmtId="0" fontId="1" fillId="0" borderId="45" xfId="0" applyFont="1" applyBorder="1" applyAlignment="1">
      <alignment horizontal="center" wrapText="1"/>
    </xf>
    <xf numFmtId="165" fontId="0" fillId="0" borderId="39" xfId="0" applyNumberFormat="1" applyFill="1" applyBorder="1" applyAlignment="1">
      <alignment horizontal="center"/>
    </xf>
    <xf numFmtId="165" fontId="0" fillId="0" borderId="0" xfId="0" applyNumberFormat="1" applyFill="1" applyBorder="1" applyAlignment="1">
      <alignment horizontal="center"/>
    </xf>
    <xf numFmtId="165" fontId="0" fillId="0" borderId="66" xfId="0" applyNumberFormat="1" applyBorder="1" applyAlignment="1">
      <alignment horizontal="center"/>
    </xf>
    <xf numFmtId="165" fontId="0" fillId="0" borderId="51" xfId="0" applyNumberFormat="1" applyBorder="1" applyAlignment="1">
      <alignment horizontal="center"/>
    </xf>
    <xf numFmtId="0" fontId="1" fillId="0" borderId="0" xfId="0" applyFont="1" applyFill="1" applyBorder="1" applyAlignment="1">
      <alignment horizontal="left" vertical="center"/>
    </xf>
    <xf numFmtId="0" fontId="73" fillId="0" borderId="0" xfId="0" applyFont="1" applyAlignment="1">
      <alignment horizontal="center" wrapText="1"/>
    </xf>
    <xf numFmtId="0" fontId="1" fillId="0" borderId="0" xfId="0" applyFont="1" applyAlignment="1">
      <alignment horizontal="left" wrapText="1"/>
    </xf>
  </cellXfs>
  <cellStyles count="7">
    <cellStyle name="Bad" xfId="1" builtinId="27"/>
    <cellStyle name="Comma" xfId="2" builtinId="3"/>
    <cellStyle name="Hyperlink" xfId="3" builtinId="8"/>
    <cellStyle name="Normal" xfId="0" builtinId="0"/>
    <cellStyle name="Normal 2" xfId="4"/>
    <cellStyle name="Percent" xfId="5" builtinId="5"/>
    <cellStyle name="TableStyleLight1" xfId="6"/>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'[1]Ward equation 12'!$U$19</c:f>
              <c:strCache>
                <c:ptCount val="1"/>
                <c:pt idx="0">
                  <c:v>e(T)</c:v>
                </c:pt>
              </c:strCache>
            </c:strRef>
          </c:tx>
          <c:spPr>
            <a:ln w="28575">
              <a:solidFill>
                <a:schemeClr val="accent1"/>
              </a:solidFill>
            </a:ln>
          </c:spPr>
          <c:marker>
            <c:symbol val="none"/>
          </c:marker>
          <c:xVal>
            <c:numRef>
              <c:f>'[1]Ward equation 12'!$T$20:$T$70</c:f>
              <c:numCache>
                <c:formatCode>General</c:formatCode>
                <c:ptCount val="5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numCache>
            </c:numRef>
          </c:xVal>
          <c:yVal>
            <c:numRef>
              <c:f>'[1]Ward equation 12'!$U$20:$U$70</c:f>
              <c:numCache>
                <c:formatCode>General</c:formatCode>
                <c:ptCount val="51"/>
                <c:pt idx="0">
                  <c:v>6.1078000000000001</c:v>
                </c:pt>
                <c:pt idx="1">
                  <c:v>6.5663298986167291</c:v>
                </c:pt>
                <c:pt idx="2">
                  <c:v>7.0551035629647938</c:v>
                </c:pt>
                <c:pt idx="3">
                  <c:v>7.5758225130786956</c:v>
                </c:pt>
                <c:pt idx="4">
                  <c:v>8.1302659002504871</c:v>
                </c:pt>
                <c:pt idx="5">
                  <c:v>8.7202930889474377</c:v>
                </c:pt>
                <c:pt idx="6">
                  <c:v>9.3478462818937746</c:v>
                </c:pt>
                <c:pt idx="7">
                  <c:v>10.014953187429604</c:v>
                </c:pt>
                <c:pt idx="8">
                  <c:v>10.72372972819988</c:v>
                </c:pt>
                <c:pt idx="9">
                  <c:v>11.476382790165946</c:v>
                </c:pt>
                <c:pt idx="10">
                  <c:v>12.27521301087326</c:v>
                </c:pt>
                <c:pt idx="11">
                  <c:v>13.122617605849344</c:v>
                </c:pt>
                <c:pt idx="12">
                  <c:v>14.021093231948827</c:v>
                </c:pt>
                <c:pt idx="13">
                  <c:v>14.973238886404125</c:v>
                </c:pt>
                <c:pt idx="14">
                  <c:v>15.981758840284604</c:v>
                </c:pt>
                <c:pt idx="15">
                  <c:v>17.049465605011211</c:v>
                </c:pt>
                <c:pt idx="16">
                  <c:v>18.179282930518987</c:v>
                </c:pt>
                <c:pt idx="17">
                  <c:v>19.374248833607403</c:v>
                </c:pt>
                <c:pt idx="18">
                  <c:v>20.637518654964602</c:v>
                </c:pt>
                <c:pt idx="19">
                  <c:v>21.972368143303246</c:v>
                </c:pt>
                <c:pt idx="20">
                  <c:v>23.382196564993848</c:v>
                </c:pt>
                <c:pt idx="21">
                  <c:v>24.870529837535305</c:v>
                </c:pt>
                <c:pt idx="22">
                  <c:v>26.44102368515399</c:v>
                </c:pt>
                <c:pt idx="23">
                  <c:v>28.097466814780116</c:v>
                </c:pt>
                <c:pt idx="24">
                  <c:v>29.843784110604556</c:v>
                </c:pt>
                <c:pt idx="25">
                  <c:v>31.684039845378127</c:v>
                </c:pt>
                <c:pt idx="26">
                  <c:v>33.622440906577687</c:v>
                </c:pt>
                <c:pt idx="27">
                  <c:v>35.663340035521294</c:v>
                </c:pt>
                <c:pt idx="28">
                  <c:v>37.811239077482171</c:v>
                </c:pt>
                <c:pt idx="29">
                  <c:v>40.070792240813901</c:v>
                </c:pt>
                <c:pt idx="30">
                  <c:v>42.44680936307001</c:v>
                </c:pt>
                <c:pt idx="31">
                  <c:v>44.944259182067157</c:v>
                </c:pt>
                <c:pt idx="32">
                  <c:v>47.56827260981504</c:v>
                </c:pt>
                <c:pt idx="33">
                  <c:v>50.324146007209876</c:v>
                </c:pt>
                <c:pt idx="34">
                  <c:v>53.217344457361726</c:v>
                </c:pt>
                <c:pt idx="35">
                  <c:v>56.253505035406491</c:v>
                </c:pt>
                <c:pt idx="36">
                  <c:v>59.43844007263192</c:v>
                </c:pt>
                <c:pt idx="37">
                  <c:v>62.778140412728519</c:v>
                </c:pt>
                <c:pt idx="38">
                  <c:v>66.278778657961965</c:v>
                </c:pt>
                <c:pt idx="39">
                  <c:v>69.946712403049361</c:v>
                </c:pt>
                <c:pt idx="40">
                  <c:v>73.788487454509252</c:v>
                </c:pt>
                <c:pt idx="41">
                  <c:v>77.810841033248082</c:v>
                </c:pt>
                <c:pt idx="42">
                  <c:v>82.020704958137983</c:v>
                </c:pt>
                <c:pt idx="43">
                  <c:v>86.42520880833321</c:v>
                </c:pt>
                <c:pt idx="44">
                  <c:v>91.031683062077207</c:v>
                </c:pt>
                <c:pt idx="45">
                  <c:v>95.847662209741898</c:v>
                </c:pt>
                <c:pt idx="46">
                  <c:v>100.88088783885281</c:v>
                </c:pt>
                <c:pt idx="47">
                  <c:v>106.13931168884635</c:v>
                </c:pt>
                <c:pt idx="48">
                  <c:v>111.63109867332707</c:v>
                </c:pt>
                <c:pt idx="49">
                  <c:v>117.36462986758016</c:v>
                </c:pt>
                <c:pt idx="50">
                  <c:v>123.3485054591266</c:v>
                </c:pt>
              </c:numCache>
            </c:numRef>
          </c:yVal>
          <c:smooth val="0"/>
        </c:ser>
        <c:dLbls>
          <c:showLegendKey val="0"/>
          <c:showVal val="0"/>
          <c:showCatName val="0"/>
          <c:showSerName val="0"/>
          <c:showPercent val="0"/>
          <c:showBubbleSize val="0"/>
        </c:dLbls>
        <c:axId val="156678784"/>
        <c:axId val="157926144"/>
      </c:scatterChart>
      <c:valAx>
        <c:axId val="15667878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US"/>
                  <a:t>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7926144"/>
        <c:crosses val="autoZero"/>
        <c:crossBetween val="midCat"/>
      </c:valAx>
      <c:valAx>
        <c:axId val="15792614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e(T)  </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6678784"/>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22225</xdr:rowOff>
    </xdr:from>
    <xdr:to>
      <xdr:col>8</xdr:col>
      <xdr:colOff>111131</xdr:colOff>
      <xdr:row>4</xdr:row>
      <xdr:rowOff>60325</xdr:rowOff>
    </xdr:to>
    <xdr:sp macro="" textlink="">
      <xdr:nvSpPr>
        <xdr:cNvPr id="5121" name="Text Box 1"/>
        <xdr:cNvSpPr txBox="1">
          <a:spLocks noChangeArrowheads="1"/>
        </xdr:cNvSpPr>
      </xdr:nvSpPr>
      <xdr:spPr bwMode="auto">
        <a:xfrm>
          <a:off x="0" y="266700"/>
          <a:ext cx="5267325" cy="5238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strike="noStrike">
              <a:solidFill>
                <a:srgbClr val="000000"/>
              </a:solidFill>
              <a:latin typeface="Arial"/>
              <a:cs typeface="Arial"/>
            </a:rPr>
            <a:t>This sheet is used to plot the lines on the psychrometric chart. The relative humidity lines update automatically whenever the atmospheric pressure is changed. The constant enthalpy lines are recalculated using a macro whenever the data is updated on Sheet1. </a:t>
          </a:r>
        </a:p>
      </xdr:txBody>
    </xdr:sp>
    <xdr:clientData/>
  </xdr:twoCellAnchor>
  <xdr:twoCellAnchor>
    <xdr:from>
      <xdr:col>9</xdr:col>
      <xdr:colOff>66675</xdr:colOff>
      <xdr:row>0</xdr:row>
      <xdr:rowOff>136525</xdr:rowOff>
    </xdr:from>
    <xdr:to>
      <xdr:col>10</xdr:col>
      <xdr:colOff>542925</xdr:colOff>
      <xdr:row>4</xdr:row>
      <xdr:rowOff>60624</xdr:rowOff>
    </xdr:to>
    <xdr:sp macro="" textlink="">
      <xdr:nvSpPr>
        <xdr:cNvPr id="5122" name="Text Box 2"/>
        <xdr:cNvSpPr txBox="1">
          <a:spLocks noChangeArrowheads="1"/>
        </xdr:cNvSpPr>
      </xdr:nvSpPr>
      <xdr:spPr bwMode="auto">
        <a:xfrm>
          <a:off x="5857875" y="152400"/>
          <a:ext cx="1095375" cy="638175"/>
        </a:xfrm>
        <a:prstGeom prst="rect">
          <a:avLst/>
        </a:prstGeom>
        <a:solidFill>
          <a:srgbClr val="FF0000"/>
        </a:solidFill>
        <a:ln w="9525">
          <a:noFill/>
          <a:miter lim="800000"/>
          <a:headEnd/>
          <a:tailEnd/>
        </a:ln>
      </xdr:spPr>
      <xdr:txBody>
        <a:bodyPr vertOverflow="clip" wrap="square" lIns="27432" tIns="22860" rIns="27432" bIns="0" anchor="t" upright="1"/>
        <a:lstStyle/>
        <a:p>
          <a:pPr algn="ctr" rtl="0">
            <a:defRPr sz="1000"/>
          </a:pPr>
          <a:r>
            <a:rPr lang="en-US" sz="1000" b="1" i="0" strike="noStrike">
              <a:solidFill>
                <a:srgbClr val="FFFFFF"/>
              </a:solidFill>
              <a:latin typeface="Arial"/>
              <a:cs typeface="Arial"/>
            </a:rPr>
            <a:t>DON'T DELETE THIS SHEET!</a:t>
          </a:r>
        </a:p>
        <a:p>
          <a:pPr algn="ctr" rtl="0">
            <a:defRPr sz="1000"/>
          </a:pPr>
          <a:r>
            <a:rPr lang="en-US" sz="800" b="1" i="0" strike="noStrike">
              <a:solidFill>
                <a:srgbClr val="FFFFFF"/>
              </a:solidFill>
              <a:latin typeface="Arial"/>
              <a:cs typeface="Arial"/>
            </a:rPr>
            <a:t>(it provides source data for the chart)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158750</xdr:colOff>
      <xdr:row>2</xdr:row>
      <xdr:rowOff>19050</xdr:rowOff>
    </xdr:from>
    <xdr:to>
      <xdr:col>18</xdr:col>
      <xdr:colOff>88900</xdr:colOff>
      <xdr:row>4</xdr:row>
      <xdr:rowOff>34925</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37500" y="412750"/>
          <a:ext cx="62039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177800</xdr:colOff>
      <xdr:row>3</xdr:row>
      <xdr:rowOff>171450</xdr:rowOff>
    </xdr:from>
    <xdr:to>
      <xdr:col>18</xdr:col>
      <xdr:colOff>76200</xdr:colOff>
      <xdr:row>6</xdr:row>
      <xdr:rowOff>47625</xdr:rowOff>
    </xdr:to>
    <xdr:pic>
      <xdr:nvPicPr>
        <xdr:cNvPr id="3"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56550" y="723900"/>
          <a:ext cx="617220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139700</xdr:colOff>
      <xdr:row>5</xdr:row>
      <xdr:rowOff>95250</xdr:rowOff>
    </xdr:from>
    <xdr:to>
      <xdr:col>18</xdr:col>
      <xdr:colOff>88900</xdr:colOff>
      <xdr:row>7</xdr:row>
      <xdr:rowOff>38100</xdr:rowOff>
    </xdr:to>
    <xdr:pic>
      <xdr:nvPicPr>
        <xdr:cNvPr id="4"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18450" y="1041400"/>
          <a:ext cx="6223000" cy="298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336550</xdr:colOff>
      <xdr:row>4</xdr:row>
      <xdr:rowOff>127000</xdr:rowOff>
    </xdr:from>
    <xdr:to>
      <xdr:col>27</xdr:col>
      <xdr:colOff>292100</xdr:colOff>
      <xdr:row>11</xdr:row>
      <xdr:rowOff>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6550" y="908050"/>
          <a:ext cx="10922000" cy="1250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18</xdr:row>
      <xdr:rowOff>114300</xdr:rowOff>
    </xdr:from>
    <xdr:to>
      <xdr:col>18</xdr:col>
      <xdr:colOff>488950</xdr:colOff>
      <xdr:row>35</xdr:row>
      <xdr:rowOff>127000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hdiehl\Downloads\SWFE%20wind%20fn%20comp%20version%20SIR%20pics%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ot Data"/>
      <sheetName val="Forced Evaporation"/>
      <sheetName val="Brady chart (2)"/>
      <sheetName val="Wind fn 30C ch (2)"/>
      <sheetName val="pond load chart data"/>
      <sheetName val="Wind fn 30C ch"/>
      <sheetName val="Wind Fn 30C data"/>
      <sheetName val="Wind fn 20C ch"/>
      <sheetName val="Wind Fn 20C data"/>
      <sheetName val="Brady chart"/>
      <sheetName val="Ward chart"/>
      <sheetName val="Anderson chart"/>
      <sheetName val="Fulford chart"/>
      <sheetName val="Gulliver chart"/>
      <sheetName val="Webster chart"/>
      <sheetName val="Ward Chart data"/>
      <sheetName val="Brady Chart data"/>
      <sheetName val="Anderson Chart data"/>
      <sheetName val="Fulford Chart data"/>
      <sheetName val="Gulliver Chart data"/>
      <sheetName val="Webster Chart data"/>
      <sheetName val="min max chart"/>
      <sheetName val="Min Max Chart data"/>
      <sheetName val="altitude vs. air pressure"/>
      <sheetName val="Ward Constants"/>
      <sheetName val="Ward equation 12"/>
      <sheetName val="Ward equation 1 2 3 14"/>
      <sheetName val="Lowe 1977 e(T)"/>
      <sheetName val="unsaturated vapor pressure"/>
      <sheetName val="Water density"/>
      <sheetName val="Wind fn comp ch (3)"/>
      <sheetName val="Wind fn comp ch (2)"/>
      <sheetName val="Wind fn comp ch"/>
      <sheetName val="Wind function comparison"/>
    </sheetNames>
    <sheetDataSet>
      <sheetData sheetId="0"/>
      <sheetData sheetId="1"/>
      <sheetData sheetId="2" refreshError="1"/>
      <sheetData sheetId="3" refreshError="1"/>
      <sheetData sheetId="4"/>
      <sheetData sheetId="5" refreshError="1"/>
      <sheetData sheetId="6"/>
      <sheetData sheetId="7" refreshError="1"/>
      <sheetData sheetId="8"/>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refreshError="1"/>
      <sheetData sheetId="22"/>
      <sheetData sheetId="23">
        <row r="13">
          <cell r="B13">
            <v>1001.3018430482116</v>
          </cell>
        </row>
      </sheetData>
      <sheetData sheetId="24"/>
      <sheetData sheetId="25">
        <row r="19">
          <cell r="U19" t="str">
            <v>e(T)</v>
          </cell>
        </row>
        <row r="20">
          <cell r="T20">
            <v>0</v>
          </cell>
          <cell r="U20">
            <v>6.1078000000000001</v>
          </cell>
        </row>
        <row r="21">
          <cell r="T21">
            <v>1</v>
          </cell>
          <cell r="U21">
            <v>6.5663298986167291</v>
          </cell>
        </row>
        <row r="22">
          <cell r="T22">
            <v>2</v>
          </cell>
          <cell r="U22">
            <v>7.0551035629647938</v>
          </cell>
        </row>
        <row r="23">
          <cell r="T23">
            <v>3</v>
          </cell>
          <cell r="U23">
            <v>7.5758225130786956</v>
          </cell>
        </row>
        <row r="24">
          <cell r="T24">
            <v>4</v>
          </cell>
          <cell r="U24">
            <v>8.1302659002504871</v>
          </cell>
        </row>
        <row r="25">
          <cell r="T25">
            <v>5</v>
          </cell>
          <cell r="U25">
            <v>8.7202930889474377</v>
          </cell>
        </row>
        <row r="26">
          <cell r="T26">
            <v>6</v>
          </cell>
          <cell r="U26">
            <v>9.3478462818937746</v>
          </cell>
        </row>
        <row r="27">
          <cell r="T27">
            <v>7</v>
          </cell>
          <cell r="U27">
            <v>10.014953187429604</v>
          </cell>
        </row>
        <row r="28">
          <cell r="T28">
            <v>8</v>
          </cell>
          <cell r="U28">
            <v>10.72372972819988</v>
          </cell>
        </row>
        <row r="29">
          <cell r="T29">
            <v>9</v>
          </cell>
          <cell r="U29">
            <v>11.476382790165946</v>
          </cell>
        </row>
        <row r="30">
          <cell r="T30">
            <v>10</v>
          </cell>
          <cell r="U30">
            <v>12.27521301087326</v>
          </cell>
        </row>
        <row r="31">
          <cell r="T31">
            <v>11</v>
          </cell>
          <cell r="U31">
            <v>13.122617605849344</v>
          </cell>
        </row>
        <row r="32">
          <cell r="T32">
            <v>12</v>
          </cell>
          <cell r="U32">
            <v>14.021093231948827</v>
          </cell>
        </row>
        <row r="33">
          <cell r="T33">
            <v>13</v>
          </cell>
          <cell r="U33">
            <v>14.973238886404125</v>
          </cell>
        </row>
        <row r="34">
          <cell r="T34">
            <v>14</v>
          </cell>
          <cell r="U34">
            <v>15.981758840284604</v>
          </cell>
        </row>
        <row r="35">
          <cell r="T35">
            <v>15</v>
          </cell>
          <cell r="U35">
            <v>17.049465605011211</v>
          </cell>
        </row>
        <row r="36">
          <cell r="T36">
            <v>16</v>
          </cell>
          <cell r="U36">
            <v>18.179282930518987</v>
          </cell>
        </row>
        <row r="37">
          <cell r="T37">
            <v>17</v>
          </cell>
          <cell r="U37">
            <v>19.374248833607403</v>
          </cell>
        </row>
        <row r="38">
          <cell r="T38">
            <v>18</v>
          </cell>
          <cell r="U38">
            <v>20.637518654964602</v>
          </cell>
        </row>
        <row r="39">
          <cell r="T39">
            <v>19</v>
          </cell>
          <cell r="U39">
            <v>21.972368143303246</v>
          </cell>
        </row>
        <row r="40">
          <cell r="T40">
            <v>20</v>
          </cell>
          <cell r="U40">
            <v>23.382196564993848</v>
          </cell>
        </row>
        <row r="41">
          <cell r="T41">
            <v>21</v>
          </cell>
          <cell r="U41">
            <v>24.870529837535305</v>
          </cell>
        </row>
        <row r="42">
          <cell r="T42">
            <v>22</v>
          </cell>
          <cell r="U42">
            <v>26.44102368515399</v>
          </cell>
        </row>
        <row r="43">
          <cell r="T43">
            <v>23</v>
          </cell>
          <cell r="U43">
            <v>28.097466814780116</v>
          </cell>
        </row>
        <row r="44">
          <cell r="T44">
            <v>24</v>
          </cell>
          <cell r="U44">
            <v>29.843784110604556</v>
          </cell>
        </row>
        <row r="45">
          <cell r="T45">
            <v>25</v>
          </cell>
          <cell r="U45">
            <v>31.684039845378127</v>
          </cell>
        </row>
        <row r="46">
          <cell r="T46">
            <v>26</v>
          </cell>
          <cell r="U46">
            <v>33.622440906577687</v>
          </cell>
        </row>
        <row r="47">
          <cell r="T47">
            <v>27</v>
          </cell>
          <cell r="U47">
            <v>35.663340035521294</v>
          </cell>
        </row>
        <row r="48">
          <cell r="T48">
            <v>28</v>
          </cell>
          <cell r="U48">
            <v>37.811239077482171</v>
          </cell>
        </row>
        <row r="49">
          <cell r="T49">
            <v>29</v>
          </cell>
          <cell r="U49">
            <v>40.070792240813901</v>
          </cell>
        </row>
        <row r="50">
          <cell r="T50">
            <v>30</v>
          </cell>
          <cell r="U50">
            <v>42.44680936307001</v>
          </cell>
        </row>
        <row r="51">
          <cell r="T51">
            <v>31</v>
          </cell>
          <cell r="U51">
            <v>44.944259182067157</v>
          </cell>
        </row>
        <row r="52">
          <cell r="T52">
            <v>32</v>
          </cell>
          <cell r="U52">
            <v>47.56827260981504</v>
          </cell>
        </row>
        <row r="53">
          <cell r="T53">
            <v>33</v>
          </cell>
          <cell r="U53">
            <v>50.324146007209876</v>
          </cell>
        </row>
        <row r="54">
          <cell r="T54">
            <v>34</v>
          </cell>
          <cell r="U54">
            <v>53.217344457361726</v>
          </cell>
        </row>
        <row r="55">
          <cell r="T55">
            <v>35</v>
          </cell>
          <cell r="U55">
            <v>56.253505035406491</v>
          </cell>
        </row>
        <row r="56">
          <cell r="T56">
            <v>36</v>
          </cell>
          <cell r="U56">
            <v>59.43844007263192</v>
          </cell>
        </row>
        <row r="57">
          <cell r="T57">
            <v>37</v>
          </cell>
          <cell r="U57">
            <v>62.778140412728519</v>
          </cell>
        </row>
        <row r="58">
          <cell r="T58">
            <v>38</v>
          </cell>
          <cell r="U58">
            <v>66.278778657961965</v>
          </cell>
        </row>
        <row r="59">
          <cell r="T59">
            <v>39</v>
          </cell>
          <cell r="U59">
            <v>69.946712403049361</v>
          </cell>
        </row>
        <row r="60">
          <cell r="T60">
            <v>40</v>
          </cell>
          <cell r="U60">
            <v>73.788487454509252</v>
          </cell>
        </row>
        <row r="61">
          <cell r="T61">
            <v>41</v>
          </cell>
          <cell r="U61">
            <v>77.810841033248082</v>
          </cell>
        </row>
        <row r="62">
          <cell r="T62">
            <v>42</v>
          </cell>
          <cell r="U62">
            <v>82.020704958137983</v>
          </cell>
        </row>
        <row r="63">
          <cell r="T63">
            <v>43</v>
          </cell>
          <cell r="U63">
            <v>86.42520880833321</v>
          </cell>
        </row>
        <row r="64">
          <cell r="T64">
            <v>44</v>
          </cell>
          <cell r="U64">
            <v>91.031683062077207</v>
          </cell>
        </row>
        <row r="65">
          <cell r="T65">
            <v>45</v>
          </cell>
          <cell r="U65">
            <v>95.847662209741898</v>
          </cell>
        </row>
        <row r="66">
          <cell r="T66">
            <v>46</v>
          </cell>
          <cell r="U66">
            <v>100.88088783885281</v>
          </cell>
        </row>
        <row r="67">
          <cell r="T67">
            <v>47</v>
          </cell>
          <cell r="U67">
            <v>106.13931168884635</v>
          </cell>
        </row>
        <row r="68">
          <cell r="T68">
            <v>48</v>
          </cell>
          <cell r="U68">
            <v>111.63109867332707</v>
          </cell>
        </row>
        <row r="69">
          <cell r="T69">
            <v>49</v>
          </cell>
          <cell r="U69">
            <v>117.36462986758016</v>
          </cell>
        </row>
        <row r="70">
          <cell r="T70">
            <v>50</v>
          </cell>
          <cell r="U70">
            <v>123.3485054591266</v>
          </cell>
        </row>
      </sheetData>
      <sheetData sheetId="26"/>
      <sheetData sheetId="27"/>
      <sheetData sheetId="28"/>
      <sheetData sheetId="29"/>
      <sheetData sheetId="30" refreshError="1"/>
      <sheetData sheetId="31" refreshError="1"/>
      <sheetData sheetId="32" refreshError="1"/>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faqs.org/faqs/meteorology/temp-dewpoin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nist.gov/pml/wmd/metric/upload/SP1038.pdf"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6.bin"/><Relationship Id="rId4" Type="http://schemas.openxmlformats.org/officeDocument/2006/relationships/hyperlink" Target="http://www.nist.gov/pml/wmd/metric/upload/SP1038.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36"/>
  <sheetViews>
    <sheetView workbookViewId="0">
      <selection activeCell="R14" sqref="R14"/>
    </sheetView>
  </sheetViews>
  <sheetFormatPr defaultRowHeight="12.5" x14ac:dyDescent="0.25"/>
  <cols>
    <col min="2" max="2" width="10.7265625" customWidth="1"/>
    <col min="3" max="12" width="9.54296875" bestFit="1" customWidth="1"/>
    <col min="15" max="15" width="10.7265625" bestFit="1" customWidth="1"/>
    <col min="16" max="16" width="9.54296875" bestFit="1" customWidth="1"/>
    <col min="17" max="17" width="10.54296875" bestFit="1" customWidth="1"/>
  </cols>
  <sheetData>
    <row r="1" spans="1:24" ht="17.5" x14ac:dyDescent="0.35">
      <c r="A1" s="517" t="s">
        <v>1</v>
      </c>
      <c r="B1" s="517"/>
      <c r="C1" s="517"/>
      <c r="D1" s="517"/>
    </row>
    <row r="6" spans="1:24" x14ac:dyDescent="0.25">
      <c r="M6" s="4"/>
      <c r="N6" s="4"/>
      <c r="O6" s="4"/>
      <c r="P6" s="4"/>
      <c r="Q6" s="4"/>
      <c r="R6" s="4"/>
    </row>
    <row r="7" spans="1:24" x14ac:dyDescent="0.25">
      <c r="B7" s="1" t="s">
        <v>0</v>
      </c>
      <c r="C7" s="5" t="e">
        <f>Pressure</f>
        <v>#REF!</v>
      </c>
      <c r="D7" t="s">
        <v>10</v>
      </c>
      <c r="M7" s="4"/>
      <c r="N7" s="4"/>
      <c r="P7" s="6"/>
      <c r="Q7" s="4"/>
      <c r="R7" s="6"/>
      <c r="S7" s="1"/>
      <c r="T7" s="1"/>
      <c r="U7" s="1"/>
      <c r="V7" s="1"/>
      <c r="W7" s="1"/>
      <c r="X7" s="5"/>
    </row>
    <row r="8" spans="1:24" x14ac:dyDescent="0.25">
      <c r="B8" s="1"/>
      <c r="C8" s="5"/>
      <c r="M8" s="4"/>
      <c r="N8" s="4"/>
      <c r="O8" s="6"/>
      <c r="P8" s="6"/>
      <c r="Q8" s="4"/>
      <c r="R8" s="6"/>
      <c r="S8" s="1"/>
      <c r="T8" s="1"/>
      <c r="U8" s="1"/>
      <c r="V8" s="1"/>
      <c r="W8" s="1"/>
      <c r="X8" s="5"/>
    </row>
    <row r="9" spans="1:24" ht="13" x14ac:dyDescent="0.3">
      <c r="B9" s="1"/>
      <c r="C9" s="7" t="s">
        <v>2</v>
      </c>
      <c r="M9" s="4"/>
      <c r="N9" s="8" t="s">
        <v>3</v>
      </c>
      <c r="O9" s="6"/>
      <c r="P9" s="6"/>
      <c r="Q9" s="4"/>
      <c r="R9" s="6"/>
      <c r="S9" s="1"/>
      <c r="T9" s="1"/>
      <c r="U9" s="1"/>
      <c r="V9" s="1"/>
      <c r="W9" s="1"/>
      <c r="X9" s="5"/>
    </row>
    <row r="10" spans="1:24" s="4" customFormat="1" x14ac:dyDescent="0.25">
      <c r="C10" t="s">
        <v>14</v>
      </c>
    </row>
    <row r="11" spans="1:24" s="4" customFormat="1" x14ac:dyDescent="0.25">
      <c r="C11" t="s">
        <v>4</v>
      </c>
      <c r="M11"/>
      <c r="N11" s="4" t="s">
        <v>5</v>
      </c>
      <c r="O11" s="4" t="s">
        <v>6</v>
      </c>
      <c r="Q11" s="4" t="s">
        <v>5</v>
      </c>
      <c r="S11" s="6"/>
      <c r="T11" s="6"/>
      <c r="U11" s="6"/>
      <c r="V11" s="6"/>
      <c r="W11" s="6"/>
    </row>
    <row r="12" spans="1:24" s="4" customFormat="1" x14ac:dyDescent="0.25">
      <c r="B12" s="4" t="s">
        <v>11</v>
      </c>
      <c r="C12" s="9">
        <v>0.1</v>
      </c>
      <c r="D12" s="9">
        <v>0.2</v>
      </c>
      <c r="E12" s="9">
        <v>0.3</v>
      </c>
      <c r="F12" s="9">
        <v>0.4</v>
      </c>
      <c r="G12" s="9">
        <v>0.5</v>
      </c>
      <c r="H12" s="9">
        <v>0.6</v>
      </c>
      <c r="I12" s="9">
        <v>0.7</v>
      </c>
      <c r="J12" s="9">
        <v>0.8</v>
      </c>
      <c r="K12" s="9">
        <v>0.9</v>
      </c>
      <c r="L12" s="9">
        <v>1</v>
      </c>
      <c r="M12"/>
      <c r="N12" s="4" t="s">
        <v>13</v>
      </c>
      <c r="O12" s="4" t="s">
        <v>12</v>
      </c>
      <c r="P12" s="4" t="s">
        <v>7</v>
      </c>
      <c r="Q12" s="4" t="s">
        <v>13</v>
      </c>
      <c r="R12" s="4" t="s">
        <v>8</v>
      </c>
    </row>
    <row r="13" spans="1:24" x14ac:dyDescent="0.25">
      <c r="B13">
        <v>0</v>
      </c>
      <c r="C13" s="10" t="e">
        <v>#NAME?</v>
      </c>
      <c r="D13" s="10" t="e">
        <v>#NAME?</v>
      </c>
      <c r="E13" s="10" t="e">
        <v>#NAME?</v>
      </c>
      <c r="F13" s="10" t="e">
        <v>#NAME?</v>
      </c>
      <c r="G13" s="10" t="e">
        <v>#NAME?</v>
      </c>
      <c r="H13" s="10" t="e">
        <v>#NAME?</v>
      </c>
      <c r="I13" s="10" t="e">
        <v>#NAME?</v>
      </c>
      <c r="J13" s="10" t="e">
        <v>#NAME?</v>
      </c>
      <c r="K13" s="10" t="e">
        <v>#NAME?</v>
      </c>
      <c r="L13" s="10" t="e">
        <v>#NAME?</v>
      </c>
      <c r="N13" s="4">
        <v>10</v>
      </c>
      <c r="O13" s="2">
        <v>0</v>
      </c>
      <c r="P13" s="11" t="e">
        <v>#NAME?</v>
      </c>
      <c r="Q13" s="12" t="e">
        <v>#NAME?</v>
      </c>
      <c r="R13" s="3">
        <v>1.0590108619492118</v>
      </c>
      <c r="S13" t="s">
        <v>9</v>
      </c>
    </row>
    <row r="14" spans="1:24" x14ac:dyDescent="0.25">
      <c r="B14">
        <v>3</v>
      </c>
      <c r="C14" s="10" t="e">
        <v>#NAME?</v>
      </c>
      <c r="D14" s="10" t="e">
        <v>#NAME?</v>
      </c>
      <c r="E14" s="10" t="e">
        <v>#NAME?</v>
      </c>
      <c r="F14" s="10" t="e">
        <v>#NAME?</v>
      </c>
      <c r="G14" s="10" t="e">
        <v>#NAME?</v>
      </c>
      <c r="H14" s="10" t="e">
        <v>#NAME?</v>
      </c>
      <c r="I14" s="10" t="e">
        <v>#NAME?</v>
      </c>
      <c r="J14" s="10" t="e">
        <v>#NAME?</v>
      </c>
      <c r="K14" s="10" t="e">
        <v>#NAME?</v>
      </c>
      <c r="L14" s="10" t="e">
        <v>#NAME?</v>
      </c>
      <c r="N14" s="4">
        <v>10</v>
      </c>
      <c r="O14" s="2">
        <v>9.9403578528827055</v>
      </c>
      <c r="P14" s="11" t="e">
        <v>#NAME?</v>
      </c>
      <c r="Q14" s="12" t="e">
        <v>#NAME?</v>
      </c>
    </row>
    <row r="15" spans="1:24" x14ac:dyDescent="0.25">
      <c r="B15">
        <v>6</v>
      </c>
      <c r="C15" s="10" t="e">
        <v>#NAME?</v>
      </c>
      <c r="D15" s="10" t="e">
        <v>#NAME?</v>
      </c>
      <c r="E15" s="10" t="e">
        <v>#NAME?</v>
      </c>
      <c r="F15" s="10" t="e">
        <v>#NAME?</v>
      </c>
      <c r="G15" s="10" t="e">
        <v>#NAME?</v>
      </c>
      <c r="H15" s="10" t="e">
        <v>#NAME?</v>
      </c>
      <c r="I15" s="10" t="e">
        <v>#NAME?</v>
      </c>
      <c r="J15" s="10" t="e">
        <v>#NAME?</v>
      </c>
      <c r="K15" s="10" t="e">
        <v>#NAME?</v>
      </c>
      <c r="L15" s="10" t="e">
        <v>#NAME?</v>
      </c>
      <c r="N15" s="4">
        <f>N13+10</f>
        <v>20</v>
      </c>
      <c r="O15" s="2">
        <v>5.7080613156220945</v>
      </c>
      <c r="P15" s="11" t="e">
        <v>#NAME?</v>
      </c>
      <c r="Q15" s="12" t="e">
        <v>#NAME?</v>
      </c>
    </row>
    <row r="16" spans="1:24" x14ac:dyDescent="0.25">
      <c r="B16">
        <v>9</v>
      </c>
      <c r="C16" s="10" t="e">
        <v>#NAME?</v>
      </c>
      <c r="D16" s="10" t="e">
        <v>#NAME?</v>
      </c>
      <c r="E16" s="10" t="e">
        <v>#NAME?</v>
      </c>
      <c r="F16" s="10" t="e">
        <v>#NAME?</v>
      </c>
      <c r="G16" s="10" t="e">
        <v>#NAME?</v>
      </c>
      <c r="H16" s="10" t="e">
        <v>#NAME?</v>
      </c>
      <c r="I16" s="10" t="e">
        <v>#NAME?</v>
      </c>
      <c r="J16" s="10" t="e">
        <v>#NAME?</v>
      </c>
      <c r="K16" s="10" t="e">
        <v>#NAME?</v>
      </c>
      <c r="L16" s="10" t="e">
        <v>#NAME?</v>
      </c>
      <c r="N16" s="4">
        <f>N14+10</f>
        <v>20</v>
      </c>
      <c r="O16" s="2">
        <v>19.880715705765407</v>
      </c>
      <c r="P16" s="11" t="e">
        <v>#NAME?</v>
      </c>
      <c r="Q16" s="12" t="e">
        <v>#NAME?</v>
      </c>
    </row>
    <row r="17" spans="2:17" x14ac:dyDescent="0.25">
      <c r="B17">
        <v>12</v>
      </c>
      <c r="C17" s="10" t="e">
        <v>#NAME?</v>
      </c>
      <c r="D17" s="10" t="e">
        <v>#NAME?</v>
      </c>
      <c r="E17" s="10" t="e">
        <v>#NAME?</v>
      </c>
      <c r="F17" s="10" t="e">
        <v>#NAME?</v>
      </c>
      <c r="G17" s="10" t="e">
        <v>#NAME?</v>
      </c>
      <c r="H17" s="10" t="e">
        <v>#NAME?</v>
      </c>
      <c r="I17" s="10" t="e">
        <v>#NAME?</v>
      </c>
      <c r="J17" s="10" t="e">
        <v>#NAME?</v>
      </c>
      <c r="K17" s="10" t="e">
        <v>#NAME?</v>
      </c>
      <c r="L17" s="10" t="e">
        <v>#NAME?</v>
      </c>
      <c r="N17" s="4">
        <f t="shared" ref="N17:N36" si="0">N15+10</f>
        <v>30</v>
      </c>
      <c r="O17" s="2">
        <v>10.307329745772524</v>
      </c>
      <c r="P17" s="11" t="e">
        <v>#NAME?</v>
      </c>
      <c r="Q17" s="12" t="e">
        <v>#NAME?</v>
      </c>
    </row>
    <row r="18" spans="2:17" x14ac:dyDescent="0.25">
      <c r="B18">
        <v>15</v>
      </c>
      <c r="C18" s="10" t="e">
        <v>#NAME?</v>
      </c>
      <c r="D18" s="10" t="e">
        <v>#NAME?</v>
      </c>
      <c r="E18" s="10" t="e">
        <v>#NAME?</v>
      </c>
      <c r="F18" s="10" t="e">
        <v>#NAME?</v>
      </c>
      <c r="G18" s="10" t="e">
        <v>#NAME?</v>
      </c>
      <c r="H18" s="10" t="e">
        <v>#NAME?</v>
      </c>
      <c r="I18" s="10" t="e">
        <v>#NAME?</v>
      </c>
      <c r="J18" s="10" t="e">
        <v>#NAME?</v>
      </c>
      <c r="K18" s="10" t="e">
        <v>#NAME?</v>
      </c>
      <c r="L18" s="10" t="e">
        <v>#NAME?</v>
      </c>
      <c r="N18" s="4">
        <f t="shared" si="0"/>
        <v>30</v>
      </c>
      <c r="O18" s="2">
        <v>29.821073558648109</v>
      </c>
      <c r="P18" s="11" t="e">
        <v>#NAME?</v>
      </c>
      <c r="Q18" s="12" t="e">
        <v>#NAME?</v>
      </c>
    </row>
    <row r="19" spans="2:17" x14ac:dyDescent="0.25">
      <c r="B19">
        <v>18</v>
      </c>
      <c r="C19" s="10" t="e">
        <v>#NAME?</v>
      </c>
      <c r="D19" s="10" t="e">
        <v>#NAME?</v>
      </c>
      <c r="E19" s="10" t="e">
        <v>#NAME?</v>
      </c>
      <c r="F19" s="10" t="e">
        <v>#NAME?</v>
      </c>
      <c r="G19" s="10" t="e">
        <v>#NAME?</v>
      </c>
      <c r="H19" s="10" t="e">
        <v>#NAME?</v>
      </c>
      <c r="I19" s="10" t="e">
        <v>#NAME?</v>
      </c>
      <c r="J19" s="10" t="e">
        <v>#NAME?</v>
      </c>
      <c r="K19" s="10" t="e">
        <v>#NAME?</v>
      </c>
      <c r="L19" s="10" t="e">
        <v>#NAME?</v>
      </c>
      <c r="N19" s="4">
        <f t="shared" si="0"/>
        <v>40</v>
      </c>
      <c r="O19" s="2">
        <v>14.269354469118422</v>
      </c>
      <c r="P19" s="11" t="e">
        <v>#NAME?</v>
      </c>
      <c r="Q19" s="12" t="e">
        <v>#NAME?</v>
      </c>
    </row>
    <row r="20" spans="2:17" x14ac:dyDescent="0.25">
      <c r="B20">
        <v>21</v>
      </c>
      <c r="C20" s="10" t="e">
        <v>#NAME?</v>
      </c>
      <c r="D20" s="10" t="e">
        <v>#NAME?</v>
      </c>
      <c r="E20" s="10" t="e">
        <v>#NAME?</v>
      </c>
      <c r="F20" s="10" t="e">
        <v>#NAME?</v>
      </c>
      <c r="G20" s="10" t="e">
        <v>#NAME?</v>
      </c>
      <c r="H20" s="10" t="e">
        <v>#NAME?</v>
      </c>
      <c r="I20" s="10" t="e">
        <v>#NAME?</v>
      </c>
      <c r="J20" s="10" t="e">
        <v>#NAME?</v>
      </c>
      <c r="K20" s="10" t="e">
        <v>#NAME?</v>
      </c>
      <c r="L20" s="10" t="e">
        <v>#NAME?</v>
      </c>
      <c r="N20" s="4">
        <f t="shared" si="0"/>
        <v>40</v>
      </c>
      <c r="O20" s="2">
        <v>39.761431411530822</v>
      </c>
      <c r="P20" s="11" t="e">
        <v>#NAME?</v>
      </c>
      <c r="Q20" s="12" t="e">
        <v>#NAME?</v>
      </c>
    </row>
    <row r="21" spans="2:17" x14ac:dyDescent="0.25">
      <c r="B21">
        <v>24</v>
      </c>
      <c r="C21" s="10" t="e">
        <v>#NAME?</v>
      </c>
      <c r="D21" s="10" t="e">
        <v>#NAME?</v>
      </c>
      <c r="E21" s="10" t="e">
        <v>#NAME?</v>
      </c>
      <c r="F21" s="10" t="e">
        <v>#NAME?</v>
      </c>
      <c r="G21" s="10" t="e">
        <v>#NAME?</v>
      </c>
      <c r="H21" s="10" t="e">
        <v>#NAME?</v>
      </c>
      <c r="I21" s="10" t="e">
        <v>#NAME?</v>
      </c>
      <c r="J21" s="10" t="e">
        <v>#NAME?</v>
      </c>
      <c r="K21" s="10" t="e">
        <v>#NAME?</v>
      </c>
      <c r="L21" s="10" t="e">
        <v>#NAME?</v>
      </c>
      <c r="N21" s="4">
        <f t="shared" si="0"/>
        <v>50</v>
      </c>
      <c r="O21" s="2">
        <v>17.717881322542866</v>
      </c>
      <c r="P21" s="11" t="e">
        <v>#NAME?</v>
      </c>
      <c r="Q21" s="12" t="e">
        <v>#NAME?</v>
      </c>
    </row>
    <row r="22" spans="2:17" x14ac:dyDescent="0.25">
      <c r="B22">
        <v>27</v>
      </c>
      <c r="C22" s="10" t="e">
        <v>#NAME?</v>
      </c>
      <c r="D22" s="10" t="e">
        <v>#NAME?</v>
      </c>
      <c r="E22" s="10" t="e">
        <v>#NAME?</v>
      </c>
      <c r="F22" s="10" t="e">
        <v>#NAME?</v>
      </c>
      <c r="G22" s="10" t="e">
        <v>#NAME?</v>
      </c>
      <c r="H22" s="10" t="e">
        <v>#NAME?</v>
      </c>
      <c r="I22" s="10" t="e">
        <v>#NAME?</v>
      </c>
      <c r="J22" s="10" t="e">
        <v>#NAME?</v>
      </c>
      <c r="K22" s="10" t="e">
        <v>#NAME?</v>
      </c>
      <c r="L22" s="10" t="e">
        <v>#NAME?</v>
      </c>
      <c r="N22" s="4">
        <f t="shared" si="0"/>
        <v>50</v>
      </c>
      <c r="O22" s="2">
        <v>49.70178926441352</v>
      </c>
      <c r="P22" s="11" t="e">
        <v>#NAME?</v>
      </c>
      <c r="Q22" s="12" t="e">
        <v>#NAME?</v>
      </c>
    </row>
    <row r="23" spans="2:17" x14ac:dyDescent="0.25">
      <c r="B23">
        <v>30</v>
      </c>
      <c r="C23" s="10" t="e">
        <v>#NAME?</v>
      </c>
      <c r="D23" s="10" t="e">
        <v>#NAME?</v>
      </c>
      <c r="E23" s="10" t="e">
        <v>#NAME?</v>
      </c>
      <c r="F23" s="10" t="e">
        <v>#NAME?</v>
      </c>
      <c r="G23" s="10" t="e">
        <v>#NAME?</v>
      </c>
      <c r="H23" s="10" t="e">
        <v>#NAME?</v>
      </c>
      <c r="I23" s="10" t="e">
        <v>#NAME?</v>
      </c>
      <c r="J23" s="10" t="e">
        <v>#NAME?</v>
      </c>
      <c r="K23" s="10" t="e">
        <v>#NAME?</v>
      </c>
      <c r="L23" s="10" t="e">
        <v>#NAME?</v>
      </c>
      <c r="N23" s="4">
        <f t="shared" si="0"/>
        <v>60</v>
      </c>
      <c r="O23" s="2">
        <v>20.752294866419952</v>
      </c>
      <c r="P23" s="11" t="e">
        <v>#NAME?</v>
      </c>
      <c r="Q23" s="12" t="e">
        <v>#NAME?</v>
      </c>
    </row>
    <row r="24" spans="2:17" x14ac:dyDescent="0.25">
      <c r="B24">
        <v>33</v>
      </c>
      <c r="C24" s="10" t="e">
        <v>#NAME?</v>
      </c>
      <c r="D24" s="10" t="e">
        <v>#NAME?</v>
      </c>
      <c r="E24" s="10" t="e">
        <v>#NAME?</v>
      </c>
      <c r="F24" s="10" t="e">
        <v>#NAME?</v>
      </c>
      <c r="G24" s="10" t="e">
        <v>#NAME?</v>
      </c>
      <c r="H24" s="10" t="e">
        <v>#NAME?</v>
      </c>
      <c r="I24" s="10" t="e">
        <v>#NAME?</v>
      </c>
      <c r="J24" s="10" t="e">
        <v>#NAME?</v>
      </c>
      <c r="K24" s="10" t="e">
        <v>#NAME?</v>
      </c>
      <c r="L24" s="10" t="e">
        <v>#NAME?</v>
      </c>
      <c r="N24" s="4">
        <f t="shared" si="0"/>
        <v>60</v>
      </c>
      <c r="O24" s="2">
        <v>59.642147117296204</v>
      </c>
      <c r="P24" s="11" t="e">
        <v>#NAME?</v>
      </c>
      <c r="Q24" s="12" t="e">
        <v>#NAME?</v>
      </c>
    </row>
    <row r="25" spans="2:17" x14ac:dyDescent="0.25">
      <c r="B25">
        <v>36</v>
      </c>
      <c r="C25" s="10" t="e">
        <v>#NAME?</v>
      </c>
      <c r="D25" s="10" t="e">
        <v>#NAME?</v>
      </c>
      <c r="E25" s="10" t="e">
        <v>#NAME?</v>
      </c>
      <c r="F25" s="10" t="e">
        <v>#NAME?</v>
      </c>
      <c r="G25" s="10" t="e">
        <v>#NAME?</v>
      </c>
      <c r="H25" s="10" t="e">
        <v>#NAME?</v>
      </c>
      <c r="I25" s="10" t="e">
        <v>#NAME?</v>
      </c>
      <c r="J25" s="10" t="e">
        <v>#NAME?</v>
      </c>
      <c r="K25" s="10" t="e">
        <v>#NAME?</v>
      </c>
      <c r="L25" s="10" t="e">
        <v>#NAME?</v>
      </c>
      <c r="N25" s="4">
        <f t="shared" si="0"/>
        <v>70</v>
      </c>
      <c r="O25" s="2">
        <v>23.450027935925593</v>
      </c>
      <c r="P25" s="11" t="e">
        <v>#NAME?</v>
      </c>
      <c r="Q25" s="12" t="e">
        <v>#NAME?</v>
      </c>
    </row>
    <row r="26" spans="2:17" x14ac:dyDescent="0.25">
      <c r="B26">
        <v>39</v>
      </c>
      <c r="C26" s="10" t="e">
        <v>#NAME?</v>
      </c>
      <c r="D26" s="10" t="e">
        <v>#NAME?</v>
      </c>
      <c r="E26" s="10" t="e">
        <v>#NAME?</v>
      </c>
      <c r="F26" s="10" t="e">
        <v>#NAME?</v>
      </c>
      <c r="G26" s="10" t="e">
        <v>#NAME?</v>
      </c>
      <c r="H26" s="10" t="e">
        <v>#NAME?</v>
      </c>
      <c r="I26" s="10" t="e">
        <v>#NAME?</v>
      </c>
      <c r="J26" s="10" t="e">
        <v>#NAME?</v>
      </c>
      <c r="K26" s="10" t="e">
        <v>#NAME?</v>
      </c>
      <c r="L26" s="10" t="e">
        <v>#NAME?</v>
      </c>
      <c r="N26" s="4">
        <f t="shared" si="0"/>
        <v>70</v>
      </c>
      <c r="O26" s="2">
        <v>69.582504970178931</v>
      </c>
      <c r="P26" s="11" t="e">
        <v>#NAME?</v>
      </c>
      <c r="Q26" s="12" t="e">
        <v>#NAME?</v>
      </c>
    </row>
    <row r="27" spans="2:17" x14ac:dyDescent="0.25">
      <c r="B27">
        <v>42</v>
      </c>
      <c r="C27" s="10" t="e">
        <v>#NAME?</v>
      </c>
      <c r="D27" s="10" t="e">
        <v>#NAME?</v>
      </c>
      <c r="E27" s="10" t="e">
        <v>#NAME?</v>
      </c>
      <c r="F27" s="10" t="e">
        <v>#NAME?</v>
      </c>
      <c r="G27" s="10" t="e">
        <v>#NAME?</v>
      </c>
      <c r="H27" s="10" t="e">
        <v>#NAME?</v>
      </c>
      <c r="I27" s="10" t="e">
        <v>#NAME?</v>
      </c>
      <c r="J27" s="10" t="e">
        <v>#NAME?</v>
      </c>
      <c r="K27" s="10" t="e">
        <v>#NAME?</v>
      </c>
      <c r="L27" s="10" t="e">
        <v>#NAME?</v>
      </c>
      <c r="N27" s="4">
        <f t="shared" si="0"/>
        <v>80</v>
      </c>
      <c r="O27" s="2">
        <v>25.871020454976467</v>
      </c>
      <c r="P27" s="11" t="e">
        <v>#NAME?</v>
      </c>
      <c r="Q27" s="12" t="e">
        <v>#NAME?</v>
      </c>
    </row>
    <row r="28" spans="2:17" x14ac:dyDescent="0.25">
      <c r="B28">
        <v>45</v>
      </c>
      <c r="C28" s="10" t="e">
        <v>#NAME?</v>
      </c>
      <c r="D28" s="10" t="e">
        <v>#NAME?</v>
      </c>
      <c r="E28" s="10" t="e">
        <v>#NAME?</v>
      </c>
      <c r="F28" s="10" t="e">
        <v>#NAME?</v>
      </c>
      <c r="G28" s="10" t="e">
        <v>#NAME?</v>
      </c>
      <c r="H28" s="10" t="e">
        <v>#NAME?</v>
      </c>
      <c r="I28" s="10" t="e">
        <v>#NAME?</v>
      </c>
      <c r="J28" s="10" t="e">
        <v>#NAME?</v>
      </c>
      <c r="K28" s="10" t="e">
        <v>#NAME?</v>
      </c>
      <c r="L28" s="10" t="e">
        <v>#NAME?</v>
      </c>
      <c r="N28" s="4">
        <f t="shared" si="0"/>
        <v>80</v>
      </c>
      <c r="O28" s="2">
        <v>79.522862823061629</v>
      </c>
      <c r="P28" s="11" t="e">
        <v>#NAME?</v>
      </c>
      <c r="Q28" s="12" t="e">
        <v>#NAME?</v>
      </c>
    </row>
    <row r="29" spans="2:17" x14ac:dyDescent="0.25">
      <c r="B29">
        <v>48</v>
      </c>
      <c r="C29" s="10" t="e">
        <v>#NAME?</v>
      </c>
      <c r="D29" s="10" t="e">
        <v>#NAME?</v>
      </c>
      <c r="E29" s="10" t="e">
        <v>#NAME?</v>
      </c>
      <c r="F29" s="10" t="e">
        <v>#NAME?</v>
      </c>
      <c r="G29" s="10" t="e">
        <v>#NAME?</v>
      </c>
      <c r="H29" s="10" t="e">
        <v>#NAME?</v>
      </c>
      <c r="I29" s="10" t="e">
        <v>#NAME?</v>
      </c>
      <c r="J29" s="10" t="e">
        <v>#NAME?</v>
      </c>
      <c r="K29" s="10" t="e">
        <v>#NAME?</v>
      </c>
      <c r="L29" s="10" t="e">
        <v>#NAME?</v>
      </c>
      <c r="N29" s="4">
        <f t="shared" si="0"/>
        <v>90</v>
      </c>
      <c r="O29" s="2">
        <v>28.061900791075892</v>
      </c>
      <c r="P29" s="11" t="e">
        <v>#NAME?</v>
      </c>
      <c r="Q29" s="12" t="e">
        <v>#NAME?</v>
      </c>
    </row>
    <row r="30" spans="2:17" x14ac:dyDescent="0.25">
      <c r="B30">
        <v>51</v>
      </c>
      <c r="C30" s="10" t="e">
        <v>#NAME?</v>
      </c>
      <c r="D30" s="10" t="e">
        <v>#NAME?</v>
      </c>
      <c r="E30" s="10" t="e">
        <v>#NAME?</v>
      </c>
      <c r="F30" s="10" t="e">
        <v>#NAME?</v>
      </c>
      <c r="G30" s="10" t="e">
        <v>#NAME?</v>
      </c>
      <c r="H30" s="10" t="e">
        <v>#NAME?</v>
      </c>
      <c r="I30" s="10" t="e">
        <v>#NAME?</v>
      </c>
      <c r="J30" s="10" t="e">
        <v>#NAME?</v>
      </c>
      <c r="K30" s="10" t="e">
        <v>#NAME?</v>
      </c>
      <c r="L30" s="10" t="e">
        <v>#NAME?</v>
      </c>
      <c r="N30" s="4">
        <f t="shared" si="0"/>
        <v>90</v>
      </c>
      <c r="O30" s="2">
        <v>89.463220675944342</v>
      </c>
      <c r="P30" s="11" t="e">
        <v>#NAME?</v>
      </c>
      <c r="Q30" s="12" t="e">
        <v>#NAME?</v>
      </c>
    </row>
    <row r="31" spans="2:17" x14ac:dyDescent="0.25">
      <c r="B31">
        <v>54</v>
      </c>
      <c r="C31" s="10" t="e">
        <v>#NAME?</v>
      </c>
      <c r="D31" s="10" t="e">
        <v>#NAME?</v>
      </c>
      <c r="E31" s="10" t="e">
        <v>#NAME?</v>
      </c>
      <c r="F31" s="10" t="e">
        <v>#NAME?</v>
      </c>
      <c r="G31" s="10" t="e">
        <v>#NAME?</v>
      </c>
      <c r="H31" s="10" t="e">
        <v>#NAME?</v>
      </c>
      <c r="I31" s="10" t="e">
        <v>#NAME?</v>
      </c>
      <c r="J31" s="10" t="e">
        <v>#NAME?</v>
      </c>
      <c r="K31" s="10" t="e">
        <v>#NAME?</v>
      </c>
      <c r="L31" s="10" t="e">
        <v>#NAME?</v>
      </c>
      <c r="N31" s="4">
        <f t="shared" si="0"/>
        <v>100</v>
      </c>
      <c r="O31" s="2">
        <v>30.059177928911193</v>
      </c>
      <c r="P31" s="11" t="e">
        <v>#NAME?</v>
      </c>
      <c r="Q31" s="12" t="e">
        <v>#NAME?</v>
      </c>
    </row>
    <row r="32" spans="2:17" x14ac:dyDescent="0.25">
      <c r="N32" s="4">
        <f t="shared" si="0"/>
        <v>100</v>
      </c>
      <c r="O32" s="2">
        <v>99.40357852882704</v>
      </c>
      <c r="P32" s="11" t="e">
        <v>#NAME?</v>
      </c>
      <c r="Q32" s="12" t="e">
        <v>#NAME?</v>
      </c>
    </row>
    <row r="33" spans="4:17" x14ac:dyDescent="0.25">
      <c r="D33" s="13"/>
      <c r="N33" s="4">
        <f t="shared" si="0"/>
        <v>110</v>
      </c>
      <c r="O33" s="2">
        <v>31.891794505170921</v>
      </c>
      <c r="P33" s="11" t="e">
        <v>#NAME?</v>
      </c>
      <c r="Q33" s="12" t="e">
        <v>#NAME?</v>
      </c>
    </row>
    <row r="34" spans="4:17" x14ac:dyDescent="0.25">
      <c r="N34" s="4">
        <f t="shared" si="0"/>
        <v>110</v>
      </c>
      <c r="O34" s="2">
        <v>109.34393638170974</v>
      </c>
      <c r="P34" s="11" t="e">
        <v>#NAME?</v>
      </c>
      <c r="Q34" s="12" t="e">
        <v>#NAME?</v>
      </c>
    </row>
    <row r="35" spans="4:17" x14ac:dyDescent="0.25">
      <c r="N35" s="4">
        <f t="shared" si="0"/>
        <v>120</v>
      </c>
      <c r="O35" s="2">
        <v>33.582953624135556</v>
      </c>
      <c r="P35" s="11" t="e">
        <v>#NAME?</v>
      </c>
      <c r="Q35" s="12" t="e">
        <v>#NAME?</v>
      </c>
    </row>
    <row r="36" spans="4:17" x14ac:dyDescent="0.25">
      <c r="N36" s="4">
        <f t="shared" si="0"/>
        <v>120</v>
      </c>
      <c r="O36" s="2">
        <v>119.28429423459244</v>
      </c>
      <c r="P36" s="11" t="e">
        <v>#NAME?</v>
      </c>
      <c r="Q36" s="12" t="e">
        <v>#NAME?</v>
      </c>
    </row>
  </sheetData>
  <customSheetViews>
    <customSheetView guid="{038F7421-093D-47DD-9CD5-8B18793407C7}" state="hidden">
      <selection activeCell="R14" sqref="R14"/>
      <pageMargins left="0.75" right="0.75" top="1" bottom="1" header="0.5" footer="0.5"/>
      <pageSetup orientation="portrait" horizontalDpi="300" verticalDpi="300" r:id="rId1"/>
      <headerFooter alignWithMargins="0"/>
    </customSheetView>
    <customSheetView guid="{BDC19292-67D0-4AF6-AD75-122837AE8A2E}" state="hidden">
      <selection activeCell="R14" sqref="R14"/>
      <pageMargins left="0.75" right="0.75" top="1" bottom="1" header="0.5" footer="0.5"/>
      <pageSetup orientation="portrait" horizontalDpi="300" verticalDpi="300" r:id="rId2"/>
      <headerFooter alignWithMargins="0"/>
    </customSheetView>
  </customSheetViews>
  <mergeCells count="1">
    <mergeCell ref="A1:D1"/>
  </mergeCells>
  <phoneticPr fontId="0" type="noConversion"/>
  <pageMargins left="0.75" right="0.75" top="1" bottom="1" header="0.5" footer="0.5"/>
  <pageSetup orientation="portrait" horizontalDpi="300" verticalDpi="300"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4"/>
  <sheetViews>
    <sheetView workbookViewId="0"/>
  </sheetViews>
  <sheetFormatPr defaultRowHeight="12.5" x14ac:dyDescent="0.25"/>
  <cols>
    <col min="1" max="1" width="21.453125" customWidth="1"/>
    <col min="3" max="17" width="2.54296875" customWidth="1"/>
  </cols>
  <sheetData>
    <row r="1" spans="1:23" ht="15.5" x14ac:dyDescent="0.35">
      <c r="A1" s="439" t="s">
        <v>423</v>
      </c>
    </row>
    <row r="2" spans="1:23" ht="13" x14ac:dyDescent="0.3">
      <c r="A2" s="440">
        <v>595.9</v>
      </c>
      <c r="B2" s="441">
        <v>-0.54500000000000004</v>
      </c>
      <c r="C2" s="441"/>
      <c r="D2" s="441"/>
      <c r="E2" s="441"/>
      <c r="F2" s="441"/>
      <c r="G2" s="441"/>
      <c r="H2" s="441"/>
      <c r="I2" s="441"/>
      <c r="J2" s="441"/>
      <c r="K2" s="441"/>
      <c r="L2" s="441"/>
      <c r="M2" s="441"/>
      <c r="N2" s="441"/>
      <c r="O2" s="441"/>
      <c r="P2" s="441"/>
      <c r="Q2" s="441"/>
      <c r="R2" s="441">
        <v>0.11</v>
      </c>
      <c r="S2" s="442"/>
      <c r="T2" s="452">
        <v>29</v>
      </c>
      <c r="U2" s="435" t="s">
        <v>424</v>
      </c>
      <c r="V2" s="435"/>
      <c r="W2" s="435"/>
    </row>
    <row r="3" spans="1:23" ht="17.5" x14ac:dyDescent="0.45">
      <c r="A3" s="440" t="s">
        <v>48</v>
      </c>
      <c r="B3" s="440" t="s">
        <v>49</v>
      </c>
      <c r="C3" s="441"/>
      <c r="D3" s="441"/>
      <c r="E3" s="441"/>
      <c r="F3" s="441"/>
      <c r="G3" s="441"/>
      <c r="H3" s="441"/>
      <c r="I3" s="441"/>
      <c r="J3" s="441"/>
      <c r="K3" s="441"/>
      <c r="L3" s="441"/>
      <c r="M3" s="441"/>
      <c r="N3" s="441"/>
      <c r="O3" s="441"/>
      <c r="P3" s="441"/>
      <c r="Q3" s="441"/>
      <c r="R3" s="443" t="s">
        <v>425</v>
      </c>
      <c r="S3" s="442"/>
      <c r="T3" s="444" t="s">
        <v>399</v>
      </c>
    </row>
    <row r="4" spans="1:23" ht="15.5" x14ac:dyDescent="0.35">
      <c r="A4" s="14" t="s">
        <v>426</v>
      </c>
      <c r="B4" s="14"/>
      <c r="R4" s="416"/>
      <c r="T4" s="452">
        <v>30</v>
      </c>
      <c r="U4" s="435" t="s">
        <v>427</v>
      </c>
      <c r="V4" s="435"/>
      <c r="W4" s="435"/>
    </row>
    <row r="5" spans="1:23" ht="15.5" x14ac:dyDescent="0.35">
      <c r="A5" s="14"/>
      <c r="B5" s="14"/>
      <c r="R5" s="416"/>
      <c r="T5" s="14"/>
    </row>
    <row r="6" spans="1:23" ht="15.5" x14ac:dyDescent="0.35">
      <c r="A6" s="14"/>
      <c r="B6" s="14"/>
      <c r="R6" s="416"/>
      <c r="T6" s="14"/>
    </row>
    <row r="7" spans="1:23" ht="15.5" x14ac:dyDescent="0.35">
      <c r="A7" s="14"/>
      <c r="B7" s="14"/>
      <c r="R7" s="416"/>
      <c r="T7" s="14"/>
    </row>
    <row r="8" spans="1:23" ht="15.5" x14ac:dyDescent="0.35">
      <c r="A8" s="14"/>
      <c r="B8" s="14"/>
      <c r="R8" s="416"/>
      <c r="T8" s="14"/>
    </row>
    <row r="9" spans="1:23" ht="15.5" x14ac:dyDescent="0.35">
      <c r="A9" s="14"/>
      <c r="B9" s="14"/>
      <c r="R9" s="416"/>
      <c r="T9" s="14"/>
    </row>
    <row r="10" spans="1:23" ht="15.5" x14ac:dyDescent="0.35">
      <c r="A10" s="14"/>
      <c r="B10" s="14"/>
      <c r="R10" s="416"/>
      <c r="T10" s="14"/>
    </row>
    <row r="11" spans="1:23" ht="15.5" x14ac:dyDescent="0.35">
      <c r="A11" s="14"/>
      <c r="B11" s="14"/>
      <c r="R11" s="416"/>
      <c r="T11" s="14"/>
    </row>
    <row r="12" spans="1:23" ht="15.5" x14ac:dyDescent="0.35">
      <c r="A12" s="14"/>
      <c r="B12" s="14"/>
      <c r="R12" s="416"/>
      <c r="T12" s="14"/>
    </row>
    <row r="13" spans="1:23" ht="23" x14ac:dyDescent="0.5">
      <c r="A13" s="447" t="s">
        <v>432</v>
      </c>
      <c r="B13" s="447"/>
      <c r="C13" s="447"/>
      <c r="D13" s="447"/>
      <c r="E13" s="447"/>
      <c r="F13" s="447"/>
      <c r="G13" s="447"/>
      <c r="H13" s="447"/>
      <c r="I13" s="447"/>
      <c r="J13" s="447"/>
      <c r="K13" s="447"/>
      <c r="L13" s="447"/>
      <c r="M13" s="447"/>
      <c r="N13" s="447"/>
      <c r="O13" s="447"/>
      <c r="P13" s="447"/>
      <c r="Q13" s="447"/>
      <c r="R13" s="447"/>
      <c r="S13" s="447"/>
      <c r="T13" s="447"/>
      <c r="U13" s="447"/>
      <c r="V13" s="447"/>
      <c r="W13" s="447"/>
    </row>
    <row r="14" spans="1:23" ht="22.5" x14ac:dyDescent="0.45">
      <c r="A14" s="448" t="s">
        <v>428</v>
      </c>
      <c r="B14" s="447"/>
      <c r="C14" s="447"/>
      <c r="D14" s="447"/>
      <c r="E14" s="447"/>
      <c r="F14" s="447"/>
      <c r="G14" s="447"/>
      <c r="H14" s="447"/>
      <c r="I14" s="447"/>
      <c r="J14" s="447"/>
      <c r="K14" s="447"/>
      <c r="L14" s="447"/>
      <c r="M14" s="447"/>
      <c r="N14" s="447"/>
      <c r="O14" s="447"/>
      <c r="P14" s="447"/>
      <c r="Q14" s="447"/>
      <c r="R14" s="447"/>
      <c r="S14" s="447"/>
      <c r="T14" s="447"/>
      <c r="U14" s="447"/>
      <c r="V14" s="447"/>
      <c r="W14" s="447"/>
    </row>
    <row r="15" spans="1:23" ht="22.5" x14ac:dyDescent="0.45">
      <c r="A15" s="449">
        <f>6.1078*EXP((($A$2-273*$B$2)/$R$2)*((1/273)-(1/(T2+273)))+($B$2/$R$2)*LN((T2+273)/273))</f>
        <v>40.070792240813901</v>
      </c>
      <c r="B15" s="449" t="s">
        <v>429</v>
      </c>
      <c r="C15" s="447"/>
      <c r="D15" s="447"/>
      <c r="E15" s="447"/>
      <c r="F15" s="447"/>
      <c r="G15" s="447"/>
      <c r="H15" s="447"/>
      <c r="I15" s="447"/>
      <c r="J15" s="447"/>
      <c r="K15" s="447"/>
      <c r="L15" s="447"/>
      <c r="M15" s="447"/>
      <c r="N15" s="447"/>
      <c r="O15" s="447"/>
      <c r="P15" s="447"/>
      <c r="Q15" s="447"/>
      <c r="R15" s="447"/>
      <c r="S15" s="447"/>
      <c r="T15" s="447"/>
      <c r="U15" s="447"/>
      <c r="V15" s="447"/>
      <c r="W15" s="447"/>
    </row>
    <row r="16" spans="1:23" ht="22.5" x14ac:dyDescent="0.45">
      <c r="A16" s="450">
        <f>6.1078*EXP(((A2-273*B2)/R2)*((1/273)-(1/(T4+273)))+(B2/R2)*LN((T4+273)/273))</f>
        <v>42.44680936307001</v>
      </c>
      <c r="B16" s="449" t="s">
        <v>430</v>
      </c>
      <c r="C16" s="447"/>
      <c r="D16" s="447"/>
      <c r="E16" s="447"/>
      <c r="F16" s="447"/>
      <c r="G16" s="447"/>
      <c r="H16" s="447"/>
      <c r="I16" s="447"/>
      <c r="J16" s="447"/>
      <c r="K16" s="447"/>
      <c r="L16" s="447"/>
      <c r="M16" s="447"/>
      <c r="N16" s="447"/>
      <c r="O16" s="447"/>
      <c r="P16" s="447"/>
      <c r="Q16" s="447"/>
      <c r="R16" s="447"/>
      <c r="S16" s="447"/>
      <c r="T16" s="447"/>
      <c r="U16" s="447"/>
      <c r="V16" s="447"/>
      <c r="W16" s="447"/>
    </row>
    <row r="17" spans="1:21" ht="14" x14ac:dyDescent="0.35">
      <c r="A17" s="445" t="s">
        <v>431</v>
      </c>
      <c r="B17" s="14"/>
      <c r="C17" s="14"/>
    </row>
    <row r="18" spans="1:21" x14ac:dyDescent="0.25">
      <c r="A18" s="451" t="s">
        <v>50</v>
      </c>
    </row>
    <row r="19" spans="1:21" x14ac:dyDescent="0.25">
      <c r="T19" s="14" t="s">
        <v>399</v>
      </c>
      <c r="U19" s="14" t="s">
        <v>404</v>
      </c>
    </row>
    <row r="20" spans="1:21" x14ac:dyDescent="0.25">
      <c r="T20">
        <v>0</v>
      </c>
      <c r="U20" s="446">
        <f>6.1078*EXP((($A$2-273*$B$2)/$R$2)*((1/273)-(1/(T20+273)))+($B$2/$R$2)*LN((T20+273)/273))</f>
        <v>6.1078000000000001</v>
      </c>
    </row>
    <row r="21" spans="1:21" x14ac:dyDescent="0.25">
      <c r="T21">
        <f>+T20+1</f>
        <v>1</v>
      </c>
      <c r="U21" s="446">
        <f>6.1078*EXP((($A$2-273*$B$2)/$R$2)*((1/273)-(1/(T21+273)))+($B$2/$R$2)*LN((T21+273)/273))</f>
        <v>6.5663298986167291</v>
      </c>
    </row>
    <row r="22" spans="1:21" x14ac:dyDescent="0.25">
      <c r="T22">
        <f t="shared" ref="T22:T70" si="0">+T21+1</f>
        <v>2</v>
      </c>
      <c r="U22" s="446">
        <f t="shared" ref="U22:U70" si="1">6.1078*EXP((($A$2-273*$B$2)/$R$2)*((1/273)-(1/(T22+273)))+($B$2/$R$2)*LN((T22+273)/273))</f>
        <v>7.0551035629647938</v>
      </c>
    </row>
    <row r="23" spans="1:21" x14ac:dyDescent="0.25">
      <c r="T23">
        <f t="shared" si="0"/>
        <v>3</v>
      </c>
      <c r="U23" s="446">
        <f t="shared" si="1"/>
        <v>7.5758225130786956</v>
      </c>
    </row>
    <row r="24" spans="1:21" x14ac:dyDescent="0.25">
      <c r="T24">
        <f t="shared" si="0"/>
        <v>4</v>
      </c>
      <c r="U24" s="446">
        <f t="shared" si="1"/>
        <v>8.1302659002504871</v>
      </c>
    </row>
    <row r="25" spans="1:21" x14ac:dyDescent="0.25">
      <c r="T25">
        <f t="shared" si="0"/>
        <v>5</v>
      </c>
      <c r="U25" s="446">
        <f t="shared" si="1"/>
        <v>8.7202930889474377</v>
      </c>
    </row>
    <row r="26" spans="1:21" x14ac:dyDescent="0.25">
      <c r="T26">
        <f t="shared" si="0"/>
        <v>6</v>
      </c>
      <c r="U26" s="446">
        <f t="shared" si="1"/>
        <v>9.3478462818937746</v>
      </c>
    </row>
    <row r="27" spans="1:21" x14ac:dyDescent="0.25">
      <c r="T27">
        <f t="shared" si="0"/>
        <v>7</v>
      </c>
      <c r="U27" s="446">
        <f t="shared" si="1"/>
        <v>10.014953187429604</v>
      </c>
    </row>
    <row r="28" spans="1:21" x14ac:dyDescent="0.25">
      <c r="T28">
        <f t="shared" si="0"/>
        <v>8</v>
      </c>
      <c r="U28" s="446">
        <f t="shared" si="1"/>
        <v>10.72372972819988</v>
      </c>
    </row>
    <row r="29" spans="1:21" x14ac:dyDescent="0.25">
      <c r="T29">
        <f t="shared" si="0"/>
        <v>9</v>
      </c>
      <c r="U29" s="446">
        <f t="shared" si="1"/>
        <v>11.476382790165946</v>
      </c>
    </row>
    <row r="30" spans="1:21" x14ac:dyDescent="0.25">
      <c r="T30">
        <f t="shared" si="0"/>
        <v>10</v>
      </c>
      <c r="U30" s="446">
        <f t="shared" si="1"/>
        <v>12.27521301087326</v>
      </c>
    </row>
    <row r="31" spans="1:21" x14ac:dyDescent="0.25">
      <c r="T31">
        <f t="shared" si="0"/>
        <v>11</v>
      </c>
      <c r="U31" s="446">
        <f t="shared" si="1"/>
        <v>13.122617605849344</v>
      </c>
    </row>
    <row r="32" spans="1:21" x14ac:dyDescent="0.25">
      <c r="T32">
        <f t="shared" si="0"/>
        <v>12</v>
      </c>
      <c r="U32" s="446">
        <f t="shared" si="1"/>
        <v>14.021093231948827</v>
      </c>
    </row>
    <row r="33" spans="20:21" x14ac:dyDescent="0.25">
      <c r="T33">
        <f t="shared" si="0"/>
        <v>13</v>
      </c>
      <c r="U33" s="446">
        <f t="shared" si="1"/>
        <v>14.973238886404125</v>
      </c>
    </row>
    <row r="34" spans="20:21" x14ac:dyDescent="0.25">
      <c r="T34">
        <f t="shared" si="0"/>
        <v>14</v>
      </c>
      <c r="U34" s="446">
        <f t="shared" si="1"/>
        <v>15.981758840284604</v>
      </c>
    </row>
    <row r="35" spans="20:21" x14ac:dyDescent="0.25">
      <c r="T35">
        <f t="shared" si="0"/>
        <v>15</v>
      </c>
      <c r="U35" s="446">
        <f t="shared" si="1"/>
        <v>17.049465605011211</v>
      </c>
    </row>
    <row r="36" spans="20:21" x14ac:dyDescent="0.25">
      <c r="T36">
        <f t="shared" si="0"/>
        <v>16</v>
      </c>
      <c r="U36" s="446">
        <f t="shared" si="1"/>
        <v>18.179282930518987</v>
      </c>
    </row>
    <row r="37" spans="20:21" x14ac:dyDescent="0.25">
      <c r="T37">
        <f t="shared" si="0"/>
        <v>17</v>
      </c>
      <c r="U37" s="446">
        <f t="shared" si="1"/>
        <v>19.374248833607403</v>
      </c>
    </row>
    <row r="38" spans="20:21" x14ac:dyDescent="0.25">
      <c r="T38">
        <f t="shared" si="0"/>
        <v>18</v>
      </c>
      <c r="U38" s="446">
        <f t="shared" si="1"/>
        <v>20.637518654964602</v>
      </c>
    </row>
    <row r="39" spans="20:21" x14ac:dyDescent="0.25">
      <c r="T39">
        <f t="shared" si="0"/>
        <v>19</v>
      </c>
      <c r="U39" s="446">
        <f t="shared" si="1"/>
        <v>21.972368143303246</v>
      </c>
    </row>
    <row r="40" spans="20:21" x14ac:dyDescent="0.25">
      <c r="T40">
        <f t="shared" si="0"/>
        <v>20</v>
      </c>
      <c r="U40" s="446">
        <f t="shared" si="1"/>
        <v>23.382196564993848</v>
      </c>
    </row>
    <row r="41" spans="20:21" x14ac:dyDescent="0.25">
      <c r="T41">
        <f t="shared" si="0"/>
        <v>21</v>
      </c>
      <c r="U41" s="446">
        <f t="shared" si="1"/>
        <v>24.870529837535305</v>
      </c>
    </row>
    <row r="42" spans="20:21" x14ac:dyDescent="0.25">
      <c r="T42">
        <f t="shared" si="0"/>
        <v>22</v>
      </c>
      <c r="U42" s="446">
        <f t="shared" si="1"/>
        <v>26.44102368515399</v>
      </c>
    </row>
    <row r="43" spans="20:21" x14ac:dyDescent="0.25">
      <c r="T43">
        <f t="shared" si="0"/>
        <v>23</v>
      </c>
      <c r="U43" s="446">
        <f t="shared" si="1"/>
        <v>28.097466814780116</v>
      </c>
    </row>
    <row r="44" spans="20:21" x14ac:dyDescent="0.25">
      <c r="T44">
        <f t="shared" si="0"/>
        <v>24</v>
      </c>
      <c r="U44" s="446">
        <f t="shared" si="1"/>
        <v>29.843784110604556</v>
      </c>
    </row>
    <row r="45" spans="20:21" x14ac:dyDescent="0.25">
      <c r="T45">
        <f t="shared" si="0"/>
        <v>25</v>
      </c>
      <c r="U45" s="446">
        <f t="shared" si="1"/>
        <v>31.684039845378127</v>
      </c>
    </row>
    <row r="46" spans="20:21" x14ac:dyDescent="0.25">
      <c r="T46">
        <f t="shared" si="0"/>
        <v>26</v>
      </c>
      <c r="U46" s="446">
        <f t="shared" si="1"/>
        <v>33.622440906577687</v>
      </c>
    </row>
    <row r="47" spans="20:21" x14ac:dyDescent="0.25">
      <c r="T47">
        <f t="shared" si="0"/>
        <v>27</v>
      </c>
      <c r="U47" s="446">
        <f t="shared" si="1"/>
        <v>35.663340035521294</v>
      </c>
    </row>
    <row r="48" spans="20:21" x14ac:dyDescent="0.25">
      <c r="T48">
        <f t="shared" si="0"/>
        <v>28</v>
      </c>
      <c r="U48" s="446">
        <f t="shared" si="1"/>
        <v>37.811239077482171</v>
      </c>
    </row>
    <row r="49" spans="20:21" x14ac:dyDescent="0.25">
      <c r="T49">
        <f t="shared" si="0"/>
        <v>29</v>
      </c>
      <c r="U49" s="446">
        <f t="shared" si="1"/>
        <v>40.070792240813901</v>
      </c>
    </row>
    <row r="50" spans="20:21" x14ac:dyDescent="0.25">
      <c r="T50">
        <f t="shared" si="0"/>
        <v>30</v>
      </c>
      <c r="U50" s="446">
        <f t="shared" si="1"/>
        <v>42.44680936307001</v>
      </c>
    </row>
    <row r="51" spans="20:21" x14ac:dyDescent="0.25">
      <c r="T51">
        <f t="shared" si="0"/>
        <v>31</v>
      </c>
      <c r="U51" s="446">
        <f t="shared" si="1"/>
        <v>44.944259182067157</v>
      </c>
    </row>
    <row r="52" spans="20:21" x14ac:dyDescent="0.25">
      <c r="T52">
        <f t="shared" si="0"/>
        <v>32</v>
      </c>
      <c r="U52" s="446">
        <f t="shared" si="1"/>
        <v>47.56827260981504</v>
      </c>
    </row>
    <row r="53" spans="20:21" x14ac:dyDescent="0.25">
      <c r="T53">
        <f t="shared" si="0"/>
        <v>33</v>
      </c>
      <c r="U53" s="446">
        <f t="shared" si="1"/>
        <v>50.324146007209876</v>
      </c>
    </row>
    <row r="54" spans="20:21" x14ac:dyDescent="0.25">
      <c r="T54">
        <f t="shared" si="0"/>
        <v>34</v>
      </c>
      <c r="U54" s="446">
        <f t="shared" si="1"/>
        <v>53.217344457361726</v>
      </c>
    </row>
    <row r="55" spans="20:21" x14ac:dyDescent="0.25">
      <c r="T55">
        <f t="shared" si="0"/>
        <v>35</v>
      </c>
      <c r="U55" s="446">
        <f t="shared" si="1"/>
        <v>56.253505035406491</v>
      </c>
    </row>
    <row r="56" spans="20:21" x14ac:dyDescent="0.25">
      <c r="T56">
        <f t="shared" si="0"/>
        <v>36</v>
      </c>
      <c r="U56" s="446">
        <f t="shared" si="1"/>
        <v>59.43844007263192</v>
      </c>
    </row>
    <row r="57" spans="20:21" x14ac:dyDescent="0.25">
      <c r="T57">
        <f t="shared" si="0"/>
        <v>37</v>
      </c>
      <c r="U57" s="446">
        <f t="shared" si="1"/>
        <v>62.778140412728519</v>
      </c>
    </row>
    <row r="58" spans="20:21" x14ac:dyDescent="0.25">
      <c r="T58">
        <f t="shared" si="0"/>
        <v>38</v>
      </c>
      <c r="U58" s="446">
        <f t="shared" si="1"/>
        <v>66.278778657961965</v>
      </c>
    </row>
    <row r="59" spans="20:21" x14ac:dyDescent="0.25">
      <c r="T59">
        <f t="shared" si="0"/>
        <v>39</v>
      </c>
      <c r="U59" s="446">
        <f t="shared" si="1"/>
        <v>69.946712403049361</v>
      </c>
    </row>
    <row r="60" spans="20:21" x14ac:dyDescent="0.25">
      <c r="T60">
        <f t="shared" si="0"/>
        <v>40</v>
      </c>
      <c r="U60" s="446">
        <f t="shared" si="1"/>
        <v>73.788487454509252</v>
      </c>
    </row>
    <row r="61" spans="20:21" x14ac:dyDescent="0.25">
      <c r="T61">
        <f t="shared" si="0"/>
        <v>41</v>
      </c>
      <c r="U61" s="446">
        <f t="shared" si="1"/>
        <v>77.810841033248082</v>
      </c>
    </row>
    <row r="62" spans="20:21" x14ac:dyDescent="0.25">
      <c r="T62">
        <f t="shared" si="0"/>
        <v>42</v>
      </c>
      <c r="U62" s="446">
        <f t="shared" si="1"/>
        <v>82.020704958137983</v>
      </c>
    </row>
    <row r="63" spans="20:21" x14ac:dyDescent="0.25">
      <c r="T63">
        <f t="shared" si="0"/>
        <v>43</v>
      </c>
      <c r="U63" s="446">
        <f t="shared" si="1"/>
        <v>86.42520880833321</v>
      </c>
    </row>
    <row r="64" spans="20:21" x14ac:dyDescent="0.25">
      <c r="T64">
        <f t="shared" si="0"/>
        <v>44</v>
      </c>
      <c r="U64" s="446">
        <f t="shared" si="1"/>
        <v>91.031683062077207</v>
      </c>
    </row>
    <row r="65" spans="20:21" x14ac:dyDescent="0.25">
      <c r="T65">
        <f t="shared" si="0"/>
        <v>45</v>
      </c>
      <c r="U65" s="446">
        <f t="shared" si="1"/>
        <v>95.847662209741898</v>
      </c>
    </row>
    <row r="66" spans="20:21" x14ac:dyDescent="0.25">
      <c r="T66">
        <f t="shared" si="0"/>
        <v>46</v>
      </c>
      <c r="U66" s="446">
        <f t="shared" si="1"/>
        <v>100.88088783885281</v>
      </c>
    </row>
    <row r="67" spans="20:21" x14ac:dyDescent="0.25">
      <c r="T67">
        <f t="shared" si="0"/>
        <v>47</v>
      </c>
      <c r="U67" s="446">
        <f t="shared" si="1"/>
        <v>106.13931168884635</v>
      </c>
    </row>
    <row r="68" spans="20:21" x14ac:dyDescent="0.25">
      <c r="T68">
        <f t="shared" si="0"/>
        <v>48</v>
      </c>
      <c r="U68" s="446">
        <f t="shared" si="1"/>
        <v>111.63109867332707</v>
      </c>
    </row>
    <row r="69" spans="20:21" x14ac:dyDescent="0.25">
      <c r="T69">
        <f t="shared" si="0"/>
        <v>49</v>
      </c>
      <c r="U69" s="446">
        <f t="shared" si="1"/>
        <v>117.36462986758016</v>
      </c>
    </row>
    <row r="70" spans="20:21" x14ac:dyDescent="0.25">
      <c r="T70">
        <f t="shared" si="0"/>
        <v>50</v>
      </c>
      <c r="U70" s="446">
        <f t="shared" si="1"/>
        <v>123.3485054591266</v>
      </c>
    </row>
    <row r="71" spans="20:21" x14ac:dyDescent="0.25">
      <c r="U71" s="446"/>
    </row>
    <row r="72" spans="20:21" x14ac:dyDescent="0.25">
      <c r="U72" s="446"/>
    </row>
    <row r="73" spans="20:21" x14ac:dyDescent="0.25">
      <c r="U73" s="446"/>
    </row>
    <row r="74" spans="20:21" x14ac:dyDescent="0.25">
      <c r="U74" s="446"/>
    </row>
  </sheetData>
  <hyperlinks>
    <hyperlink ref="A18"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51"/>
  <sheetViews>
    <sheetView tabSelected="1" workbookViewId="0">
      <selection sqref="A1:G3"/>
    </sheetView>
  </sheetViews>
  <sheetFormatPr defaultRowHeight="12.5" x14ac:dyDescent="0.25"/>
  <cols>
    <col min="1" max="1" width="4.7265625" customWidth="1"/>
    <col min="2" max="2" width="6.54296875" customWidth="1"/>
    <col min="3" max="3" width="8" customWidth="1"/>
    <col min="4" max="4" width="8.54296875" customWidth="1"/>
    <col min="5" max="5" width="8.1796875" customWidth="1"/>
    <col min="6" max="6" width="7.26953125" customWidth="1"/>
    <col min="7" max="7" width="8.26953125" customWidth="1"/>
    <col min="8" max="8" width="7.453125" customWidth="1"/>
    <col min="9" max="9" width="8.7265625" customWidth="1"/>
    <col min="10" max="10" width="12.54296875" customWidth="1"/>
    <col min="11" max="11" width="12" customWidth="1"/>
    <col min="12" max="12" width="8" customWidth="1"/>
    <col min="13" max="13" width="9.54296875" style="25" customWidth="1"/>
    <col min="14" max="14" width="8.7265625" style="25" customWidth="1"/>
    <col min="15" max="15" width="6.453125" style="25" customWidth="1"/>
    <col min="16" max="16" width="12.26953125" style="25" customWidth="1"/>
    <col min="17" max="17" width="9.1796875" style="25" customWidth="1"/>
    <col min="18" max="19" width="11.54296875" style="25" customWidth="1"/>
    <col min="20" max="20" width="7.453125" style="25" customWidth="1"/>
    <col min="21" max="21" width="8.26953125" customWidth="1"/>
    <col min="22" max="22" width="12.7265625" customWidth="1"/>
    <col min="23" max="23" width="11.81640625" customWidth="1"/>
    <col min="24" max="24" width="9.81640625" customWidth="1"/>
    <col min="25" max="27" width="6.1796875" bestFit="1" customWidth="1"/>
    <col min="28" max="28" width="9.7265625" customWidth="1"/>
    <col min="29" max="29" width="12.81640625" customWidth="1"/>
    <col min="30" max="30" width="7.26953125" customWidth="1"/>
    <col min="31" max="31" width="9.26953125" customWidth="1"/>
    <col min="32" max="32" width="8.81640625" customWidth="1"/>
    <col min="33" max="33" width="1.26953125" style="62" customWidth="1"/>
    <col min="34" max="34" width="11.7265625" style="94" customWidth="1"/>
    <col min="35" max="35" width="10.1796875" style="94" customWidth="1"/>
    <col min="36" max="36" width="9.81640625" style="94" customWidth="1"/>
    <col min="37" max="37" width="10.54296875" style="28" customWidth="1"/>
    <col min="38" max="38" width="7.54296875" style="38" customWidth="1"/>
    <col min="39" max="39" width="7.54296875" bestFit="1" customWidth="1"/>
    <col min="40" max="40" width="8.54296875" customWidth="1"/>
    <col min="41" max="42" width="10.1796875" customWidth="1"/>
    <col min="43" max="43" width="9" bestFit="1" customWidth="1"/>
    <col min="44" max="44" width="1.26953125" style="62" customWidth="1"/>
    <col min="45" max="45" width="10.7265625" customWidth="1"/>
    <col min="46" max="46" width="9" customWidth="1"/>
    <col min="52" max="52" width="1.26953125" style="62" customWidth="1"/>
    <col min="53" max="53" width="10.7265625" customWidth="1"/>
    <col min="60" max="60" width="1.26953125" style="62" customWidth="1"/>
    <col min="61" max="61" width="10.7265625" customWidth="1"/>
    <col min="68" max="68" width="1.26953125" style="62" customWidth="1"/>
    <col min="69" max="69" width="10.7265625" customWidth="1"/>
    <col min="76" max="76" width="1.26953125" style="62" customWidth="1"/>
    <col min="77" max="77" width="9.1796875" customWidth="1"/>
    <col min="84" max="84" width="1.26953125" style="62" customWidth="1"/>
    <col min="92" max="92" width="1.26953125" style="62" customWidth="1"/>
    <col min="100" max="100" width="1.26953125" style="62" customWidth="1"/>
    <col min="106" max="106" width="12.453125" bestFit="1" customWidth="1"/>
    <col min="107" max="107" width="10.81640625" bestFit="1" customWidth="1"/>
    <col min="108" max="108" width="11.453125" customWidth="1"/>
    <col min="109" max="109" width="10.26953125" customWidth="1"/>
    <col min="110" max="110" width="1.26953125" style="62" customWidth="1"/>
    <col min="111" max="111" width="10.54296875" customWidth="1"/>
    <col min="112" max="112" width="10.81640625" customWidth="1"/>
    <col min="113" max="113" width="15.1796875" customWidth="1"/>
    <col min="114" max="114" width="46.81640625" customWidth="1"/>
    <col min="115" max="116" width="16.1796875" customWidth="1"/>
    <col min="117" max="117" width="11.26953125" customWidth="1"/>
    <col min="118" max="118" width="10.7265625" customWidth="1"/>
    <col min="119" max="119" width="4.81640625" customWidth="1"/>
    <col min="122" max="122" width="14.26953125" customWidth="1"/>
    <col min="125" max="125" width="13.7265625" customWidth="1"/>
    <col min="128" max="128" width="10.1796875" customWidth="1"/>
    <col min="129" max="129" width="3.54296875" customWidth="1"/>
    <col min="130" max="132" width="9.1796875" style="91" customWidth="1"/>
    <col min="133" max="133" width="9.81640625" style="91" customWidth="1"/>
    <col min="134" max="134" width="8.54296875" style="91" customWidth="1"/>
    <col min="135" max="135" width="16.26953125" style="91" bestFit="1" customWidth="1"/>
    <col min="136" max="136" width="9.1796875" style="91" customWidth="1"/>
    <col min="146" max="146" width="10.453125" customWidth="1"/>
  </cols>
  <sheetData>
    <row r="1" spans="1:146" ht="29.25" customHeight="1" thickBot="1" x14ac:dyDescent="0.4">
      <c r="A1" s="518" t="s">
        <v>273</v>
      </c>
      <c r="B1" s="518"/>
      <c r="C1" s="518"/>
      <c r="D1" s="518"/>
      <c r="E1" s="518"/>
      <c r="F1" s="518"/>
      <c r="G1" s="518"/>
      <c r="H1" s="523" t="s">
        <v>143</v>
      </c>
      <c r="I1" s="524"/>
      <c r="J1" s="524"/>
      <c r="K1" s="524"/>
      <c r="L1" s="524"/>
      <c r="M1" s="524"/>
      <c r="N1" s="524"/>
      <c r="O1" s="524"/>
      <c r="P1" s="524"/>
      <c r="Q1" s="318" t="s">
        <v>48</v>
      </c>
      <c r="R1" s="318" t="s">
        <v>49</v>
      </c>
      <c r="S1" s="318" t="s">
        <v>51</v>
      </c>
      <c r="T1" s="319" t="s">
        <v>122</v>
      </c>
      <c r="U1" s="25"/>
      <c r="V1" s="189"/>
      <c r="W1" s="25"/>
      <c r="X1" s="25"/>
      <c r="Y1" s="25"/>
      <c r="Z1" s="25"/>
      <c r="AA1" s="25"/>
      <c r="AB1" s="25"/>
      <c r="AC1" s="25"/>
      <c r="AD1" s="25"/>
      <c r="AE1" s="25"/>
      <c r="AF1" s="25"/>
      <c r="AG1" s="188"/>
      <c r="AH1" s="90" t="s">
        <v>109</v>
      </c>
      <c r="AI1" s="91"/>
      <c r="AJ1" s="91"/>
      <c r="AK1"/>
      <c r="AL1" s="28"/>
      <c r="AM1" s="25"/>
      <c r="AN1" s="25"/>
      <c r="AO1" s="25"/>
      <c r="AP1" s="25"/>
      <c r="AQ1" s="25"/>
      <c r="AT1" s="7"/>
      <c r="AV1" s="23"/>
      <c r="DG1" s="165" t="s">
        <v>115</v>
      </c>
      <c r="DH1" s="38"/>
      <c r="DI1" s="38"/>
      <c r="DJ1" s="118" t="s">
        <v>45</v>
      </c>
      <c r="DO1" s="277"/>
      <c r="DP1" s="278"/>
      <c r="DQ1" s="278"/>
      <c r="DR1" s="278"/>
      <c r="DS1" s="278"/>
      <c r="DT1" s="278"/>
      <c r="DU1" s="278"/>
      <c r="DV1" s="279"/>
      <c r="DW1" s="279"/>
      <c r="DX1" s="279"/>
      <c r="DY1" s="280"/>
      <c r="DZ1" s="151" t="s">
        <v>111</v>
      </c>
      <c r="EG1" s="99" t="s">
        <v>114</v>
      </c>
      <c r="EH1" s="159"/>
      <c r="EI1" s="159"/>
      <c r="EJ1" s="159"/>
      <c r="EK1" s="159"/>
      <c r="EL1" s="159"/>
      <c r="EM1" s="159"/>
      <c r="EN1" s="159"/>
      <c r="EO1" s="160" t="s">
        <v>59</v>
      </c>
      <c r="EP1" s="59"/>
    </row>
    <row r="2" spans="1:146" ht="15.75" customHeight="1" x14ac:dyDescent="0.3">
      <c r="A2" s="518"/>
      <c r="B2" s="518"/>
      <c r="C2" s="518"/>
      <c r="D2" s="518"/>
      <c r="E2" s="518"/>
      <c r="F2" s="518"/>
      <c r="G2" s="518"/>
      <c r="H2" s="521" t="s">
        <v>274</v>
      </c>
      <c r="I2" s="522"/>
      <c r="J2" s="522"/>
      <c r="K2" s="522"/>
      <c r="L2" s="296" t="s">
        <v>187</v>
      </c>
      <c r="M2" s="296"/>
      <c r="N2" s="301" t="s">
        <v>322</v>
      </c>
      <c r="O2" s="296"/>
      <c r="P2" s="28"/>
      <c r="Q2" s="223">
        <v>0</v>
      </c>
      <c r="R2" s="224">
        <v>1.4616659077372476</v>
      </c>
      <c r="S2" s="223">
        <v>0</v>
      </c>
      <c r="T2" s="320" t="s">
        <v>123</v>
      </c>
      <c r="V2" s="345" t="s">
        <v>119</v>
      </c>
      <c r="W2" s="82"/>
      <c r="X2" s="82"/>
      <c r="Y2" s="82"/>
      <c r="Z2" s="82"/>
      <c r="AA2" s="82"/>
      <c r="AB2" s="82"/>
      <c r="AC2" s="82"/>
      <c r="AD2" s="82"/>
      <c r="AE2" s="82"/>
      <c r="AF2" s="83"/>
      <c r="AG2" s="117" t="s">
        <v>59</v>
      </c>
      <c r="AH2" s="94" t="s">
        <v>237</v>
      </c>
      <c r="AK2" s="70"/>
      <c r="AL2" s="28"/>
      <c r="AM2" s="28"/>
      <c r="AN2" s="25"/>
      <c r="AO2" s="25"/>
      <c r="AP2" s="25"/>
      <c r="AQ2" s="25"/>
      <c r="AS2" s="25"/>
      <c r="AT2" s="25"/>
      <c r="AU2" s="25"/>
      <c r="AV2" s="25"/>
      <c r="AW2" s="25"/>
      <c r="AX2" s="25"/>
      <c r="DG2" s="44" t="s">
        <v>43</v>
      </c>
      <c r="DH2" s="175">
        <v>252.164401</v>
      </c>
      <c r="DI2" s="32" t="s">
        <v>35</v>
      </c>
      <c r="DJ2" s="389" t="s">
        <v>106</v>
      </c>
      <c r="DO2" s="281"/>
      <c r="DP2" s="56" t="s">
        <v>37</v>
      </c>
      <c r="DQ2" s="43"/>
      <c r="DR2" s="43"/>
      <c r="DS2" s="49" t="s">
        <v>46</v>
      </c>
      <c r="DT2" s="43"/>
      <c r="DU2" s="43"/>
      <c r="DV2" s="43"/>
      <c r="DW2" s="43"/>
      <c r="DX2" s="50"/>
      <c r="DY2" s="282"/>
      <c r="EC2" s="99" t="s">
        <v>113</v>
      </c>
      <c r="ED2" s="103"/>
      <c r="EE2" s="103" t="s">
        <v>112</v>
      </c>
      <c r="EF2" s="103"/>
      <c r="EG2" s="100" t="s">
        <v>76</v>
      </c>
      <c r="EH2" s="104" t="s">
        <v>75</v>
      </c>
      <c r="EI2" s="104" t="s">
        <v>74</v>
      </c>
      <c r="EJ2" s="94" t="s">
        <v>73</v>
      </c>
      <c r="EK2" s="94" t="s">
        <v>72</v>
      </c>
      <c r="EL2" s="94" t="s">
        <v>70</v>
      </c>
      <c r="EM2" s="94" t="s">
        <v>71</v>
      </c>
      <c r="EN2" s="380" t="s">
        <v>93</v>
      </c>
      <c r="EO2" s="381"/>
      <c r="EP2" s="382"/>
    </row>
    <row r="3" spans="1:146" ht="15.75" customHeight="1" thickBot="1" x14ac:dyDescent="0.5">
      <c r="A3" s="518"/>
      <c r="B3" s="518"/>
      <c r="C3" s="518"/>
      <c r="D3" s="518"/>
      <c r="E3" s="518"/>
      <c r="F3" s="518"/>
      <c r="G3" s="518"/>
      <c r="H3" s="521"/>
      <c r="I3" s="522"/>
      <c r="J3" s="522"/>
      <c r="K3" s="522"/>
      <c r="L3" s="296" t="s">
        <v>187</v>
      </c>
      <c r="M3" s="296"/>
      <c r="N3" s="301" t="s">
        <v>61</v>
      </c>
      <c r="O3" s="296"/>
      <c r="P3" s="28"/>
      <c r="Q3" s="223">
        <v>0</v>
      </c>
      <c r="R3" s="224">
        <v>1.3528990694345024</v>
      </c>
      <c r="S3" s="223">
        <v>0</v>
      </c>
      <c r="T3" s="320" t="s">
        <v>123</v>
      </c>
      <c r="U3" s="187" t="s">
        <v>134</v>
      </c>
      <c r="V3" s="308"/>
      <c r="W3" s="38"/>
      <c r="X3" s="38"/>
      <c r="Y3" s="38"/>
      <c r="Z3" s="38"/>
      <c r="AA3" s="38"/>
      <c r="AB3" s="38"/>
      <c r="AC3" s="38"/>
      <c r="AD3" s="38"/>
      <c r="AE3" s="38"/>
      <c r="AF3" s="85"/>
      <c r="AG3" s="344" t="s">
        <v>59</v>
      </c>
      <c r="AH3" s="96">
        <v>4119.6015340975346</v>
      </c>
      <c r="AI3" s="92" t="s">
        <v>43</v>
      </c>
      <c r="AK3" s="70"/>
      <c r="AL3" s="185" t="s">
        <v>129</v>
      </c>
      <c r="AM3" s="28"/>
      <c r="AN3" s="25"/>
      <c r="AO3" s="25"/>
      <c r="AP3" s="25"/>
      <c r="BB3" s="185"/>
      <c r="DG3" s="44" t="s">
        <v>43</v>
      </c>
      <c r="DH3" s="175">
        <v>3785.4119999999998</v>
      </c>
      <c r="DI3" s="32" t="s">
        <v>34</v>
      </c>
      <c r="DJ3" s="46" t="s">
        <v>103</v>
      </c>
      <c r="DO3" s="281"/>
      <c r="DP3" s="51" t="s">
        <v>17</v>
      </c>
      <c r="DQ3" s="134">
        <v>0.97</v>
      </c>
      <c r="DR3" s="32" t="s">
        <v>19</v>
      </c>
      <c r="DS3" s="41" t="s">
        <v>36</v>
      </c>
      <c r="DT3" s="38"/>
      <c r="DU3" s="32" t="s">
        <v>312</v>
      </c>
      <c r="DV3" s="32"/>
      <c r="DW3" s="32"/>
      <c r="DX3" s="46"/>
      <c r="DY3" s="282"/>
      <c r="EC3" s="100" t="s">
        <v>43</v>
      </c>
      <c r="ED3" s="156">
        <v>3181.3458279430697</v>
      </c>
      <c r="EE3" s="155" t="s">
        <v>64</v>
      </c>
      <c r="EF3" s="110"/>
      <c r="EG3" s="161">
        <v>5279.4253403129114</v>
      </c>
      <c r="EH3" s="109">
        <v>5440.3445986181341</v>
      </c>
      <c r="EI3" s="109">
        <v>3061.3315222324873</v>
      </c>
      <c r="EJ3" s="109">
        <v>6218.6187551330022</v>
      </c>
      <c r="EK3" s="109">
        <v>2395.6392706787519</v>
      </c>
      <c r="EL3" s="109">
        <v>2565.0085852111179</v>
      </c>
      <c r="EM3" s="109">
        <v>3876.8426664963367</v>
      </c>
      <c r="EN3" s="383">
        <f t="shared" ref="EN3:EN9" si="0">AVERAGE(EG3:EM3)</f>
        <v>4119.6015340975346</v>
      </c>
      <c r="EO3" s="381"/>
      <c r="EP3" s="382"/>
    </row>
    <row r="4" spans="1:146" ht="15.75" customHeight="1" thickBot="1" x14ac:dyDescent="0.4">
      <c r="A4" s="529" t="s">
        <v>328</v>
      </c>
      <c r="B4" s="529"/>
      <c r="C4" s="529"/>
      <c r="D4" s="529"/>
      <c r="E4" s="529"/>
      <c r="F4" s="529"/>
      <c r="G4" s="530"/>
      <c r="H4" s="521"/>
      <c r="I4" s="522"/>
      <c r="J4" s="522"/>
      <c r="K4" s="522"/>
      <c r="L4" s="29" t="s">
        <v>186</v>
      </c>
      <c r="M4" s="29"/>
      <c r="N4" s="299" t="s">
        <v>321</v>
      </c>
      <c r="O4" s="29"/>
      <c r="P4" s="28"/>
      <c r="Q4" s="225">
        <v>2.4659938165608377</v>
      </c>
      <c r="R4" s="223">
        <v>0</v>
      </c>
      <c r="S4" s="225">
        <v>0.12339546940422966</v>
      </c>
      <c r="T4" s="320" t="s">
        <v>123</v>
      </c>
      <c r="V4" s="525" t="s">
        <v>38</v>
      </c>
      <c r="W4" s="554" t="s">
        <v>39</v>
      </c>
      <c r="X4" s="81"/>
      <c r="Y4" s="82"/>
      <c r="Z4" s="82"/>
      <c r="AA4" s="82"/>
      <c r="AB4" s="82"/>
      <c r="AC4" s="83"/>
      <c r="AD4" s="535" t="s">
        <v>40</v>
      </c>
      <c r="AE4" s="545" t="s">
        <v>41</v>
      </c>
      <c r="AF4" s="547" t="s">
        <v>42</v>
      </c>
      <c r="AG4" s="63"/>
      <c r="AH4" s="110">
        <v>-48.775361659636701</v>
      </c>
      <c r="AI4" s="104" t="s">
        <v>94</v>
      </c>
      <c r="AJ4" s="91"/>
      <c r="AK4" s="70"/>
      <c r="AL4" s="28"/>
      <c r="AM4" s="28"/>
      <c r="AN4" s="25"/>
      <c r="AO4" s="25"/>
      <c r="AP4" s="25"/>
      <c r="AQ4" s="25"/>
      <c r="AR4" s="63"/>
      <c r="AZ4" s="63"/>
      <c r="BH4" s="63"/>
      <c r="BP4" s="63"/>
      <c r="BX4" s="63"/>
      <c r="CF4" s="63"/>
      <c r="CN4" s="63"/>
      <c r="CV4" s="63"/>
      <c r="DF4" s="63"/>
      <c r="DG4" s="44" t="s">
        <v>43</v>
      </c>
      <c r="DH4" s="175">
        <v>453.59237000000002</v>
      </c>
      <c r="DI4" s="32" t="s">
        <v>44</v>
      </c>
      <c r="DJ4" s="164" t="s">
        <v>103</v>
      </c>
      <c r="DO4" s="281"/>
      <c r="DP4" s="51" t="s">
        <v>15</v>
      </c>
      <c r="DQ4" s="135">
        <v>1.171E-7</v>
      </c>
      <c r="DR4" s="32" t="s">
        <v>502</v>
      </c>
      <c r="DS4" s="41" t="s">
        <v>36</v>
      </c>
      <c r="DT4" s="38"/>
      <c r="DU4" s="38" t="s">
        <v>314</v>
      </c>
      <c r="DV4" s="38"/>
      <c r="DW4" s="38"/>
      <c r="DX4" s="46"/>
      <c r="DY4" s="283"/>
      <c r="EC4" s="100" t="s">
        <v>94</v>
      </c>
      <c r="ED4" s="156">
        <v>-38.933216716884566</v>
      </c>
      <c r="EE4" s="152">
        <f>SQRT(AVERAGE(EE12:EE23))</f>
        <v>299.51466149992467</v>
      </c>
      <c r="EF4" s="111"/>
      <c r="EG4" s="161">
        <v>-49.87356204617069</v>
      </c>
      <c r="EH4" s="109">
        <v>-51.283794327084223</v>
      </c>
      <c r="EI4" s="109">
        <v>-48.810416345639744</v>
      </c>
      <c r="EJ4" s="109">
        <v>-58.118113434751741</v>
      </c>
      <c r="EK4" s="109">
        <v>-40.634661246640874</v>
      </c>
      <c r="EL4" s="109">
        <v>-43.63637925554891</v>
      </c>
      <c r="EM4" s="109">
        <v>-49.070604961620745</v>
      </c>
      <c r="EN4" s="383">
        <f t="shared" si="0"/>
        <v>-48.775361659636701</v>
      </c>
      <c r="EO4" s="381"/>
      <c r="EP4" s="382"/>
    </row>
    <row r="5" spans="1:146" ht="15.75" customHeight="1" x14ac:dyDescent="0.4">
      <c r="A5" s="331"/>
      <c r="B5" s="278"/>
      <c r="C5" s="278"/>
      <c r="D5" s="278"/>
      <c r="E5" s="278"/>
      <c r="F5" s="278"/>
      <c r="G5" s="332"/>
      <c r="H5" s="321" t="s">
        <v>118</v>
      </c>
      <c r="I5" s="58"/>
      <c r="J5" s="58"/>
      <c r="K5" s="28"/>
      <c r="L5" s="296" t="s">
        <v>185</v>
      </c>
      <c r="M5" s="296"/>
      <c r="N5" s="302" t="s">
        <v>323</v>
      </c>
      <c r="O5" s="296"/>
      <c r="P5" s="296"/>
      <c r="Q5" s="223">
        <v>0</v>
      </c>
      <c r="R5" s="223">
        <v>0.92</v>
      </c>
      <c r="S5" s="223">
        <v>0</v>
      </c>
      <c r="T5" s="322">
        <v>8.25</v>
      </c>
      <c r="V5" s="526"/>
      <c r="W5" s="555"/>
      <c r="X5" s="84"/>
      <c r="Y5" s="75"/>
      <c r="Z5" s="107"/>
      <c r="AA5" s="75"/>
      <c r="AB5" s="73"/>
      <c r="AC5" s="85"/>
      <c r="AD5" s="536"/>
      <c r="AE5" s="546"/>
      <c r="AF5" s="548"/>
      <c r="AG5" s="63"/>
      <c r="AH5" s="110">
        <v>-339.15697839781575</v>
      </c>
      <c r="AI5" s="104" t="s">
        <v>95</v>
      </c>
      <c r="AJ5" s="91"/>
      <c r="AK5" s="70"/>
      <c r="AM5" s="25"/>
      <c r="AN5" s="25"/>
      <c r="AO5" s="25"/>
      <c r="AP5" s="25"/>
      <c r="AQ5" s="25"/>
      <c r="AR5" s="124" t="s">
        <v>59</v>
      </c>
      <c r="AS5" s="7" t="s">
        <v>23</v>
      </c>
      <c r="AZ5" s="124" t="s">
        <v>59</v>
      </c>
      <c r="BA5" s="7" t="s">
        <v>24</v>
      </c>
      <c r="BB5" s="7"/>
      <c r="BI5" s="7" t="s">
        <v>25</v>
      </c>
      <c r="BQ5" s="7" t="s">
        <v>26</v>
      </c>
      <c r="BY5" s="7" t="s">
        <v>27</v>
      </c>
      <c r="CG5" s="7" t="s">
        <v>28</v>
      </c>
      <c r="CO5" s="7" t="s">
        <v>29</v>
      </c>
      <c r="CW5" s="7" t="s">
        <v>30</v>
      </c>
      <c r="CX5" s="7"/>
      <c r="DF5" s="63"/>
      <c r="DG5" s="44" t="s">
        <v>43</v>
      </c>
      <c r="DH5" s="175">
        <v>4.1840000000000002</v>
      </c>
      <c r="DI5" s="27" t="s">
        <v>101</v>
      </c>
      <c r="DJ5" s="46" t="s">
        <v>103</v>
      </c>
      <c r="DM5" s="14"/>
      <c r="DN5" s="14"/>
      <c r="DO5" s="281"/>
      <c r="DP5" s="52" t="s">
        <v>18</v>
      </c>
      <c r="DQ5" s="136">
        <v>0.24</v>
      </c>
      <c r="DR5" s="32" t="s">
        <v>503</v>
      </c>
      <c r="DS5" s="41" t="s">
        <v>36</v>
      </c>
      <c r="DT5" s="38"/>
      <c r="DU5" s="38" t="s">
        <v>313</v>
      </c>
      <c r="DV5" s="38"/>
      <c r="DW5" s="38"/>
      <c r="DX5" s="46"/>
      <c r="DY5" s="283"/>
      <c r="EC5" s="100" t="s">
        <v>95</v>
      </c>
      <c r="ED5" s="156">
        <v>-162.19529461470816</v>
      </c>
      <c r="EE5" s="96"/>
      <c r="EF5" s="96"/>
      <c r="EG5" s="161">
        <v>-593.70395879643024</v>
      </c>
      <c r="EH5" s="109">
        <v>-599.72743589781498</v>
      </c>
      <c r="EI5" s="109">
        <v>-78.558888295583017</v>
      </c>
      <c r="EJ5" s="109">
        <v>-612.93172866143766</v>
      </c>
      <c r="EK5" s="109">
        <v>-100.09639400504372</v>
      </c>
      <c r="EL5" s="109">
        <v>-93.834338533083113</v>
      </c>
      <c r="EM5" s="109">
        <v>-295.24610459531743</v>
      </c>
      <c r="EN5" s="383">
        <f t="shared" si="0"/>
        <v>-339.15697839781575</v>
      </c>
      <c r="EO5" s="381"/>
      <c r="EP5" s="382"/>
    </row>
    <row r="6" spans="1:146" ht="15.75" customHeight="1" thickBot="1" x14ac:dyDescent="0.5">
      <c r="A6" s="281"/>
      <c r="B6" s="128"/>
      <c r="C6" s="227" t="s">
        <v>22</v>
      </c>
      <c r="D6" s="113"/>
      <c r="E6" s="113"/>
      <c r="F6" s="113"/>
      <c r="G6" s="333"/>
      <c r="H6" s="323" t="s">
        <v>48</v>
      </c>
      <c r="I6" s="226" t="s">
        <v>49</v>
      </c>
      <c r="J6" s="226" t="s">
        <v>51</v>
      </c>
      <c r="K6" s="28"/>
      <c r="L6" s="296" t="s">
        <v>188</v>
      </c>
      <c r="M6" s="296"/>
      <c r="N6" s="302" t="s">
        <v>324</v>
      </c>
      <c r="O6" s="296"/>
      <c r="P6" s="296"/>
      <c r="Q6" s="223">
        <v>3.2</v>
      </c>
      <c r="R6" s="223">
        <v>0.8</v>
      </c>
      <c r="S6" s="223">
        <v>0</v>
      </c>
      <c r="T6" s="324">
        <v>3.75</v>
      </c>
      <c r="V6" s="526"/>
      <c r="W6" s="555"/>
      <c r="X6" s="84"/>
      <c r="Y6" s="76"/>
      <c r="Z6" s="76"/>
      <c r="AA6" s="76"/>
      <c r="AB6" s="73"/>
      <c r="AC6" s="85"/>
      <c r="AD6" s="536"/>
      <c r="AE6" s="546"/>
      <c r="AF6" s="548"/>
      <c r="AG6" s="63"/>
      <c r="AH6" s="110">
        <v>-359.79756142221066</v>
      </c>
      <c r="AI6" s="104" t="s">
        <v>99</v>
      </c>
      <c r="AJ6" s="91"/>
      <c r="AL6" s="28"/>
      <c r="AM6" s="28"/>
      <c r="AN6" s="27"/>
      <c r="AO6" s="28"/>
      <c r="AP6" s="28"/>
      <c r="AQ6" s="186" t="s">
        <v>132</v>
      </c>
      <c r="AR6" s="63"/>
      <c r="AS6" s="185" t="s">
        <v>130</v>
      </c>
      <c r="AT6" s="185"/>
      <c r="AU6" s="106"/>
      <c r="AV6" s="106"/>
      <c r="AW6" s="106"/>
      <c r="AX6" s="106"/>
      <c r="AY6" s="186" t="s">
        <v>133</v>
      </c>
      <c r="AZ6" s="63"/>
      <c r="BA6" s="185" t="s">
        <v>131</v>
      </c>
      <c r="BB6" s="166"/>
      <c r="BH6" s="63"/>
      <c r="BI6" s="167"/>
      <c r="BJ6" s="14"/>
      <c r="BP6" s="63"/>
      <c r="BQ6" s="167"/>
      <c r="BR6" s="14"/>
      <c r="BX6" s="63"/>
      <c r="BY6" s="167"/>
      <c r="BZ6" s="14"/>
      <c r="CF6" s="63"/>
      <c r="CG6" s="167"/>
      <c r="CH6" s="14"/>
      <c r="CN6" s="63"/>
      <c r="CO6" s="167"/>
      <c r="CP6" s="14"/>
      <c r="CV6" s="63"/>
      <c r="CW6" s="167"/>
      <c r="CX6" s="167"/>
      <c r="CY6" s="14"/>
      <c r="DB6" s="14"/>
      <c r="DF6" s="63"/>
      <c r="DG6" s="44" t="s">
        <v>43</v>
      </c>
      <c r="DH6" s="175">
        <v>1055.056</v>
      </c>
      <c r="DI6" s="27" t="s">
        <v>100</v>
      </c>
      <c r="DJ6" s="46" t="s">
        <v>103</v>
      </c>
      <c r="DO6" s="281"/>
      <c r="DP6" s="53" t="s">
        <v>16</v>
      </c>
      <c r="DQ6" s="137">
        <v>0.622</v>
      </c>
      <c r="DR6" s="54"/>
      <c r="DS6" s="55" t="s">
        <v>36</v>
      </c>
      <c r="DT6" s="48"/>
      <c r="DU6" s="48" t="s">
        <v>315</v>
      </c>
      <c r="DV6" s="48"/>
      <c r="DW6" s="48"/>
      <c r="DX6" s="47"/>
      <c r="DY6" s="283"/>
      <c r="EC6" s="100" t="s">
        <v>99</v>
      </c>
      <c r="ED6" s="156">
        <v>-358.42677357309941</v>
      </c>
      <c r="EE6" s="96"/>
      <c r="EF6" s="96"/>
      <c r="EG6" s="161">
        <v>-434.89220259483557</v>
      </c>
      <c r="EH6" s="109">
        <v>-463.91109348323198</v>
      </c>
      <c r="EI6" s="109">
        <v>-291.8204790405041</v>
      </c>
      <c r="EJ6" s="109">
        <v>-625.77142466929001</v>
      </c>
      <c r="EK6" s="109">
        <v>-170.48590465937119</v>
      </c>
      <c r="EL6" s="109">
        <v>-203.76682822162655</v>
      </c>
      <c r="EM6" s="109">
        <v>-327.93499728661527</v>
      </c>
      <c r="EN6" s="383">
        <f t="shared" si="0"/>
        <v>-359.79756142221066</v>
      </c>
      <c r="EO6" s="381"/>
      <c r="EP6" s="382"/>
    </row>
    <row r="7" spans="1:146" ht="15.75" customHeight="1" thickBot="1" x14ac:dyDescent="0.4">
      <c r="A7" s="281"/>
      <c r="B7" s="130" t="s">
        <v>32</v>
      </c>
      <c r="C7" s="131">
        <v>596</v>
      </c>
      <c r="D7" s="113" t="s">
        <v>60</v>
      </c>
      <c r="E7" s="129" t="s">
        <v>21</v>
      </c>
      <c r="F7" s="131"/>
      <c r="G7" s="283"/>
      <c r="H7" s="325">
        <v>2.4700000000000002</v>
      </c>
      <c r="I7" s="114">
        <v>0</v>
      </c>
      <c r="J7" s="114">
        <v>0.12</v>
      </c>
      <c r="K7" s="28"/>
      <c r="L7" s="29" t="s">
        <v>189</v>
      </c>
      <c r="M7" s="29"/>
      <c r="N7" s="300" t="s">
        <v>325</v>
      </c>
      <c r="O7" s="29"/>
      <c r="P7" s="29"/>
      <c r="Q7" s="223">
        <v>2.96</v>
      </c>
      <c r="R7" s="223">
        <v>0.64</v>
      </c>
      <c r="S7" s="223">
        <v>0</v>
      </c>
      <c r="T7" s="324">
        <v>5.75</v>
      </c>
      <c r="V7" s="526"/>
      <c r="W7" s="555"/>
      <c r="X7" s="86"/>
      <c r="Y7" s="77"/>
      <c r="Z7" s="77"/>
      <c r="AA7" s="75"/>
      <c r="AB7" s="73"/>
      <c r="AC7" s="85"/>
      <c r="AD7" s="536"/>
      <c r="AE7" s="546"/>
      <c r="AF7" s="548"/>
      <c r="AG7" s="63"/>
      <c r="AH7" s="171">
        <v>0.25367907675612772</v>
      </c>
      <c r="AI7" s="104" t="s">
        <v>125</v>
      </c>
      <c r="AJ7" s="91"/>
      <c r="AM7" s="25"/>
      <c r="AN7" s="122"/>
      <c r="AO7" s="122"/>
      <c r="AP7" s="122"/>
      <c r="AQ7" s="25"/>
      <c r="AR7" s="63"/>
      <c r="AS7" s="122" t="s">
        <v>126</v>
      </c>
      <c r="AT7" s="122"/>
      <c r="AZ7" s="63"/>
      <c r="BH7" s="63"/>
      <c r="BP7" s="63"/>
      <c r="BX7" s="63"/>
      <c r="CF7" s="63"/>
      <c r="CN7" s="63"/>
      <c r="CV7" s="63"/>
      <c r="DB7" s="16"/>
      <c r="DC7" s="16"/>
      <c r="DD7" s="16"/>
      <c r="DF7" s="63"/>
      <c r="DG7" s="45" t="s">
        <v>43</v>
      </c>
      <c r="DH7" s="176">
        <f>+DH6/DH5</f>
        <v>252.1644359464627</v>
      </c>
      <c r="DI7" s="119" t="s">
        <v>102</v>
      </c>
      <c r="DJ7" s="120" t="s">
        <v>104</v>
      </c>
      <c r="DO7" s="281"/>
      <c r="DP7" s="38"/>
      <c r="DQ7" s="284" t="s">
        <v>120</v>
      </c>
      <c r="DR7" s="285"/>
      <c r="DS7" s="285"/>
      <c r="DT7" s="285"/>
      <c r="DU7" s="285"/>
      <c r="DV7" s="285"/>
      <c r="DW7" s="285"/>
      <c r="DX7" s="285"/>
      <c r="DY7" s="286"/>
      <c r="EC7" s="100" t="s">
        <v>96</v>
      </c>
      <c r="ED7" s="157">
        <v>-9.7724601523701791E-3</v>
      </c>
      <c r="EE7" s="97"/>
      <c r="EF7" s="97"/>
      <c r="EG7" s="162">
        <v>0.24375512715534961</v>
      </c>
      <c r="EH7" s="108">
        <v>0.24582232688986602</v>
      </c>
      <c r="EI7" s="108">
        <v>0.26709430290425168</v>
      </c>
      <c r="EJ7" s="108">
        <v>0.25582380130808824</v>
      </c>
      <c r="EK7" s="108">
        <v>0.24621217475277271</v>
      </c>
      <c r="EL7" s="108">
        <v>0.25664900041855138</v>
      </c>
      <c r="EM7" s="108">
        <v>0.26039680386401443</v>
      </c>
      <c r="EN7" s="384">
        <f t="shared" si="0"/>
        <v>0.25367907675612772</v>
      </c>
      <c r="EO7" s="381"/>
      <c r="EP7" s="382"/>
    </row>
    <row r="8" spans="1:146" ht="15.75" customHeight="1" thickBot="1" x14ac:dyDescent="0.4">
      <c r="A8" s="281"/>
      <c r="B8" s="130" t="s">
        <v>32</v>
      </c>
      <c r="C8" s="28">
        <f>+C7*0.3048</f>
        <v>181.66080000000002</v>
      </c>
      <c r="D8" s="32" t="s">
        <v>275</v>
      </c>
      <c r="E8" s="32" t="s">
        <v>21</v>
      </c>
      <c r="F8" s="32"/>
      <c r="G8" s="334"/>
      <c r="H8" s="326" t="s">
        <v>117</v>
      </c>
      <c r="I8" s="327"/>
      <c r="J8" s="327"/>
      <c r="K8" s="316"/>
      <c r="L8" s="328" t="s">
        <v>190</v>
      </c>
      <c r="M8" s="328"/>
      <c r="N8" s="329" t="s">
        <v>326</v>
      </c>
      <c r="O8" s="328"/>
      <c r="P8" s="328"/>
      <c r="Q8" s="330">
        <v>1.04</v>
      </c>
      <c r="R8" s="223">
        <v>1.05</v>
      </c>
      <c r="S8" s="223">
        <v>0</v>
      </c>
      <c r="T8" s="324">
        <v>5</v>
      </c>
      <c r="U8" s="15" t="s">
        <v>59</v>
      </c>
      <c r="V8" s="526"/>
      <c r="W8" s="555"/>
      <c r="X8" s="86"/>
      <c r="Y8" s="115"/>
      <c r="Z8" s="115"/>
      <c r="AA8" s="115"/>
      <c r="AB8" s="73"/>
      <c r="AC8" s="85"/>
      <c r="AD8" s="536"/>
      <c r="AE8" s="546"/>
      <c r="AF8" s="548"/>
      <c r="AG8" s="63"/>
      <c r="AH8" s="110">
        <v>12.561896097771349</v>
      </c>
      <c r="AI8" s="104" t="s">
        <v>97</v>
      </c>
      <c r="AJ8" s="91"/>
      <c r="AM8" s="25"/>
      <c r="AN8" s="123"/>
      <c r="AO8" s="25"/>
      <c r="AP8" s="25"/>
      <c r="AQ8" s="123"/>
      <c r="AR8" s="124" t="s">
        <v>59</v>
      </c>
      <c r="AS8" s="121" t="s">
        <v>105</v>
      </c>
      <c r="AV8" s="23"/>
      <c r="AZ8" s="124"/>
      <c r="BH8" s="63"/>
      <c r="BP8" s="124" t="s">
        <v>59</v>
      </c>
      <c r="BX8" s="63"/>
      <c r="CF8" s="124" t="s">
        <v>59</v>
      </c>
      <c r="CN8" s="63"/>
      <c r="CV8" s="124" t="s">
        <v>59</v>
      </c>
      <c r="CW8" s="14"/>
      <c r="CX8" s="14"/>
      <c r="DB8" s="35"/>
      <c r="DC8" s="35"/>
      <c r="DD8" s="35"/>
      <c r="DF8" s="63"/>
      <c r="DG8" s="63"/>
      <c r="DH8" s="63"/>
      <c r="DI8" s="63"/>
      <c r="DJ8" s="63"/>
      <c r="DK8" s="63"/>
      <c r="DL8" s="63"/>
      <c r="DM8" s="63"/>
      <c r="DN8" s="63"/>
      <c r="DO8" s="281"/>
      <c r="DP8" s="284"/>
      <c r="DQ8" s="38"/>
      <c r="DR8" s="38"/>
      <c r="DS8" s="38"/>
      <c r="DT8" s="38"/>
      <c r="DU8" s="38"/>
      <c r="DV8" s="38"/>
      <c r="DW8" s="38"/>
      <c r="DX8" s="38"/>
      <c r="DY8" s="283"/>
      <c r="EC8" s="100" t="s">
        <v>97</v>
      </c>
      <c r="ED8" s="156">
        <v>2.3091974307279881</v>
      </c>
      <c r="EE8" s="96"/>
      <c r="EF8" s="96"/>
      <c r="EG8" s="161">
        <v>24.337992984557289</v>
      </c>
      <c r="EH8" s="109">
        <v>24.431879212589802</v>
      </c>
      <c r="EI8" s="108">
        <v>-0.61008400221844983</v>
      </c>
      <c r="EJ8" s="109">
        <v>24.09930975706428</v>
      </c>
      <c r="EK8" s="109">
        <v>2.7382350070216814</v>
      </c>
      <c r="EL8" s="109">
        <v>2.4075171228523153</v>
      </c>
      <c r="EM8" s="109">
        <v>10.528422602532517</v>
      </c>
      <c r="EN8" s="383">
        <f t="shared" si="0"/>
        <v>12.561896097771349</v>
      </c>
      <c r="EO8" s="381"/>
      <c r="EP8" s="382"/>
    </row>
    <row r="9" spans="1:146" ht="15.5" x14ac:dyDescent="0.35">
      <c r="A9" s="335" t="s">
        <v>184</v>
      </c>
      <c r="B9" s="38"/>
      <c r="C9" s="38"/>
      <c r="D9" s="38"/>
      <c r="E9" s="38"/>
      <c r="F9" s="38"/>
      <c r="G9" s="283"/>
      <c r="H9" s="317" t="s">
        <v>327</v>
      </c>
      <c r="I9" s="28"/>
      <c r="J9" s="28"/>
      <c r="K9" s="28"/>
      <c r="L9" s="28"/>
      <c r="M9" s="220"/>
      <c r="N9" s="221"/>
      <c r="O9" s="28"/>
      <c r="P9" s="28"/>
      <c r="Q9" s="222" t="s">
        <v>68</v>
      </c>
      <c r="R9" s="345" t="s">
        <v>161</v>
      </c>
      <c r="S9" s="364"/>
      <c r="T9" s="365"/>
      <c r="V9" s="309"/>
      <c r="W9" s="28"/>
      <c r="X9" s="87"/>
      <c r="Y9" s="174"/>
      <c r="Z9" s="174"/>
      <c r="AA9" s="174"/>
      <c r="AB9" s="73"/>
      <c r="AC9" s="85"/>
      <c r="AD9" s="78"/>
      <c r="AE9" s="67"/>
      <c r="AF9" s="346"/>
      <c r="AH9" s="110">
        <v>46.122935964048793</v>
      </c>
      <c r="AI9" s="104" t="s">
        <v>98</v>
      </c>
      <c r="AJ9" s="173" t="s">
        <v>68</v>
      </c>
      <c r="AK9" s="351"/>
      <c r="AT9" s="121"/>
      <c r="CY9" s="563" t="s">
        <v>179</v>
      </c>
      <c r="CZ9" s="564"/>
      <c r="DA9" s="565"/>
      <c r="DB9" s="177" t="s">
        <v>128</v>
      </c>
      <c r="DC9" s="178"/>
      <c r="DD9" s="179"/>
      <c r="DH9" s="16"/>
      <c r="DO9" s="281"/>
      <c r="DP9" s="57" t="s">
        <v>0</v>
      </c>
      <c r="DQ9" s="132">
        <f>((44331.514-C8)/11880.516)^(1/0.1902632)</f>
        <v>991.61663430384044</v>
      </c>
      <c r="DR9" s="39" t="s">
        <v>47</v>
      </c>
      <c r="DS9" s="40"/>
      <c r="DT9" s="40"/>
      <c r="DU9" s="42"/>
      <c r="DV9" s="38"/>
      <c r="DW9" s="38"/>
      <c r="DX9" s="38"/>
      <c r="DY9" s="283"/>
      <c r="EC9" s="101" t="s">
        <v>98</v>
      </c>
      <c r="ED9" s="158">
        <v>46.125222038747793</v>
      </c>
      <c r="EE9" s="96"/>
      <c r="EF9" s="96"/>
      <c r="EG9" s="163">
        <v>59.411043560907316</v>
      </c>
      <c r="EH9" s="102">
        <v>63.800802638478928</v>
      </c>
      <c r="EI9" s="102">
        <v>33.497059297086743</v>
      </c>
      <c r="EJ9" s="102">
        <v>89.024785396493257</v>
      </c>
      <c r="EK9" s="102">
        <v>16.34320833662365</v>
      </c>
      <c r="EL9" s="102">
        <v>20.596018393645959</v>
      </c>
      <c r="EM9" s="102">
        <v>40.187634125105646</v>
      </c>
      <c r="EN9" s="385">
        <f t="shared" si="0"/>
        <v>46.122935964048793</v>
      </c>
      <c r="EO9" s="386"/>
      <c r="EP9" s="387"/>
    </row>
    <row r="10" spans="1:146" ht="15" customHeight="1" thickBot="1" x14ac:dyDescent="0.4">
      <c r="A10" s="281"/>
      <c r="B10" s="127" t="s">
        <v>142</v>
      </c>
      <c r="C10" s="127"/>
      <c r="D10" s="127"/>
      <c r="E10" s="127"/>
      <c r="F10" s="38"/>
      <c r="G10" s="283"/>
      <c r="H10" s="533" t="s">
        <v>139</v>
      </c>
      <c r="I10" s="534"/>
      <c r="J10" s="534"/>
      <c r="K10" s="534"/>
      <c r="L10" s="234" t="s">
        <v>124</v>
      </c>
      <c r="M10" s="28"/>
      <c r="N10" s="28"/>
      <c r="O10" s="192"/>
      <c r="P10" s="196" t="s">
        <v>33</v>
      </c>
      <c r="Q10" s="232">
        <f>+AJ10</f>
        <v>2.2538466306460547E-16</v>
      </c>
      <c r="R10" s="366">
        <f>(+B12*K12+B13*K13+B14*K14+B15*K15+B16*K16+B17*K17+B18*K18+B19*K19+B20*K20+B21*K21+B22*K22+B23*K23)/SUM(B12:B23)</f>
        <v>180.0904838905976</v>
      </c>
      <c r="S10" s="275">
        <f>+R10*S21/S18</f>
        <v>286.81077064058132</v>
      </c>
      <c r="T10" s="367">
        <f>SUM(M12:M23)</f>
        <v>73.786729366687339</v>
      </c>
      <c r="V10" s="309"/>
      <c r="W10" s="303"/>
      <c r="X10" s="88"/>
      <c r="Y10" s="561" t="s">
        <v>79</v>
      </c>
      <c r="Z10" s="561"/>
      <c r="AA10" s="561"/>
      <c r="AB10" s="170">
        <v>1.1574074074074101E-7</v>
      </c>
      <c r="AC10" s="169" t="s">
        <v>52</v>
      </c>
      <c r="AD10" s="79" t="s">
        <v>31</v>
      </c>
      <c r="AE10" s="68"/>
      <c r="AF10" s="347"/>
      <c r="AG10" s="64"/>
      <c r="AH10" s="562" t="s">
        <v>77</v>
      </c>
      <c r="AI10" s="562"/>
      <c r="AJ10" s="172">
        <f>+MAX(AJ12:AJ23)</f>
        <v>2.2538466306460547E-16</v>
      </c>
      <c r="AK10" s="352"/>
      <c r="AL10" s="104"/>
      <c r="AN10" s="14" t="s">
        <v>170</v>
      </c>
      <c r="AO10" s="16"/>
      <c r="AP10" s="16"/>
      <c r="AR10" s="64"/>
      <c r="AS10" s="16"/>
      <c r="AT10" s="16"/>
      <c r="AV10" s="14" t="s">
        <v>170</v>
      </c>
      <c r="AW10" s="16"/>
      <c r="AX10" s="16"/>
      <c r="AZ10" s="64"/>
      <c r="BA10" s="16"/>
      <c r="BB10" s="16"/>
      <c r="BD10" s="14" t="s">
        <v>170</v>
      </c>
      <c r="BE10" s="16"/>
      <c r="BF10" s="16"/>
      <c r="BH10" s="64"/>
      <c r="BI10" s="16"/>
      <c r="BL10" s="14" t="s">
        <v>170</v>
      </c>
      <c r="BM10" s="16"/>
      <c r="BN10" s="16"/>
      <c r="BP10" s="64"/>
      <c r="BQ10" s="16"/>
      <c r="BT10" s="14" t="s">
        <v>170</v>
      </c>
      <c r="BU10" s="16"/>
      <c r="BV10" s="16"/>
      <c r="BX10" s="64"/>
      <c r="BY10" s="16"/>
      <c r="CB10" s="14" t="s">
        <v>170</v>
      </c>
      <c r="CC10" s="16"/>
      <c r="CD10" s="16"/>
      <c r="CF10" s="64"/>
      <c r="CG10" s="16"/>
      <c r="CJ10" s="14" t="s">
        <v>170</v>
      </c>
      <c r="CK10" s="16"/>
      <c r="CL10" s="16"/>
      <c r="CN10" s="64"/>
      <c r="CO10" s="16"/>
      <c r="CR10" s="14" t="s">
        <v>170</v>
      </c>
      <c r="CS10" s="16"/>
      <c r="CT10" s="16"/>
      <c r="CV10" s="64"/>
      <c r="CW10" s="181" t="s">
        <v>127</v>
      </c>
      <c r="CX10" s="33"/>
      <c r="CY10" s="566"/>
      <c r="CZ10" s="555"/>
      <c r="DA10" s="567"/>
      <c r="DB10" s="260" t="s">
        <v>170</v>
      </c>
      <c r="DC10" s="61"/>
      <c r="DD10" s="180"/>
      <c r="DF10" s="64"/>
      <c r="DG10" s="29" t="s">
        <v>116</v>
      </c>
      <c r="DH10" s="30"/>
      <c r="DJ10" s="30"/>
      <c r="DK10" s="30"/>
      <c r="DL10" s="30"/>
      <c r="DM10" s="202"/>
      <c r="DN10" s="30"/>
      <c r="DO10" s="287"/>
      <c r="DP10" s="203" t="s">
        <v>194</v>
      </c>
      <c r="DQ10" s="204"/>
      <c r="DR10" s="205"/>
      <c r="DS10" s="205"/>
      <c r="DT10" s="205"/>
      <c r="DU10" s="206"/>
      <c r="DV10" s="207"/>
      <c r="DW10" s="207"/>
      <c r="DX10" s="207"/>
      <c r="DY10" s="288"/>
      <c r="DZ10" s="560" t="s">
        <v>110</v>
      </c>
      <c r="EA10" s="560"/>
      <c r="EB10" s="560"/>
      <c r="EC10" s="560"/>
      <c r="ED10" s="560"/>
      <c r="EE10" s="560"/>
      <c r="EF10" s="560"/>
      <c r="EG10" s="560"/>
      <c r="EH10" s="560"/>
      <c r="EI10" s="560"/>
      <c r="EJ10" s="560"/>
      <c r="EK10" s="560"/>
      <c r="EL10" s="560"/>
      <c r="EM10" s="560"/>
      <c r="EN10" s="560"/>
      <c r="EO10" s="560"/>
    </row>
    <row r="11" spans="1:146" ht="69" customHeight="1" thickBot="1" x14ac:dyDescent="0.45">
      <c r="A11" s="281"/>
      <c r="B11" s="218" t="s">
        <v>145</v>
      </c>
      <c r="C11" s="200" t="s">
        <v>146</v>
      </c>
      <c r="D11" s="200" t="s">
        <v>147</v>
      </c>
      <c r="E11" s="201" t="s">
        <v>148</v>
      </c>
      <c r="F11" s="200" t="s">
        <v>149</v>
      </c>
      <c r="G11" s="336" t="s">
        <v>150</v>
      </c>
      <c r="H11" s="312" t="s">
        <v>151</v>
      </c>
      <c r="I11" s="72" t="s">
        <v>152</v>
      </c>
      <c r="J11" s="34" t="s">
        <v>155</v>
      </c>
      <c r="K11" s="200" t="s">
        <v>156</v>
      </c>
      <c r="L11" s="235" t="s">
        <v>157</v>
      </c>
      <c r="M11" s="193" t="s">
        <v>158</v>
      </c>
      <c r="N11" s="194" t="s">
        <v>159</v>
      </c>
      <c r="O11" s="194" t="s">
        <v>160</v>
      </c>
      <c r="P11" s="237" t="s">
        <v>154</v>
      </c>
      <c r="Q11" s="243" t="s">
        <v>69</v>
      </c>
      <c r="R11" s="390" t="s">
        <v>236</v>
      </c>
      <c r="S11" s="244" t="s">
        <v>163</v>
      </c>
      <c r="T11" s="311" t="s">
        <v>162</v>
      </c>
      <c r="U11" s="30" t="s">
        <v>56</v>
      </c>
      <c r="V11" s="309" t="s">
        <v>53</v>
      </c>
      <c r="W11" s="304" t="s">
        <v>54</v>
      </c>
      <c r="X11" s="138" t="s">
        <v>66</v>
      </c>
      <c r="Y11" s="115" t="s">
        <v>65</v>
      </c>
      <c r="Z11" s="115" t="s">
        <v>49</v>
      </c>
      <c r="AA11" s="115" t="s">
        <v>51</v>
      </c>
      <c r="AB11" s="74" t="s">
        <v>108</v>
      </c>
      <c r="AC11" s="89" t="s">
        <v>55</v>
      </c>
      <c r="AD11" s="80" t="s">
        <v>58</v>
      </c>
      <c r="AE11" s="69" t="s">
        <v>57</v>
      </c>
      <c r="AF11" s="395" t="s">
        <v>505</v>
      </c>
      <c r="AG11" s="65"/>
      <c r="AH11" s="93" t="s">
        <v>107</v>
      </c>
      <c r="AI11" s="358" t="s">
        <v>78</v>
      </c>
      <c r="AJ11" s="356" t="s">
        <v>69</v>
      </c>
      <c r="AK11" s="353" t="s">
        <v>166</v>
      </c>
      <c r="AL11" s="257" t="s">
        <v>167</v>
      </c>
      <c r="AM11" s="32" t="s">
        <v>168</v>
      </c>
      <c r="AN11" s="27" t="s">
        <v>135</v>
      </c>
      <c r="AO11" s="27" t="s">
        <v>136</v>
      </c>
      <c r="AP11" s="27" t="s">
        <v>137</v>
      </c>
      <c r="AQ11" s="30" t="s">
        <v>169</v>
      </c>
      <c r="AR11" s="65"/>
      <c r="AS11" s="256" t="s">
        <v>165</v>
      </c>
      <c r="AT11" s="247" t="s">
        <v>164</v>
      </c>
      <c r="AU11" s="32" t="s">
        <v>168</v>
      </c>
      <c r="AV11" s="27" t="s">
        <v>135</v>
      </c>
      <c r="AW11" s="27" t="s">
        <v>136</v>
      </c>
      <c r="AX11" s="27" t="s">
        <v>137</v>
      </c>
      <c r="AY11" s="30" t="s">
        <v>169</v>
      </c>
      <c r="AZ11" s="65"/>
      <c r="BA11" s="256" t="s">
        <v>165</v>
      </c>
      <c r="BB11" s="247" t="s">
        <v>164</v>
      </c>
      <c r="BC11" s="32" t="s">
        <v>168</v>
      </c>
      <c r="BD11" s="27" t="s">
        <v>135</v>
      </c>
      <c r="BE11" s="27" t="s">
        <v>136</v>
      </c>
      <c r="BF11" s="27" t="s">
        <v>137</v>
      </c>
      <c r="BG11" s="30" t="s">
        <v>169</v>
      </c>
      <c r="BH11" s="65"/>
      <c r="BI11" s="256" t="s">
        <v>165</v>
      </c>
      <c r="BJ11" s="247" t="s">
        <v>164</v>
      </c>
      <c r="BK11" s="32" t="s">
        <v>168</v>
      </c>
      <c r="BL11" s="27" t="s">
        <v>135</v>
      </c>
      <c r="BM11" s="27" t="s">
        <v>136</v>
      </c>
      <c r="BN11" s="27" t="s">
        <v>137</v>
      </c>
      <c r="BO11" s="30" t="s">
        <v>169</v>
      </c>
      <c r="BP11" s="65"/>
      <c r="BQ11" s="256" t="s">
        <v>165</v>
      </c>
      <c r="BR11" s="247" t="s">
        <v>164</v>
      </c>
      <c r="BS11" s="32" t="s">
        <v>168</v>
      </c>
      <c r="BT11" s="27" t="s">
        <v>135</v>
      </c>
      <c r="BU11" s="27" t="s">
        <v>136</v>
      </c>
      <c r="BV11" s="27" t="s">
        <v>137</v>
      </c>
      <c r="BW11" s="30" t="s">
        <v>169</v>
      </c>
      <c r="BX11" s="65"/>
      <c r="BY11" s="256" t="s">
        <v>165</v>
      </c>
      <c r="BZ11" s="247" t="s">
        <v>164</v>
      </c>
      <c r="CA11" s="32" t="s">
        <v>168</v>
      </c>
      <c r="CB11" s="27" t="s">
        <v>135</v>
      </c>
      <c r="CC11" s="27" t="s">
        <v>136</v>
      </c>
      <c r="CD11" s="27" t="s">
        <v>137</v>
      </c>
      <c r="CE11" s="30" t="s">
        <v>169</v>
      </c>
      <c r="CF11" s="65"/>
      <c r="CG11" s="256" t="s">
        <v>165</v>
      </c>
      <c r="CH11" s="247" t="s">
        <v>164</v>
      </c>
      <c r="CI11" s="32" t="s">
        <v>168</v>
      </c>
      <c r="CJ11" s="27" t="s">
        <v>135</v>
      </c>
      <c r="CK11" s="27" t="s">
        <v>136</v>
      </c>
      <c r="CL11" s="27" t="s">
        <v>137</v>
      </c>
      <c r="CM11" s="30" t="s">
        <v>169</v>
      </c>
      <c r="CN11" s="65"/>
      <c r="CO11" s="256" t="s">
        <v>165</v>
      </c>
      <c r="CP11" s="247" t="s">
        <v>164</v>
      </c>
      <c r="CQ11" s="32" t="s">
        <v>168</v>
      </c>
      <c r="CR11" s="27" t="s">
        <v>135</v>
      </c>
      <c r="CS11" s="27" t="s">
        <v>136</v>
      </c>
      <c r="CT11" s="27" t="s">
        <v>137</v>
      </c>
      <c r="CU11" s="30" t="s">
        <v>169</v>
      </c>
      <c r="CV11" s="65"/>
      <c r="CW11" s="184" t="s">
        <v>165</v>
      </c>
      <c r="CX11" s="247" t="s">
        <v>164</v>
      </c>
      <c r="CY11" s="268" t="s">
        <v>138</v>
      </c>
      <c r="CZ11" s="258" t="s">
        <v>57</v>
      </c>
      <c r="DA11" s="269" t="s">
        <v>168</v>
      </c>
      <c r="DB11" s="261" t="s">
        <v>135</v>
      </c>
      <c r="DC11" s="27" t="s">
        <v>136</v>
      </c>
      <c r="DD11" s="262" t="s">
        <v>137</v>
      </c>
      <c r="DE11" s="30" t="s">
        <v>169</v>
      </c>
      <c r="DF11" s="65"/>
      <c r="DG11" s="30" t="s">
        <v>178</v>
      </c>
      <c r="DH11" s="30" t="s">
        <v>177</v>
      </c>
      <c r="DI11" s="30" t="s">
        <v>176</v>
      </c>
      <c r="DJ11" s="14" t="s">
        <v>175</v>
      </c>
      <c r="DK11" s="30" t="s">
        <v>173</v>
      </c>
      <c r="DL11" s="30" t="s">
        <v>174</v>
      </c>
      <c r="DM11" s="30" t="s">
        <v>171</v>
      </c>
      <c r="DN11" s="30" t="s">
        <v>172</v>
      </c>
      <c r="DO11" s="287"/>
      <c r="DP11" s="28"/>
      <c r="DQ11" s="28"/>
      <c r="DR11" s="28"/>
      <c r="DS11" s="28"/>
      <c r="DT11" s="28"/>
      <c r="DU11" s="28"/>
      <c r="DV11" s="28"/>
      <c r="DW11" s="28"/>
      <c r="DX11" s="28"/>
      <c r="DY11" s="289"/>
      <c r="DZ11" s="98" t="str">
        <f t="shared" ref="DZ11:DZ23" si="1">+E11</f>
        <v>Natural water temp- erature  T (oC)</v>
      </c>
      <c r="EA11" s="98" t="str">
        <f t="shared" ref="EA11:EA23" si="2">+F11</f>
        <v>Wind speed at 2m W (mph)</v>
      </c>
      <c r="EB11" s="98" t="str">
        <f t="shared" ref="EB11:EB23" si="3">+G11</f>
        <v>Added heat load rH (MW/ acre)</v>
      </c>
      <c r="EC11" s="153" t="s">
        <v>62</v>
      </c>
      <c r="ED11" s="154" t="s">
        <v>63</v>
      </c>
      <c r="EE11" s="154" t="s">
        <v>67</v>
      </c>
      <c r="EF11" s="154" t="s">
        <v>92</v>
      </c>
    </row>
    <row r="12" spans="1:146" ht="15" customHeight="1" thickBot="1" x14ac:dyDescent="0.4">
      <c r="A12" s="335" t="s">
        <v>80</v>
      </c>
      <c r="B12" s="60">
        <v>31</v>
      </c>
      <c r="C12" s="125">
        <v>-5.4228585413607453</v>
      </c>
      <c r="D12" s="125">
        <v>-6.7857562408223195</v>
      </c>
      <c r="E12" s="168">
        <v>0.15086848635235728</v>
      </c>
      <c r="F12" s="125">
        <v>11.119697643397066</v>
      </c>
      <c r="G12" s="337">
        <v>0.5</v>
      </c>
      <c r="H12" s="313">
        <f t="shared" ref="H12:H23" si="4">IF(CO12&lt;99,CO12,"too hot")</f>
        <v>5.5091450259743429</v>
      </c>
      <c r="I12" s="293" t="str">
        <f t="shared" ref="I12:I23" si="5">IF(H12&gt;50,"*","")</f>
        <v/>
      </c>
      <c r="J12" s="294">
        <f t="shared" ref="J12:J23" si="6">+DK12</f>
        <v>40.552541843015952</v>
      </c>
      <c r="K12" s="295">
        <f t="shared" ref="K12:K23" si="7">+DL12</f>
        <v>138.3652727683704</v>
      </c>
      <c r="L12" s="236">
        <f t="shared" ref="L12:L23" si="8">+CW12-E12</f>
        <v>5.3582765396219854</v>
      </c>
      <c r="M12" s="230">
        <f t="shared" ref="M12:M23" si="9">+(N12/DG12)*$DP$12*B12</f>
        <v>4.8148573901830858</v>
      </c>
      <c r="N12" s="231">
        <f t="shared" ref="N12:N23" si="10">+DB12</f>
        <v>1.0710440151505012E-3</v>
      </c>
      <c r="O12" s="228">
        <f t="shared" ref="O12:O23" si="11">+DE12</f>
        <v>2.9529801800569485E-3</v>
      </c>
      <c r="P12" s="238">
        <f t="shared" ref="P12:P23" si="12">N12/O12</f>
        <v>0.36269935788388735</v>
      </c>
      <c r="Q12" s="233">
        <f t="shared" ref="Q12:Q23" si="13">+AJ12</f>
        <v>0</v>
      </c>
      <c r="R12" s="368"/>
      <c r="S12" s="229" t="s">
        <v>144</v>
      </c>
      <c r="T12" s="369"/>
      <c r="U12" s="363">
        <f t="shared" ref="U12:U23" si="14">((G12*1000000/43560)/(0.3048^2))/(4.184*10000)</f>
        <v>2.9529801800569472E-3</v>
      </c>
      <c r="V12" s="310">
        <f t="shared" ref="V12:V23" si="15">IF(D12&lt;62.276,6.107799961+D12*(0.4436518521+D12*(0.01428945805+D12*(0.0002650648471+D12*(0.000003031240396+D12*(0.00000002034080948+D12*6.136820929E-11))))),-296.901212123675+16.9015967001546*D12-0.302242100380422*D12^2+0.00264123776535373*D12^3)</f>
        <v>3.6785841753962596</v>
      </c>
      <c r="W12" s="296">
        <f t="shared" ref="W12:W23" si="16">+V12-DQ$9*(C12-D12)*0.00066*(1+0.00115*D12)</f>
        <v>2.7935732424909148</v>
      </c>
      <c r="X12" s="139">
        <f t="shared" ref="X12:X23" si="17">+F12*1609.44*(1/3600)</f>
        <v>4.9712461597747151</v>
      </c>
      <c r="Y12" s="140">
        <f t="shared" ref="Y12:Y23" si="18">+H$7</f>
        <v>2.4700000000000002</v>
      </c>
      <c r="Z12" s="140">
        <f t="shared" ref="Z12:Z23" si="19">+I$7</f>
        <v>0</v>
      </c>
      <c r="AA12" s="140">
        <f t="shared" ref="AA12:AA23" si="20">+J$7</f>
        <v>0.12</v>
      </c>
      <c r="AB12" s="141">
        <f>+Y12+Z12*X12+AA12*X12^2</f>
        <v>5.4355946057289817</v>
      </c>
      <c r="AC12" s="150">
        <f>+AB12*AB$10</f>
        <v>6.2911974603344837E-7</v>
      </c>
      <c r="AD12" s="142">
        <f t="shared" ref="AD12:AD23" si="21">0.99983 + 0.00005*E12 - 0.00000625*E12^2</f>
        <v>0.99983740116619158</v>
      </c>
      <c r="AE12" s="143">
        <f t="shared" ref="AE12:AE23" si="22" xml:space="preserve"> 595.9 -0.545*E12</f>
        <v>595.81777667493793</v>
      </c>
      <c r="AF12" s="348">
        <f t="shared" ref="AF12:AF23" si="23">IF(E12&lt;62.276,6.107799961+E12*(0.4436518521+E12*(0.01428945805+E12*(0.0002650648471+E12*(0.000003031240396+E12*(0.00000002034080948+E12*6.136820929E-11))))),-296.901212123675+16.9015967001546*E12-0.302242100380422*E12^2+0.00264123776535373*E12^3)</f>
        <v>6.1750592028326077</v>
      </c>
      <c r="AG12" s="65"/>
      <c r="AH12" s="144">
        <f t="shared" ref="AH12:AH23" si="24">+AH$3+AH$4*E12+AH$5*F12+AH$6*G12+AH$7*E12^2+AH$8*F12^2+AH$9*G12^2</f>
        <v>1725.8067976565685</v>
      </c>
      <c r="AI12" s="359">
        <f t="shared" ref="AI12:AI23" si="25">+(H12-E12)/U12</f>
        <v>1814.5318332338597</v>
      </c>
      <c r="AJ12" s="297">
        <f t="shared" ref="AJ12:AJ23" si="26">+ABS((CW12-CO12)/CW12)</f>
        <v>0</v>
      </c>
      <c r="AK12" s="354">
        <f t="shared" ref="AK12:AK23" si="27">+H12</f>
        <v>5.5091450259743429</v>
      </c>
      <c r="AL12" s="105">
        <f t="shared" ref="AL12:AL23" si="28">MIN(99,E12+AH12*U12)</f>
        <v>5.2471417544397543</v>
      </c>
      <c r="AM12" s="250">
        <f t="shared" ref="AM12:AM23" si="29">IF(AL12&lt;62.276,6.107799961+AL12*(0.4436518521+AL12*(0.01428945805+AL12*(0.0002650648471+AL12*(0.000003031240396+AL12*(0.00000002034080948+AL12*6.136820929E-11))))),-296.901212123675+16.9015967001546*AL12-0.302242100380422*AL12^2+0.00264123776535373*AL12^3)</f>
        <v>8.8698016573024798</v>
      </c>
      <c r="AN12" s="251">
        <f t="shared" ref="AN12:AN23" si="30">+AD12*AE12*$AC12*(AM12-AF12)</f>
        <v>1.0099349833769453E-3</v>
      </c>
      <c r="AO12" s="251">
        <f t="shared" ref="AO12:AO23" si="31">+AC12*((AD12*$DQ$9*$DQ$5)/$DQ$6)*(AL12-E12)</f>
        <v>1.2265353308288122E-3</v>
      </c>
      <c r="AP12" s="251">
        <f t="shared" ref="AP12:AP23" si="32">+($DQ$3*$DQ$4/$DP$12)*((AL12+273.15)^4-($E12+273.15)^4)</f>
        <v>5.625730302478187E-4</v>
      </c>
      <c r="AQ12" s="190">
        <f t="shared" ref="AQ12:AQ23" si="33">+AP12+AO12+AN12</f>
        <v>2.7990433444535761E-3</v>
      </c>
      <c r="AR12" s="65"/>
      <c r="AS12" s="21">
        <f t="shared" ref="AS12:AS23" si="34">(E12+(AL12-E12)*(U12/AQ12))</f>
        <v>5.5274175786115922</v>
      </c>
      <c r="AT12" s="253">
        <f t="shared" ref="AT12:AT23" si="35">+(AS12-AL12)/AL12</f>
        <v>5.3414951851584472E-2</v>
      </c>
      <c r="AU12" s="250">
        <f t="shared" ref="AU12:AU23" si="36">IF(AS12&lt;62.276,6.107799961+AS12*(0.4436518521+AS12*(0.01428945805+AS12*(0.0002650648471+AS12*(0.000003031240396+AS12*(0.00000002034080948+AS12*6.136820929E-11))))),-296.901212123675+16.9015967001546*AS12-0.302242100380422*AS12^2+0.00264123776535373*AS12^3)</f>
        <v>9.0443246355678522</v>
      </c>
      <c r="AV12" s="251">
        <f>+$AD12*$AE12*$AC12*(AU12-$AF12)</f>
        <v>1.0753426667201047E-3</v>
      </c>
      <c r="AW12" s="251">
        <f t="shared" ref="AW12:AW23" si="37">+$AC12*(($AD12*$DQ$9*$DQ$5)/$DQ$6)*(AS12-$E12)</f>
        <v>1.2939901517617048E-3</v>
      </c>
      <c r="AX12" s="251">
        <f t="shared" ref="AX12:AX23" si="38">+($DQ$3*$DQ$4/$DP$12)*((AS12+273.15)^4-($E12+273.15)^4)</f>
        <v>5.9442311671241085E-4</v>
      </c>
      <c r="AY12" s="254">
        <f t="shared" ref="AY12:AY23" si="39">+AX12+AW12+AV12</f>
        <v>2.96375593519422E-3</v>
      </c>
      <c r="AZ12" s="65"/>
      <c r="BA12" s="22">
        <f>(AL12+(AS12-AL12)*(($U12-AQ12)/(AY12-AQ12)))</f>
        <v>5.5090814961142405</v>
      </c>
      <c r="BB12" s="253">
        <f t="shared" ref="BB12:BB23" si="40">+(BA12-AS12)/AS12</f>
        <v>-3.3172964113121171E-3</v>
      </c>
      <c r="BC12" s="250">
        <f t="shared" ref="BC12:BC23" si="41">IF(BA12&lt;62.276,6.107799961+BA12*(0.4436518521+BA12*(0.01428945805+BA12*(0.0002650648471+BA12*(0.000003031240396+BA12*(0.00000002034080948+BA12*6.136820929E-11))))),-296.901212123675+16.9015967001546*BA12-0.302242100380422*BA12^2+0.00264123776535373*BA12^3)</f>
        <v>9.0328149733345793</v>
      </c>
      <c r="BD12" s="251">
        <f>+$AD12*$AE12*$AC12*(BC12-$AF12)</f>
        <v>1.071029078044143E-3</v>
      </c>
      <c r="BE12" s="251">
        <f t="shared" ref="BE12:BE23" si="42">+$AC12*(($AD12*$DQ$9*$DQ$5)/$DQ$6)*(BA12-$E12)</f>
        <v>1.2895771519422438E-3</v>
      </c>
      <c r="BF12" s="251">
        <f t="shared" ref="BF12:BF23" si="43">+($DQ$3*$DQ$4/$DP$12)*((BA12+273.15)^4-($E12+273.15)^4)</f>
        <v>5.9233649413754062E-4</v>
      </c>
      <c r="BG12" s="190">
        <f t="shared" ref="BG12:BG23" si="44">+BF12+BE12+BD12</f>
        <v>2.9529427241239276E-3</v>
      </c>
      <c r="BH12" s="65"/>
      <c r="BI12" s="22">
        <f t="shared" ref="BI12:BI23" si="45">IF(BG12&lt;&gt;AY12,(AS12+(BA12-AS12)*(($U12-AY12)/(BG12-AY12))),BA12)</f>
        <v>5.5091450105572122</v>
      </c>
      <c r="BJ12" s="253">
        <f t="shared" ref="BJ12:BJ23" si="46">+(BI12-BA12)/BA12</f>
        <v>1.1529044000619831E-5</v>
      </c>
      <c r="BK12" s="250">
        <f t="shared" ref="BK12:BK23" si="47">IF(BI12&lt;62.276,6.107799961+BI12*(0.4436518521+BI12*(0.01428945805+BI12*(0.0002650648471+BI12*(0.000003031240396+BI12*(0.00000002034080948+BI12*6.136820929E-11))))),-296.901212123675+16.9015967001546*BI12-0.302242100380422*BI12^2+0.00264123776535373*BI12^3)</f>
        <v>9.0328548193516092</v>
      </c>
      <c r="BL12" s="251">
        <f>+$AD12*$AE12*$AC12*(BK12-$AF12)</f>
        <v>1.0710440115256265E-3</v>
      </c>
      <c r="BM12" s="251">
        <f t="shared" ref="BM12:BM23" si="48">+$AC12*(($AD12*$DQ$9*$DQ$5)/$DQ$6)*(BI12-$E12)</f>
        <v>1.2895924381532112E-3</v>
      </c>
      <c r="BN12" s="251">
        <f t="shared" ref="BN12:BN23" si="49">+($DQ$3*$DQ$4/$DP$12)*((BI12+273.15)^4-($E12+273.15)^4)</f>
        <v>5.9234372128847085E-4</v>
      </c>
      <c r="BO12" s="190">
        <f t="shared" ref="BO12:BO23" si="50">+BN12+BM12+BL12</f>
        <v>2.9529801709673085E-3</v>
      </c>
      <c r="BP12" s="65"/>
      <c r="BQ12" s="22">
        <f t="shared" ref="BQ12:BQ23" si="51">IF(BO12&lt;&gt;BG12,(BA12+(BI12-BA12)*(($U12-BG12)/(BO12-BG12))),BI12)</f>
        <v>5.5091450259743553</v>
      </c>
      <c r="BR12" s="253">
        <f t="shared" ref="BR12:BR23" si="52">+(BQ12-BI12)/BI12</f>
        <v>2.7984638429661861E-9</v>
      </c>
      <c r="BS12" s="250">
        <f t="shared" ref="BS12:BS23" si="53">IF(BQ12&lt;62.276,6.107799961+BQ12*(0.4436518521+BQ12*(0.01428945805+BQ12*(0.0002650648471+BQ12*(0.000003031240396+BQ12*(0.00000002034080948+BQ12*6.136820929E-11))))),-296.901212123675+16.9015967001546*BQ12-0.302242100380422*BQ12^2+0.00264123776535373*BQ12^3)</f>
        <v>9.0328548290236306</v>
      </c>
      <c r="BT12" s="251">
        <f>+$AD12*$AE12*$AC12*(BS12-$AF12)</f>
        <v>1.0710440151505045E-3</v>
      </c>
      <c r="BU12" s="251">
        <f t="shared" ref="BU12:BU23" si="54">+$AC12*(($AD12*$DQ$9*$DQ$5)/$DQ$6)*(BQ12-$E12)</f>
        <v>1.289592441863701E-3</v>
      </c>
      <c r="BV12" s="251">
        <f t="shared" ref="BV12:BV23" si="55">+($DQ$3*$DQ$4/$DP$12)*((BQ12+273.15)^4-($E12+273.15)^4)</f>
        <v>5.9234372304274921E-4</v>
      </c>
      <c r="BW12" s="190">
        <f t="shared" ref="BW12:BW23" si="56">+BV12+BU12+BT12</f>
        <v>2.9529801800569546E-3</v>
      </c>
      <c r="BX12" s="65"/>
      <c r="BY12" s="22">
        <f t="shared" ref="BY12:BY23" si="57">IF(BW12&lt;&gt;BO12,(BI12+(BQ12-BI12)*(($U12-BO12)/(BW12-BO12))),BQ12)</f>
        <v>5.5091450259743429</v>
      </c>
      <c r="BZ12" s="253">
        <f t="shared" ref="BZ12:BZ23" si="58">+(BY12-BQ12)/BQ12</f>
        <v>-2.2570649015729207E-15</v>
      </c>
      <c r="CA12" s="250">
        <f t="shared" ref="CA12:CA23" si="59">IF(BY12&lt;62.276,6.107799961+BY12*(0.4436518521+BY12*(0.01428945805+BY12*(0.0002650648471+BY12*(0.000003031240396+BY12*(0.00000002034080948+BY12*6.136820929E-11))))),-296.901212123675+16.9015967001546*BY12-0.302242100380422*BY12^2+0.00264123776535373*BY12^3)</f>
        <v>9.0328548290236217</v>
      </c>
      <c r="CB12" s="251">
        <f>+$AD12*$AE12*$AC12*(CA12-$AF12)</f>
        <v>1.0710440151505012E-3</v>
      </c>
      <c r="CC12" s="251">
        <f t="shared" ref="CC12:CC23" si="60">+$AC12*(($AD12*$DQ$9*$DQ$5)/$DQ$6)*(BY12-$E12)</f>
        <v>1.2895924418636982E-3</v>
      </c>
      <c r="CD12" s="251">
        <f t="shared" ref="CD12:CD23" si="61">+($DQ$3*$DQ$4/$DP$12)*((BY12+273.15)^4-($E12+273.15)^4)</f>
        <v>5.9234372304274921E-4</v>
      </c>
      <c r="CE12" s="190">
        <f t="shared" ref="CE12:CE23" si="62">+CD12+CC12+CB12</f>
        <v>2.9529801800569485E-3</v>
      </c>
      <c r="CF12" s="65"/>
      <c r="CG12" s="22">
        <f t="shared" ref="CG12:CG23" si="63">IF(CE12&lt;&gt;BW12,(BQ12+(BY12-BQ12)*(($U12-BW12)/(CE12-BW12))),BY12)</f>
        <v>5.5091450259743429</v>
      </c>
      <c r="CH12" s="253">
        <f t="shared" ref="CH12:CH23" si="64">+(CG12-BY12)/BY12</f>
        <v>0</v>
      </c>
      <c r="CI12" s="250">
        <f t="shared" ref="CI12:CI23" si="65">IF(CG12&lt;62.276,6.107799961+CG12*(0.4436518521+CG12*(0.01428945805+CG12*(0.0002650648471+CG12*(0.000003031240396+CG12*(0.00000002034080948+CG12*6.136820929E-11))))),-296.901212123675+16.9015967001546*CG12-0.302242100380422*CG12^2+0.00264123776535373*CG12^3)</f>
        <v>9.0328548290236217</v>
      </c>
      <c r="CJ12" s="251">
        <f>+$AD12*$AE12*$AC12*(CI12-$AF12)</f>
        <v>1.0710440151505012E-3</v>
      </c>
      <c r="CK12" s="251">
        <f t="shared" ref="CK12:CK23" si="66">+$AC12*(($AD12*$DQ$9*$DQ$5)/$DQ$6)*(CG12-$E12)</f>
        <v>1.2895924418636982E-3</v>
      </c>
      <c r="CL12" s="251">
        <f t="shared" ref="CL12:CL23" si="67">+($DQ$3*$DQ$4/$DP$12)*((CG12+273.15)^4-($E12+273.15)^4)</f>
        <v>5.9234372304274921E-4</v>
      </c>
      <c r="CM12" s="190">
        <f t="shared" ref="CM12:CM23" si="68">+CL12+CK12+CJ12</f>
        <v>2.9529801800569485E-3</v>
      </c>
      <c r="CN12" s="65"/>
      <c r="CO12" s="22">
        <f t="shared" ref="CO12:CO23" si="69">IF(CM12&lt;&gt;CE12,(BY12+(CG12-BY12)*(($U12-CE12)/(CM12-CE12))),CG12)</f>
        <v>5.5091450259743429</v>
      </c>
      <c r="CP12" s="253">
        <f t="shared" ref="CP12:CP23" si="70">+(CO12-CG12)/CG12</f>
        <v>0</v>
      </c>
      <c r="CQ12" s="250">
        <f t="shared" ref="CQ12:CQ23" si="71">IF(CO12&lt;62.276,6.107799961+CO12*(0.4436518521+CO12*(0.01428945805+CO12*(0.0002650648471+CO12*(0.000003031240396+CO12*(0.00000002034080948+CO12*6.136820929E-11))))),-296.901212123675+16.9015967001546*CO12-0.302242100380422*CO12^2+0.00264123776535373*CO12^3)</f>
        <v>9.0328548290236217</v>
      </c>
      <c r="CR12" s="251">
        <f>+$AD12*$AE12*$AC12*(CQ12-$AF12)</f>
        <v>1.0710440151505012E-3</v>
      </c>
      <c r="CS12" s="251">
        <f t="shared" ref="CS12:CS23" si="72">+$AC12*(($AD12*$DQ$9*$DQ$5)/$DQ$6)*(CO12-$E12)</f>
        <v>1.2895924418636982E-3</v>
      </c>
      <c r="CT12" s="251">
        <f t="shared" ref="CT12:CT23" si="73">+($DQ$3*$DQ$4/$DP$12)*((CO12+273.15)^4-($E12+273.15)^4)</f>
        <v>5.9234372304274921E-4</v>
      </c>
      <c r="CU12" s="190">
        <f t="shared" ref="CU12:CU23" si="74">+CT12+CS12+CR12</f>
        <v>2.9529801800569485E-3</v>
      </c>
      <c r="CV12" s="65"/>
      <c r="CW12" s="182">
        <f t="shared" ref="CW12:CW23" si="75">IF(CU12&lt;&gt;CM12,(CG12+(CO12-CG12)*(($U12-CM12)/(CU12-CM12))),CO12)</f>
        <v>5.5091450259743429</v>
      </c>
      <c r="CX12" s="253">
        <f t="shared" ref="CX12:CX23" si="76">+(CW12-CO12)/CO12</f>
        <v>0</v>
      </c>
      <c r="CY12" s="270">
        <f t="shared" ref="CY12:CY23" si="77">0.99983 + 0.00005*CD12 - 0.00000625*CD12^2</f>
        <v>0.99983002961499323</v>
      </c>
      <c r="CZ12" s="259">
        <f t="shared" ref="CZ12:CZ23" si="78" xml:space="preserve"> 595.9 -0.545*CD12</f>
        <v>595.89967717267086</v>
      </c>
      <c r="DA12" s="271">
        <f>IF(CW12&lt;62.276,6.107799961+CW12*(0.4436518521+CW12*(0.01428945805+CW12*(0.0002650648471+CW12*(0.000003031240396+CW12*(0.00000002034080948+CW12*6.136820929E-11))))),-296.901212123675+16.9015967001546*CW12-0.302242100380422*CW12^2+0.00264123776535373*CW12^3)</f>
        <v>9.0328548290236217</v>
      </c>
      <c r="DB12" s="263">
        <f>+$AD12*$AE12*$AC12*(DA12-$AF12)</f>
        <v>1.0710440151505012E-3</v>
      </c>
      <c r="DC12" s="248">
        <f t="shared" ref="DC12:DC23" si="79">+$AC12*(($AD12*$DQ$9*$DQ$5)/$DQ$6)*(CW12-$E12)</f>
        <v>1.2895924418636982E-3</v>
      </c>
      <c r="DD12" s="264">
        <f t="shared" ref="DD12:DD23" si="80">+($DQ$3*$DQ$4/$DP$12)*((CW12+273.15)^4-($E12+273.15)^4)</f>
        <v>5.9234372304274921E-4</v>
      </c>
      <c r="DE12" s="195">
        <f t="shared" ref="DE12:DE23" si="81">+DD12+DC12+DB12</f>
        <v>2.9529801800569485E-3</v>
      </c>
      <c r="DF12" s="65"/>
      <c r="DG12" s="17">
        <f t="shared" ref="DG12:DG23" si="82">+CY12*CZ12</f>
        <v>595.79839187511641</v>
      </c>
      <c r="DH12" s="145">
        <f>+DH$3*DG12/DH$2</f>
        <v>8943.9364685928376</v>
      </c>
      <c r="DI12" s="146">
        <f t="shared" ref="DI12:DI23" si="83">+DB12/DE12</f>
        <v>0.36269935788388735</v>
      </c>
      <c r="DJ12" s="147">
        <f t="shared" ref="DJ12:DJ23" si="84">+DH12/(DI12*1000000)</f>
        <v>2.4659366701873516E-2</v>
      </c>
      <c r="DK12" s="148">
        <f>1/DJ12</f>
        <v>40.552541843015952</v>
      </c>
      <c r="DL12" s="145">
        <f>3412000/(DJ12*1000000)</f>
        <v>138.3652727683704</v>
      </c>
      <c r="DM12" s="191">
        <f t="shared" ref="DM12:DM23" si="85">+CY12*DH$3/DH$4</f>
        <v>8.3439864565291302</v>
      </c>
      <c r="DN12" s="149">
        <f>+DH12/DM12</f>
        <v>1071.9020836370426</v>
      </c>
      <c r="DO12" s="287"/>
      <c r="DP12" s="215">
        <f>24*3600</f>
        <v>86400</v>
      </c>
      <c r="DQ12" s="216" t="s">
        <v>20</v>
      </c>
      <c r="DR12" s="217"/>
      <c r="DS12" s="28"/>
      <c r="DT12" s="28"/>
      <c r="DU12" s="28"/>
      <c r="DV12" s="28"/>
      <c r="DW12" s="28"/>
      <c r="DX12" s="28"/>
      <c r="DY12" s="289"/>
      <c r="DZ12" s="91">
        <f t="shared" si="1"/>
        <v>0.15086848635235728</v>
      </c>
      <c r="EA12" s="91">
        <f t="shared" si="2"/>
        <v>11.119697643397066</v>
      </c>
      <c r="EB12" s="91">
        <f t="shared" si="3"/>
        <v>0.5</v>
      </c>
      <c r="EC12" s="96">
        <f t="shared" ref="EC12:EC23" si="86">+AI12</f>
        <v>1814.5318332338597</v>
      </c>
      <c r="ED12" s="96">
        <f t="shared" ref="ED12:ED23" si="87">+ED$3+DZ12*ED$4+EA12*ED$5+EB12*ED$6+ED$7*DZ12^2+ED$8*EA12^2+ED$9*EB12^2</f>
        <v>1489.7539884572009</v>
      </c>
      <c r="EE12" s="96">
        <f>(ED12-EC12)^2</f>
        <v>105480.64845777152</v>
      </c>
      <c r="EF12" s="96">
        <f>SQRT(EE12)</f>
        <v>324.77784477665887</v>
      </c>
      <c r="EG12" s="2"/>
    </row>
    <row r="13" spans="1:146" ht="15" customHeight="1" thickBot="1" x14ac:dyDescent="0.45">
      <c r="A13" s="335" t="s">
        <v>81</v>
      </c>
      <c r="B13" s="219">
        <v>28</v>
      </c>
      <c r="C13" s="125">
        <v>-4.6087779409365304</v>
      </c>
      <c r="D13" s="125">
        <v>-6.3572687224669604</v>
      </c>
      <c r="E13" s="168">
        <v>0.18946484549932829</v>
      </c>
      <c r="F13" s="125">
        <v>10.461671854157403</v>
      </c>
      <c r="G13" s="338">
        <f>+G12</f>
        <v>0.5</v>
      </c>
      <c r="H13" s="313">
        <f t="shared" si="4"/>
        <v>5.8061139057801086</v>
      </c>
      <c r="I13" s="293" t="str">
        <f t="shared" si="5"/>
        <v/>
      </c>
      <c r="J13" s="294">
        <f t="shared" si="6"/>
        <v>40.280590128739654</v>
      </c>
      <c r="K13" s="295">
        <f t="shared" si="7"/>
        <v>137.43737351925969</v>
      </c>
      <c r="L13" s="236">
        <f t="shared" si="8"/>
        <v>5.6166490602807801</v>
      </c>
      <c r="M13" s="230">
        <f t="shared" si="9"/>
        <v>4.3197390196827019</v>
      </c>
      <c r="N13" s="231">
        <f t="shared" si="10"/>
        <v>1.0638613984609664E-3</v>
      </c>
      <c r="O13" s="228">
        <f t="shared" si="11"/>
        <v>2.9529801800569433E-3</v>
      </c>
      <c r="P13" s="238">
        <f t="shared" si="12"/>
        <v>0.36026702977750824</v>
      </c>
      <c r="Q13" s="233">
        <f t="shared" si="13"/>
        <v>0</v>
      </c>
      <c r="R13" s="368"/>
      <c r="S13" s="519">
        <v>0.16</v>
      </c>
      <c r="T13" s="520"/>
      <c r="U13" s="363">
        <f t="shared" si="14"/>
        <v>2.9529801800569472E-3</v>
      </c>
      <c r="V13" s="310">
        <f t="shared" si="15"/>
        <v>3.8015337697522722</v>
      </c>
      <c r="W13" s="296">
        <f t="shared" si="16"/>
        <v>2.6655703222887981</v>
      </c>
      <c r="X13" s="139">
        <f t="shared" si="17"/>
        <v>4.6770647635986373</v>
      </c>
      <c r="Y13" s="140">
        <f t="shared" si="18"/>
        <v>2.4700000000000002</v>
      </c>
      <c r="Z13" s="140">
        <f t="shared" si="19"/>
        <v>0</v>
      </c>
      <c r="AA13" s="140">
        <f t="shared" si="20"/>
        <v>0.12</v>
      </c>
      <c r="AB13" s="141">
        <f>+Y13+Z13*X13+AA13*X13^2</f>
        <v>5.0949921763475174</v>
      </c>
      <c r="AC13" s="150">
        <f>+AB13*AB$10</f>
        <v>5.8969816855874175E-7</v>
      </c>
      <c r="AD13" s="142">
        <f t="shared" si="21"/>
        <v>0.99983924888647691</v>
      </c>
      <c r="AE13" s="143">
        <f t="shared" si="22"/>
        <v>595.79674165920289</v>
      </c>
      <c r="AF13" s="348">
        <f t="shared" si="23"/>
        <v>6.1923711449274093</v>
      </c>
      <c r="AG13" s="65"/>
      <c r="AH13" s="144">
        <f t="shared" si="24"/>
        <v>1768.7089031629039</v>
      </c>
      <c r="AI13" s="359">
        <f t="shared" si="25"/>
        <v>1902.0273479019643</v>
      </c>
      <c r="AJ13" s="297">
        <f t="shared" si="26"/>
        <v>0</v>
      </c>
      <c r="AK13" s="354">
        <f t="shared" si="27"/>
        <v>5.8061139057801086</v>
      </c>
      <c r="AL13" s="105">
        <f t="shared" si="28"/>
        <v>5.4124271808296456</v>
      </c>
      <c r="AM13" s="250">
        <f t="shared" si="29"/>
        <v>8.9723582507599815</v>
      </c>
      <c r="AN13" s="251">
        <f t="shared" si="30"/>
        <v>9.7656434845756518E-4</v>
      </c>
      <c r="AO13" s="251">
        <f t="shared" si="31"/>
        <v>1.1782610313239613E-3</v>
      </c>
      <c r="AP13" s="251">
        <f t="shared" si="32"/>
        <v>5.7720000640076072E-4</v>
      </c>
      <c r="AQ13" s="190">
        <f t="shared" si="33"/>
        <v>2.7320253861822874E-3</v>
      </c>
      <c r="AR13" s="65"/>
      <c r="AS13" s="21">
        <f t="shared" si="34"/>
        <v>5.8348385434966188</v>
      </c>
      <c r="AT13" s="253">
        <f t="shared" si="35"/>
        <v>7.804471978174933E-2</v>
      </c>
      <c r="AU13" s="250">
        <f t="shared" si="36"/>
        <v>9.2392346957193379</v>
      </c>
      <c r="AV13" s="251">
        <f t="shared" ref="AV13:AV23" si="88">+$AD13*$AE13*$AC13*(AU13-$AF13)</f>
        <v>1.0703137119145415E-3</v>
      </c>
      <c r="AW13" s="251">
        <f t="shared" si="37"/>
        <v>1.2735538586247101E-3</v>
      </c>
      <c r="AX13" s="251">
        <f t="shared" si="38"/>
        <v>6.2532445909745191E-4</v>
      </c>
      <c r="AY13" s="254">
        <f t="shared" si="39"/>
        <v>2.9691920296367035E-3</v>
      </c>
      <c r="AZ13" s="65"/>
      <c r="BA13" s="22">
        <f t="shared" ref="BA13:BA23" si="89">(AL13+(AS13-AL13)*((U13-AQ13)/(AY13-AQ13)))</f>
        <v>5.8059640383276276</v>
      </c>
      <c r="BB13" s="253">
        <f t="shared" si="40"/>
        <v>-4.9486382448703792E-3</v>
      </c>
      <c r="BC13" s="250">
        <f t="shared" si="41"/>
        <v>9.2207711387040465</v>
      </c>
      <c r="BD13" s="251">
        <f t="shared" ref="BD13:BD23" si="90">+$AD13*$AE13*$AC13*(BC13-$AF13)</f>
        <v>1.0638277640160718E-3</v>
      </c>
      <c r="BE13" s="251">
        <f t="shared" si="42"/>
        <v>1.2670399873663922E-3</v>
      </c>
      <c r="BF13" s="251">
        <f t="shared" si="43"/>
        <v>6.2202787764265672E-4</v>
      </c>
      <c r="BG13" s="190">
        <f t="shared" si="44"/>
        <v>2.9528956290251207E-3</v>
      </c>
      <c r="BH13" s="65"/>
      <c r="BI13" s="22">
        <f t="shared" si="45"/>
        <v>5.8061138486608241</v>
      </c>
      <c r="BJ13" s="253">
        <f t="shared" si="46"/>
        <v>2.5802835189390931E-5</v>
      </c>
      <c r="BK13" s="250">
        <f t="shared" si="47"/>
        <v>9.2208668494331878</v>
      </c>
      <c r="BL13" s="251">
        <f t="shared" ref="BL13:BL23" si="91">+$AD13*$AE13*$AC13*(BK13-$AF13)</f>
        <v>1.0638613856417435E-3</v>
      </c>
      <c r="BM13" s="251">
        <f t="shared" si="48"/>
        <v>1.2670737834511354E-3</v>
      </c>
      <c r="BN13" s="251">
        <f t="shared" si="49"/>
        <v>6.2204497873889525E-4</v>
      </c>
      <c r="BO13" s="190">
        <f t="shared" si="50"/>
        <v>2.9529801478317742E-3</v>
      </c>
      <c r="BP13" s="65"/>
      <c r="BQ13" s="22">
        <f t="shared" si="51"/>
        <v>5.8061139057802285</v>
      </c>
      <c r="BR13" s="253">
        <f t="shared" si="52"/>
        <v>9.8378030135755644E-9</v>
      </c>
      <c r="BS13" s="250">
        <f t="shared" si="53"/>
        <v>9.2208668859257639</v>
      </c>
      <c r="BT13" s="251">
        <f t="shared" ref="BT13:BT23" si="92">+$AD13*$AE13*$AC13*(BS13-$AF13)</f>
        <v>1.0638613984609931E-3</v>
      </c>
      <c r="BU13" s="251">
        <f t="shared" si="54"/>
        <v>1.2670737963368435E-3</v>
      </c>
      <c r="BV13" s="251">
        <f t="shared" si="55"/>
        <v>6.2204498525917783E-4</v>
      </c>
      <c r="BW13" s="190">
        <f t="shared" si="56"/>
        <v>2.9529801800570145E-3</v>
      </c>
      <c r="BX13" s="65"/>
      <c r="BY13" s="22">
        <f t="shared" si="57"/>
        <v>5.8061139057801094</v>
      </c>
      <c r="BZ13" s="253">
        <f t="shared" si="58"/>
        <v>-2.0498376396186697E-14</v>
      </c>
      <c r="CA13" s="250">
        <f t="shared" si="59"/>
        <v>9.2208668859256875</v>
      </c>
      <c r="CB13" s="251">
        <f t="shared" ref="CB13:CB23" si="93">+$AD13*$AE13*$AC13*(CA13-$AF13)</f>
        <v>1.0638613984609664E-3</v>
      </c>
      <c r="CC13" s="251">
        <f t="shared" si="60"/>
        <v>1.2670737963368167E-3</v>
      </c>
      <c r="CD13" s="251">
        <f t="shared" si="61"/>
        <v>6.2204498525916655E-4</v>
      </c>
      <c r="CE13" s="190">
        <f t="shared" si="62"/>
        <v>2.9529801800569494E-3</v>
      </c>
      <c r="CF13" s="65"/>
      <c r="CG13" s="22">
        <f t="shared" si="63"/>
        <v>5.8061139057801059</v>
      </c>
      <c r="CH13" s="253">
        <f t="shared" si="64"/>
        <v>-6.1189183272200344E-16</v>
      </c>
      <c r="CI13" s="250">
        <f t="shared" si="65"/>
        <v>9.2208668859256857</v>
      </c>
      <c r="CJ13" s="251">
        <f t="shared" ref="CJ13:CJ23" si="94">+$AD13*$AE13*$AC13*(CI13-$AF13)</f>
        <v>1.0638613984609658E-3</v>
      </c>
      <c r="CK13" s="251">
        <f t="shared" si="66"/>
        <v>1.2670737963368158E-3</v>
      </c>
      <c r="CL13" s="251">
        <f t="shared" si="67"/>
        <v>6.2204498525916026E-4</v>
      </c>
      <c r="CM13" s="190">
        <f t="shared" si="68"/>
        <v>2.9529801800569416E-3</v>
      </c>
      <c r="CN13" s="65"/>
      <c r="CO13" s="22">
        <f t="shared" si="69"/>
        <v>5.8061139057801086</v>
      </c>
      <c r="CP13" s="253">
        <f t="shared" si="70"/>
        <v>4.5891887454150288E-16</v>
      </c>
      <c r="CQ13" s="250">
        <f t="shared" si="71"/>
        <v>9.2208668859256875</v>
      </c>
      <c r="CR13" s="251">
        <f t="shared" ref="CR13:CR23" si="95">+$AD13*$AE13*$AC13*(CQ13-$AF13)</f>
        <v>1.0638613984609664E-3</v>
      </c>
      <c r="CS13" s="251">
        <f t="shared" si="72"/>
        <v>1.2670737963368164E-3</v>
      </c>
      <c r="CT13" s="251">
        <f t="shared" si="73"/>
        <v>6.2204498525916026E-4</v>
      </c>
      <c r="CU13" s="190">
        <f t="shared" si="74"/>
        <v>2.9529801800569433E-3</v>
      </c>
      <c r="CV13" s="65"/>
      <c r="CW13" s="182">
        <f t="shared" si="75"/>
        <v>5.8061139057801086</v>
      </c>
      <c r="CX13" s="253">
        <f t="shared" si="76"/>
        <v>0</v>
      </c>
      <c r="CY13" s="270">
        <f t="shared" si="77"/>
        <v>0.99983003109983082</v>
      </c>
      <c r="CZ13" s="259">
        <f t="shared" si="78"/>
        <v>595.89966098548302</v>
      </c>
      <c r="DA13" s="271">
        <f t="shared" ref="DA13:DA23" si="96">IF(CW13&lt;62.276,6.107799961+CW13*(0.4436518521+CW13*(0.01428945805+CW13*(0.0002650648471+CW13*(0.000003031240396+CW13*(0.00000002034080948+CW13*6.136820929E-11))))),-296.901212123675+16.9015967001546*CW13-0.302242100380422*CW13^2+0.00264123776535373*CW13^3)</f>
        <v>9.2208668859256875</v>
      </c>
      <c r="DB13" s="263">
        <f t="shared" ref="DB13:DB23" si="97">+$AD13*$AE13*$AC13*(DA13-$AF13)</f>
        <v>1.0638613984609664E-3</v>
      </c>
      <c r="DC13" s="248">
        <f t="shared" si="79"/>
        <v>1.2670737963368164E-3</v>
      </c>
      <c r="DD13" s="264">
        <f t="shared" si="80"/>
        <v>6.2204498525916026E-4</v>
      </c>
      <c r="DE13" s="195">
        <f t="shared" si="81"/>
        <v>2.9529801800569433E-3</v>
      </c>
      <c r="DF13" s="65"/>
      <c r="DG13" s="17">
        <f t="shared" si="82"/>
        <v>595.7983765754941</v>
      </c>
      <c r="DH13" s="145">
        <f>+DH$3*DG13/DH$2</f>
        <v>8943.9362389197613</v>
      </c>
      <c r="DI13" s="146">
        <f t="shared" si="83"/>
        <v>0.36026702977750824</v>
      </c>
      <c r="DJ13" s="147">
        <f>+DH13/(DI13*1000000)</f>
        <v>2.482585276938417E-2</v>
      </c>
      <c r="DK13" s="148">
        <f>1/DJ13</f>
        <v>40.280590128739654</v>
      </c>
      <c r="DL13" s="145">
        <f t="shared" ref="DL13:DL23" si="98">3412000/(DJ13*1000000)</f>
        <v>137.43737351925969</v>
      </c>
      <c r="DM13" s="191">
        <f t="shared" si="85"/>
        <v>8.3439864689207006</v>
      </c>
      <c r="DN13" s="149">
        <f>+DH13/DM13</f>
        <v>1071.9020545195904</v>
      </c>
      <c r="DO13" s="281"/>
      <c r="DP13" s="38"/>
      <c r="DQ13" s="38"/>
      <c r="DR13" s="38"/>
      <c r="DS13" s="38"/>
      <c r="DT13" s="38"/>
      <c r="DU13" s="38"/>
      <c r="DV13" s="38"/>
      <c r="DW13" s="38"/>
      <c r="DX13" s="38"/>
      <c r="DY13" s="283"/>
      <c r="DZ13" s="91">
        <f t="shared" si="1"/>
        <v>0.18946484549932829</v>
      </c>
      <c r="EA13" s="91">
        <f t="shared" si="2"/>
        <v>10.461671854157403</v>
      </c>
      <c r="EB13" s="91">
        <f t="shared" si="3"/>
        <v>0.5</v>
      </c>
      <c r="EC13" s="96">
        <f t="shared" si="86"/>
        <v>1902.0273479019643</v>
      </c>
      <c r="ED13" s="96">
        <f>+ED$3+DZ13*ED$4+EA13*ED$5+EB13*ED$6+ED$7*DZ13^2+ED$8*EA13^2+ED$9*EB13^2</f>
        <v>1562.1867281101777</v>
      </c>
      <c r="EE13" s="96">
        <f>(ED13-EC13)^2</f>
        <v>115491.64686046565</v>
      </c>
      <c r="EF13" s="96">
        <f>SQRT(EE13)</f>
        <v>339.84061979178659</v>
      </c>
    </row>
    <row r="14" spans="1:146" ht="15" customHeight="1" x14ac:dyDescent="0.35">
      <c r="A14" s="335" t="s">
        <v>82</v>
      </c>
      <c r="B14" s="60">
        <v>31</v>
      </c>
      <c r="C14" s="125">
        <v>0.83813020068526822</v>
      </c>
      <c r="D14" s="125">
        <v>-1.5688040463370849</v>
      </c>
      <c r="E14" s="168">
        <v>2.7142473118279571</v>
      </c>
      <c r="F14" s="125">
        <v>10.788550466874169</v>
      </c>
      <c r="G14" s="338">
        <f t="shared" ref="G14:G22" si="99">+G13</f>
        <v>0.5</v>
      </c>
      <c r="H14" s="313">
        <f t="shared" si="4"/>
        <v>7.8814450603991029</v>
      </c>
      <c r="I14" s="293" t="str">
        <f t="shared" si="5"/>
        <v/>
      </c>
      <c r="J14" s="294">
        <f t="shared" si="6"/>
        <v>44.01186603359335</v>
      </c>
      <c r="K14" s="295">
        <f t="shared" si="7"/>
        <v>150.16848690662053</v>
      </c>
      <c r="L14" s="236">
        <f t="shared" si="8"/>
        <v>5.1671977485711444</v>
      </c>
      <c r="M14" s="230">
        <f t="shared" si="9"/>
        <v>5.2255875660748519</v>
      </c>
      <c r="N14" s="231">
        <f t="shared" si="10"/>
        <v>1.1624091561096451E-3</v>
      </c>
      <c r="O14" s="228">
        <f t="shared" si="11"/>
        <v>2.9529801800569407E-3</v>
      </c>
      <c r="P14" s="238">
        <f t="shared" si="12"/>
        <v>0.39363933559731207</v>
      </c>
      <c r="Q14" s="233">
        <f t="shared" si="13"/>
        <v>2.2538466306460547E-16</v>
      </c>
      <c r="R14" s="368"/>
      <c r="S14" s="527" t="s">
        <v>153</v>
      </c>
      <c r="T14" s="528"/>
      <c r="U14" s="363">
        <f t="shared" si="14"/>
        <v>2.9529801800569472E-3</v>
      </c>
      <c r="V14" s="310">
        <f t="shared" si="15"/>
        <v>5.4459603230757185</v>
      </c>
      <c r="W14" s="296">
        <f t="shared" si="16"/>
        <v>3.873543302209701</v>
      </c>
      <c r="X14" s="139">
        <f t="shared" si="17"/>
        <v>4.823201295390545</v>
      </c>
      <c r="Y14" s="140">
        <f t="shared" si="18"/>
        <v>2.4700000000000002</v>
      </c>
      <c r="Z14" s="140">
        <f t="shared" si="19"/>
        <v>0</v>
      </c>
      <c r="AA14" s="140">
        <f t="shared" si="20"/>
        <v>0.12</v>
      </c>
      <c r="AB14" s="141">
        <f>+Y14+Z14*X14+AA14*X14^2</f>
        <v>5.2615924883028438</v>
      </c>
      <c r="AC14" s="150">
        <f>+AB14*AB$10</f>
        <v>6.089806120720898E-7</v>
      </c>
      <c r="AD14" s="142">
        <f t="shared" si="21"/>
        <v>0.99991966775015539</v>
      </c>
      <c r="AE14" s="143">
        <f t="shared" si="22"/>
        <v>594.4207352150537</v>
      </c>
      <c r="AF14" s="348">
        <f t="shared" si="23"/>
        <v>7.4227210640406369</v>
      </c>
      <c r="AG14" s="65"/>
      <c r="AH14" s="144">
        <f t="shared" si="24"/>
        <v>1623.8163305003395</v>
      </c>
      <c r="AI14" s="359">
        <f t="shared" si="25"/>
        <v>1749.8247307814638</v>
      </c>
      <c r="AJ14" s="297">
        <f t="shared" si="26"/>
        <v>2.2538466306460547E-16</v>
      </c>
      <c r="AK14" s="354">
        <f t="shared" si="27"/>
        <v>7.8814450603991029</v>
      </c>
      <c r="AL14" s="105">
        <f t="shared" si="28"/>
        <v>7.5093447518482606</v>
      </c>
      <c r="AM14" s="250">
        <f t="shared" si="29"/>
        <v>10.367499283824372</v>
      </c>
      <c r="AN14" s="251">
        <f t="shared" si="30"/>
        <v>1.0658967056690638E-3</v>
      </c>
      <c r="AO14" s="251">
        <f t="shared" si="31"/>
        <v>1.1171993499407785E-3</v>
      </c>
      <c r="AP14" s="251">
        <f t="shared" si="32"/>
        <v>5.4333202870078371E-4</v>
      </c>
      <c r="AQ14" s="190">
        <f t="shared" si="33"/>
        <v>2.7264280843106261E-3</v>
      </c>
      <c r="AR14" s="65"/>
      <c r="AS14" s="21">
        <f t="shared" si="34"/>
        <v>7.9077925893671797</v>
      </c>
      <c r="AT14" s="253">
        <f t="shared" si="35"/>
        <v>5.3060266998775078E-2</v>
      </c>
      <c r="AU14" s="250">
        <f t="shared" si="36"/>
        <v>10.65324387083537</v>
      </c>
      <c r="AV14" s="251">
        <f t="shared" si="88"/>
        <v>1.1693252803276189E-3</v>
      </c>
      <c r="AW14" s="251">
        <f t="shared" si="37"/>
        <v>1.2100328472011723E-3</v>
      </c>
      <c r="AX14" s="251">
        <f t="shared" si="38"/>
        <v>5.8975250642356934E-4</v>
      </c>
      <c r="AY14" s="254">
        <f t="shared" si="39"/>
        <v>2.9691106339523607E-3</v>
      </c>
      <c r="AZ14" s="65"/>
      <c r="BA14" s="22">
        <f t="shared" si="89"/>
        <v>7.8813088373120177</v>
      </c>
      <c r="BB14" s="253">
        <f t="shared" si="40"/>
        <v>-3.3490701426301971E-3</v>
      </c>
      <c r="BC14" s="250">
        <f t="shared" si="41"/>
        <v>10.634037818785547</v>
      </c>
      <c r="BD14" s="251">
        <f t="shared" si="90"/>
        <v>1.1623734265441045E-3</v>
      </c>
      <c r="BE14" s="251">
        <f t="shared" si="42"/>
        <v>1.203862455264383E-3</v>
      </c>
      <c r="BF14" s="251">
        <f t="shared" si="43"/>
        <v>5.8666093062111101E-4</v>
      </c>
      <c r="BG14" s="190">
        <f t="shared" si="44"/>
        <v>2.9528968124295984E-3</v>
      </c>
      <c r="BH14" s="65"/>
      <c r="BI14" s="22">
        <f t="shared" si="45"/>
        <v>7.8814450104880347</v>
      </c>
      <c r="BJ14" s="253">
        <f t="shared" si="46"/>
        <v>1.7277990093767078E-5</v>
      </c>
      <c r="BK14" s="250">
        <f t="shared" si="47"/>
        <v>10.634136493540336</v>
      </c>
      <c r="BL14" s="251">
        <f t="shared" si="91"/>
        <v>1.1624091430185591E-3</v>
      </c>
      <c r="BM14" s="251">
        <f t="shared" si="48"/>
        <v>1.2038941819572456E-3</v>
      </c>
      <c r="BN14" s="251">
        <f t="shared" si="49"/>
        <v>5.8667682453584168E-4</v>
      </c>
      <c r="BO14" s="190">
        <f t="shared" si="50"/>
        <v>2.9529801495116461E-3</v>
      </c>
      <c r="BP14" s="65"/>
      <c r="BQ14" s="22">
        <f t="shared" si="51"/>
        <v>7.881445060399197</v>
      </c>
      <c r="BR14" s="253">
        <f t="shared" si="52"/>
        <v>6.3327425678683521E-9</v>
      </c>
      <c r="BS14" s="250">
        <f t="shared" si="53"/>
        <v>10.634136529707458</v>
      </c>
      <c r="BT14" s="251">
        <f t="shared" si="92"/>
        <v>1.1624091561096696E-3</v>
      </c>
      <c r="BU14" s="251">
        <f t="shared" si="54"/>
        <v>1.2038941935859392E-3</v>
      </c>
      <c r="BV14" s="251">
        <f t="shared" si="55"/>
        <v>5.8667683036139374E-4</v>
      </c>
      <c r="BW14" s="190">
        <f t="shared" si="56"/>
        <v>2.9529801800570023E-3</v>
      </c>
      <c r="BX14" s="65"/>
      <c r="BY14" s="22">
        <f t="shared" si="57"/>
        <v>7.8814450603991073</v>
      </c>
      <c r="BZ14" s="253">
        <f t="shared" si="58"/>
        <v>-1.1381925484762437E-14</v>
      </c>
      <c r="CA14" s="250">
        <f t="shared" si="59"/>
        <v>10.634136529707394</v>
      </c>
      <c r="CB14" s="251">
        <f t="shared" si="93"/>
        <v>1.1624091561096464E-3</v>
      </c>
      <c r="CC14" s="251">
        <f t="shared" si="60"/>
        <v>1.2038941935859182E-3</v>
      </c>
      <c r="CD14" s="251">
        <f t="shared" si="61"/>
        <v>5.8667683036138865E-4</v>
      </c>
      <c r="CE14" s="190">
        <f t="shared" si="62"/>
        <v>2.9529801800569529E-3</v>
      </c>
      <c r="CF14" s="65"/>
      <c r="CG14" s="22">
        <f t="shared" si="63"/>
        <v>7.8814450603990966</v>
      </c>
      <c r="CH14" s="253">
        <f t="shared" si="64"/>
        <v>-1.3523079783876317E-15</v>
      </c>
      <c r="CI14" s="250">
        <f t="shared" si="65"/>
        <v>10.634136529707387</v>
      </c>
      <c r="CJ14" s="251">
        <f t="shared" si="94"/>
        <v>1.1624091561096438E-3</v>
      </c>
      <c r="CK14" s="251">
        <f t="shared" si="66"/>
        <v>1.2038941935859156E-3</v>
      </c>
      <c r="CL14" s="251">
        <f t="shared" si="67"/>
        <v>5.8667683036137867E-4</v>
      </c>
      <c r="CM14" s="190">
        <f t="shared" si="68"/>
        <v>2.9529801800569381E-3</v>
      </c>
      <c r="CN14" s="65"/>
      <c r="CO14" s="22">
        <f t="shared" si="69"/>
        <v>7.8814450603991029</v>
      </c>
      <c r="CP14" s="253">
        <f t="shared" si="70"/>
        <v>7.888463207261196E-16</v>
      </c>
      <c r="CQ14" s="250">
        <f t="shared" si="71"/>
        <v>10.634136529707391</v>
      </c>
      <c r="CR14" s="251">
        <f t="shared" si="95"/>
        <v>1.1624091561096451E-3</v>
      </c>
      <c r="CS14" s="251">
        <f t="shared" si="72"/>
        <v>1.2038941935859173E-3</v>
      </c>
      <c r="CT14" s="251">
        <f t="shared" si="73"/>
        <v>5.8667683036138865E-4</v>
      </c>
      <c r="CU14" s="190">
        <f t="shared" si="74"/>
        <v>2.9529801800569511E-3</v>
      </c>
      <c r="CV14" s="65"/>
      <c r="CW14" s="182">
        <f t="shared" si="75"/>
        <v>7.8814450603991011</v>
      </c>
      <c r="CX14" s="253">
        <f t="shared" si="76"/>
        <v>-2.2538466306460542E-16</v>
      </c>
      <c r="CY14" s="270">
        <f t="shared" si="77"/>
        <v>0.9998300293316903</v>
      </c>
      <c r="CZ14" s="259">
        <f t="shared" si="78"/>
        <v>595.8996802611274</v>
      </c>
      <c r="DA14" s="271">
        <f t="shared" si="96"/>
        <v>10.634136529707391</v>
      </c>
      <c r="DB14" s="263">
        <f t="shared" si="97"/>
        <v>1.1624091561096451E-3</v>
      </c>
      <c r="DC14" s="248">
        <f t="shared" si="79"/>
        <v>1.2038941935859169E-3</v>
      </c>
      <c r="DD14" s="264">
        <f t="shared" si="80"/>
        <v>5.8667683036137867E-4</v>
      </c>
      <c r="DE14" s="195">
        <f t="shared" si="81"/>
        <v>2.9529801800569407E-3</v>
      </c>
      <c r="DF14" s="65"/>
      <c r="DG14" s="17">
        <f t="shared" si="82"/>
        <v>595.79839479422787</v>
      </c>
      <c r="DH14" s="145">
        <f>+DH$3*DG14/DH$2</f>
        <v>8943.9365124136129</v>
      </c>
      <c r="DI14" s="146">
        <f t="shared" si="83"/>
        <v>0.39363933559731207</v>
      </c>
      <c r="DJ14" s="147">
        <f>+DH14/(DI14*1000000)</f>
        <v>2.2721145230168622E-2</v>
      </c>
      <c r="DK14" s="148">
        <f>1/DJ14</f>
        <v>44.01186603359335</v>
      </c>
      <c r="DL14" s="145">
        <f t="shared" si="98"/>
        <v>150.16848690662053</v>
      </c>
      <c r="DM14" s="191">
        <f t="shared" si="85"/>
        <v>8.3439864541648525</v>
      </c>
      <c r="DN14" s="149">
        <f>+DH14/DM14</f>
        <v>1071.9020891925463</v>
      </c>
      <c r="DO14" s="281"/>
      <c r="DP14" s="209" t="s">
        <v>115</v>
      </c>
      <c r="DQ14" s="82"/>
      <c r="DR14" s="82"/>
      <c r="DS14" s="82"/>
      <c r="DT14" s="210" t="s">
        <v>45</v>
      </c>
      <c r="DU14" s="82"/>
      <c r="DV14" s="82"/>
      <c r="DW14" s="82"/>
      <c r="DX14" s="83"/>
      <c r="DY14" s="283"/>
      <c r="DZ14" s="91">
        <f t="shared" si="1"/>
        <v>2.7142473118279571</v>
      </c>
      <c r="EA14" s="91">
        <f t="shared" si="2"/>
        <v>10.788550466874169</v>
      </c>
      <c r="EB14" s="91">
        <f t="shared" si="3"/>
        <v>0.5</v>
      </c>
      <c r="EC14" s="96">
        <f t="shared" si="86"/>
        <v>1749.8247307814638</v>
      </c>
      <c r="ED14" s="96">
        <f>+ED$3+DZ14*ED$4+EA14*ED$5+EB14*ED$6+ED$7*DZ14^2+ED$8*EA14^2+ED$9*EB14^2</f>
        <v>1426.8392549596249</v>
      </c>
      <c r="EE14" s="96">
        <f>(ED14-EC14)^2</f>
        <v>104319.61759185969</v>
      </c>
      <c r="EF14" s="96">
        <f>SQRT(EE14)</f>
        <v>322.98547582183892</v>
      </c>
    </row>
    <row r="15" spans="1:146" ht="15" customHeight="1" x14ac:dyDescent="0.35">
      <c r="A15" s="335" t="s">
        <v>83</v>
      </c>
      <c r="B15" s="60">
        <v>30</v>
      </c>
      <c r="C15" s="125">
        <v>7.3674171969326157</v>
      </c>
      <c r="D15" s="125">
        <v>3.6462555066079321</v>
      </c>
      <c r="E15" s="168">
        <v>8.7246153846153831</v>
      </c>
      <c r="F15" s="125">
        <v>10.76367274344153</v>
      </c>
      <c r="G15" s="338">
        <f t="shared" si="99"/>
        <v>0.5</v>
      </c>
      <c r="H15" s="313">
        <f t="shared" si="4"/>
        <v>13.16036677542632</v>
      </c>
      <c r="I15" s="293" t="str">
        <f t="shared" si="5"/>
        <v/>
      </c>
      <c r="J15" s="294">
        <f t="shared" si="6"/>
        <v>52.526582897619214</v>
      </c>
      <c r="K15" s="295">
        <f t="shared" si="7"/>
        <v>179.22070084667678</v>
      </c>
      <c r="L15" s="236">
        <f t="shared" si="8"/>
        <v>4.4357513908109372</v>
      </c>
      <c r="M15" s="230">
        <f t="shared" si="9"/>
        <v>6.0353721851495381</v>
      </c>
      <c r="N15" s="231">
        <f t="shared" si="10"/>
        <v>1.3872936809269966E-3</v>
      </c>
      <c r="O15" s="228">
        <f t="shared" si="11"/>
        <v>2.9529801800569472E-3</v>
      </c>
      <c r="P15" s="238">
        <f t="shared" si="12"/>
        <v>0.46979444369323303</v>
      </c>
      <c r="Q15" s="233">
        <f t="shared" si="13"/>
        <v>0</v>
      </c>
      <c r="R15" s="368"/>
      <c r="S15" s="527"/>
      <c r="T15" s="528"/>
      <c r="U15" s="363">
        <f t="shared" si="14"/>
        <v>2.9529801800569472E-3</v>
      </c>
      <c r="V15" s="310">
        <f t="shared" si="15"/>
        <v>7.9288476502411003</v>
      </c>
      <c r="W15" s="296">
        <f t="shared" si="16"/>
        <v>5.4832581920442998</v>
      </c>
      <c r="X15" s="139">
        <f t="shared" si="17"/>
        <v>4.8120792945012605</v>
      </c>
      <c r="Y15" s="140">
        <f t="shared" si="18"/>
        <v>2.4700000000000002</v>
      </c>
      <c r="Z15" s="140">
        <f t="shared" si="19"/>
        <v>0</v>
      </c>
      <c r="AA15" s="140">
        <f t="shared" si="20"/>
        <v>0.12</v>
      </c>
      <c r="AB15" s="141">
        <f>+Y15+Z15*X15+AA15*X15^2</f>
        <v>5.2487328563881297</v>
      </c>
      <c r="AC15" s="150">
        <f>+AB15*AB$10</f>
        <v>6.074922287486275E-7</v>
      </c>
      <c r="AD15" s="142">
        <f t="shared" si="21"/>
        <v>0.99979048755917155</v>
      </c>
      <c r="AE15" s="143">
        <f t="shared" si="22"/>
        <v>591.14508461538458</v>
      </c>
      <c r="AF15" s="348">
        <f t="shared" si="23"/>
        <v>11.260840103200399</v>
      </c>
      <c r="AG15" s="65"/>
      <c r="AH15" s="144">
        <f t="shared" si="24"/>
        <v>1349.8014794432888</v>
      </c>
      <c r="AI15" s="359">
        <f t="shared" si="25"/>
        <v>1502.1270446608264</v>
      </c>
      <c r="AJ15" s="297">
        <f t="shared" si="26"/>
        <v>0</v>
      </c>
      <c r="AK15" s="354">
        <f t="shared" si="27"/>
        <v>13.16036677542632</v>
      </c>
      <c r="AL15" s="105">
        <f t="shared" si="28"/>
        <v>12.71055240042296</v>
      </c>
      <c r="AM15" s="250">
        <f t="shared" si="29"/>
        <v>14.685872765805676</v>
      </c>
      <c r="AN15" s="251">
        <f t="shared" si="30"/>
        <v>1.229726486688399E-3</v>
      </c>
      <c r="AO15" s="251">
        <f t="shared" si="31"/>
        <v>9.2628540113381193E-4</v>
      </c>
      <c r="AP15" s="251">
        <f t="shared" si="32"/>
        <v>4.7948400079995089E-4</v>
      </c>
      <c r="AQ15" s="190">
        <f t="shared" si="33"/>
        <v>2.6354958886221618E-3</v>
      </c>
      <c r="AR15" s="65"/>
      <c r="AS15" s="21">
        <f t="shared" si="34"/>
        <v>13.190717212908758</v>
      </c>
      <c r="AT15" s="253">
        <f t="shared" si="35"/>
        <v>3.7776864243116604E-2</v>
      </c>
      <c r="AU15" s="250">
        <f t="shared" si="36"/>
        <v>15.154750755136375</v>
      </c>
      <c r="AV15" s="251">
        <f t="shared" si="88"/>
        <v>1.3980728177469097E-3</v>
      </c>
      <c r="AW15" s="251">
        <f t="shared" si="37"/>
        <v>1.0378701186493835E-3</v>
      </c>
      <c r="AX15" s="251">
        <f t="shared" si="38"/>
        <v>5.3861592059216694E-4</v>
      </c>
      <c r="AY15" s="254">
        <f t="shared" si="39"/>
        <v>2.9745588569884598E-3</v>
      </c>
      <c r="AZ15" s="65"/>
      <c r="BA15" s="22">
        <f t="shared" si="89"/>
        <v>13.160158519305517</v>
      </c>
      <c r="BB15" s="253">
        <f t="shared" si="40"/>
        <v>-2.3166817323121832E-3</v>
      </c>
      <c r="BC15" s="250">
        <f t="shared" si="41"/>
        <v>15.124522894897291</v>
      </c>
      <c r="BD15" s="251">
        <f t="shared" si="90"/>
        <v>1.3872197824524547E-3</v>
      </c>
      <c r="BE15" s="251">
        <f t="shared" si="42"/>
        <v>1.0307686336911048E-3</v>
      </c>
      <c r="BF15" s="251">
        <f t="shared" si="43"/>
        <v>5.3484376616335207E-4</v>
      </c>
      <c r="BG15" s="190">
        <f t="shared" si="44"/>
        <v>2.9528321823069116E-3</v>
      </c>
      <c r="BH15" s="65"/>
      <c r="BI15" s="22">
        <f t="shared" si="45"/>
        <v>13.160366678996937</v>
      </c>
      <c r="BJ15" s="253">
        <f t="shared" si="46"/>
        <v>1.5817415201685297E-5</v>
      </c>
      <c r="BK15" s="250">
        <f t="shared" si="47"/>
        <v>15.124728621532707</v>
      </c>
      <c r="BL15" s="251">
        <f t="shared" si="91"/>
        <v>1.3872936467093859E-3</v>
      </c>
      <c r="BM15" s="251">
        <f t="shared" si="48"/>
        <v>1.0308170075822381E-3</v>
      </c>
      <c r="BN15" s="251">
        <f t="shared" si="49"/>
        <v>5.34869457237313E-4</v>
      </c>
      <c r="BO15" s="190">
        <f t="shared" si="50"/>
        <v>2.9529801115289371E-3</v>
      </c>
      <c r="BP15" s="65"/>
      <c r="BQ15" s="22">
        <f t="shared" si="51"/>
        <v>13.160366775426629</v>
      </c>
      <c r="BR15" s="253">
        <f t="shared" si="52"/>
        <v>7.3272800847722815E-9</v>
      </c>
      <c r="BS15" s="250">
        <f t="shared" si="53"/>
        <v>15.124728716835859</v>
      </c>
      <c r="BT15" s="251">
        <f t="shared" si="92"/>
        <v>1.3872936809271063E-3</v>
      </c>
      <c r="BU15" s="251">
        <f t="shared" si="54"/>
        <v>1.0308170299913771E-3</v>
      </c>
      <c r="BV15" s="251">
        <f t="shared" si="55"/>
        <v>5.3486946913868286E-4</v>
      </c>
      <c r="BW15" s="190">
        <f t="shared" si="56"/>
        <v>2.9529801800571662E-3</v>
      </c>
      <c r="BX15" s="65"/>
      <c r="BY15" s="22">
        <f t="shared" si="57"/>
        <v>13.160366775426322</v>
      </c>
      <c r="BZ15" s="253">
        <f t="shared" si="58"/>
        <v>-2.3351152628212449E-14</v>
      </c>
      <c r="CA15" s="250">
        <f t="shared" si="59"/>
        <v>15.124728716835556</v>
      </c>
      <c r="CB15" s="251">
        <f t="shared" si="93"/>
        <v>1.3872936809269972E-3</v>
      </c>
      <c r="CC15" s="251">
        <f t="shared" si="60"/>
        <v>1.0308170299913057E-3</v>
      </c>
      <c r="CD15" s="251">
        <f t="shared" si="61"/>
        <v>5.3486946913864524E-4</v>
      </c>
      <c r="CE15" s="190">
        <f t="shared" si="62"/>
        <v>2.9529801800569485E-3</v>
      </c>
      <c r="CF15" s="65"/>
      <c r="CG15" s="22">
        <f t="shared" si="63"/>
        <v>13.16036677542632</v>
      </c>
      <c r="CH15" s="253">
        <f t="shared" si="64"/>
        <v>-1.349777608567225E-16</v>
      </c>
      <c r="CI15" s="250">
        <f t="shared" si="65"/>
        <v>15.124728716835554</v>
      </c>
      <c r="CJ15" s="251">
        <f t="shared" si="94"/>
        <v>1.3872936809269966E-3</v>
      </c>
      <c r="CK15" s="251">
        <f t="shared" si="66"/>
        <v>1.0308170299913053E-3</v>
      </c>
      <c r="CL15" s="251">
        <f t="shared" si="67"/>
        <v>5.3486946913864524E-4</v>
      </c>
      <c r="CM15" s="190">
        <f t="shared" si="68"/>
        <v>2.9529801800569472E-3</v>
      </c>
      <c r="CN15" s="65"/>
      <c r="CO15" s="22">
        <f t="shared" si="69"/>
        <v>13.16036677542632</v>
      </c>
      <c r="CP15" s="253">
        <f t="shared" si="70"/>
        <v>0</v>
      </c>
      <c r="CQ15" s="250">
        <f t="shared" si="71"/>
        <v>15.124728716835554</v>
      </c>
      <c r="CR15" s="251">
        <f t="shared" si="95"/>
        <v>1.3872936809269966E-3</v>
      </c>
      <c r="CS15" s="251">
        <f t="shared" si="72"/>
        <v>1.0308170299913053E-3</v>
      </c>
      <c r="CT15" s="251">
        <f t="shared" si="73"/>
        <v>5.3486946913864524E-4</v>
      </c>
      <c r="CU15" s="190">
        <f t="shared" si="74"/>
        <v>2.9529801800569472E-3</v>
      </c>
      <c r="CV15" s="65"/>
      <c r="CW15" s="182">
        <f t="shared" si="75"/>
        <v>13.16036677542632</v>
      </c>
      <c r="CX15" s="253">
        <f t="shared" si="76"/>
        <v>0</v>
      </c>
      <c r="CY15" s="270">
        <f t="shared" si="77"/>
        <v>0.99983002674168542</v>
      </c>
      <c r="CZ15" s="259">
        <f t="shared" si="78"/>
        <v>595.89970849613928</v>
      </c>
      <c r="DA15" s="271">
        <f t="shared" si="96"/>
        <v>15.124728716835554</v>
      </c>
      <c r="DB15" s="263">
        <f t="shared" si="97"/>
        <v>1.3872936809269966E-3</v>
      </c>
      <c r="DC15" s="248">
        <f t="shared" si="79"/>
        <v>1.0308170299913053E-3</v>
      </c>
      <c r="DD15" s="264">
        <f t="shared" si="80"/>
        <v>5.3486946913864524E-4</v>
      </c>
      <c r="DE15" s="195">
        <f t="shared" si="81"/>
        <v>2.9529801800569472E-3</v>
      </c>
      <c r="DF15" s="65"/>
      <c r="DG15" s="17">
        <f t="shared" si="82"/>
        <v>595.79842148105752</v>
      </c>
      <c r="DH15" s="145">
        <f>+DH$3*DG15/DH$2</f>
        <v>8943.9369130278337</v>
      </c>
      <c r="DI15" s="146">
        <f t="shared" si="83"/>
        <v>0.46979444369323303</v>
      </c>
      <c r="DJ15" s="147">
        <f>+DH15/(DI15*1000000)</f>
        <v>1.9037979339892017E-2</v>
      </c>
      <c r="DK15" s="148">
        <f>1/DJ15</f>
        <v>52.526582897619214</v>
      </c>
      <c r="DL15" s="145">
        <f t="shared" si="98"/>
        <v>179.22070084667678</v>
      </c>
      <c r="DM15" s="191">
        <f t="shared" si="85"/>
        <v>8.3439864325502136</v>
      </c>
      <c r="DN15" s="149">
        <f>+DH15/DM15</f>
        <v>1071.9021399815788</v>
      </c>
      <c r="DO15" s="281"/>
      <c r="DP15" s="568">
        <v>252.164401</v>
      </c>
      <c r="DQ15" s="569"/>
      <c r="DR15" s="32" t="s">
        <v>35</v>
      </c>
      <c r="DS15" s="38"/>
      <c r="DT15" s="38" t="s">
        <v>106</v>
      </c>
      <c r="DU15" s="38"/>
      <c r="DV15" s="38"/>
      <c r="DW15" s="38"/>
      <c r="DX15" s="85"/>
      <c r="DY15" s="283"/>
      <c r="DZ15" s="91">
        <f t="shared" si="1"/>
        <v>8.7246153846153831</v>
      </c>
      <c r="EA15" s="91">
        <f t="shared" si="2"/>
        <v>10.76367274344153</v>
      </c>
      <c r="EB15" s="91">
        <f t="shared" si="3"/>
        <v>0.5</v>
      </c>
      <c r="EC15" s="96">
        <f t="shared" si="86"/>
        <v>1502.1270446608264</v>
      </c>
      <c r="ED15" s="96">
        <f>+ED$3+DZ15*ED$4+EA15*ED$5+EB15*ED$6+ED$7*DZ15^2+ED$8*EA15^2+ED$9*EB15^2</f>
        <v>1194.961344972088</v>
      </c>
      <c r="EE15" s="96">
        <f>(ED15-EC15)^2</f>
        <v>94350.76706527223</v>
      </c>
      <c r="EF15" s="96">
        <f>SQRT(EE15)</f>
        <v>307.16569968873841</v>
      </c>
    </row>
    <row r="16" spans="1:146" ht="15" customHeight="1" x14ac:dyDescent="0.35">
      <c r="A16" s="335" t="s">
        <v>84</v>
      </c>
      <c r="B16" s="60">
        <v>31</v>
      </c>
      <c r="C16" s="125">
        <v>13.781742535487025</v>
      </c>
      <c r="D16" s="125">
        <v>9.5443628650677095</v>
      </c>
      <c r="E16" s="168">
        <v>13.020347394540945</v>
      </c>
      <c r="F16" s="125">
        <v>9.6387950200088941</v>
      </c>
      <c r="G16" s="338">
        <f t="shared" si="99"/>
        <v>0.5</v>
      </c>
      <c r="H16" s="313">
        <f t="shared" si="4"/>
        <v>17.30509110414971</v>
      </c>
      <c r="I16" s="293" t="str">
        <f t="shared" si="5"/>
        <v/>
      </c>
      <c r="J16" s="294">
        <f t="shared" si="6"/>
        <v>57.626221548641681</v>
      </c>
      <c r="K16" s="295">
        <f t="shared" si="7"/>
        <v>196.62066792396541</v>
      </c>
      <c r="L16" s="236">
        <f t="shared" si="8"/>
        <v>4.2847437096087653</v>
      </c>
      <c r="M16" s="230">
        <f t="shared" si="9"/>
        <v>6.8420381579506389</v>
      </c>
      <c r="N16" s="231">
        <f t="shared" si="10"/>
        <v>1.5219815994789027E-3</v>
      </c>
      <c r="O16" s="228">
        <f t="shared" si="11"/>
        <v>2.9529801800569468E-3</v>
      </c>
      <c r="P16" s="238">
        <f t="shared" si="12"/>
        <v>0.51540528776916883</v>
      </c>
      <c r="Q16" s="233">
        <f t="shared" si="13"/>
        <v>0</v>
      </c>
      <c r="R16" s="368"/>
      <c r="S16" s="527"/>
      <c r="T16" s="528"/>
      <c r="U16" s="363">
        <f t="shared" si="14"/>
        <v>2.9529801800569472E-3</v>
      </c>
      <c r="V16" s="310">
        <f t="shared" si="15"/>
        <v>11.901140543168029</v>
      </c>
      <c r="W16" s="296">
        <f t="shared" si="16"/>
        <v>9.0974765065823373</v>
      </c>
      <c r="X16" s="139">
        <f t="shared" si="17"/>
        <v>4.3091839602786433</v>
      </c>
      <c r="Y16" s="140">
        <f t="shared" si="18"/>
        <v>2.4700000000000002</v>
      </c>
      <c r="Z16" s="140">
        <f t="shared" si="19"/>
        <v>0</v>
      </c>
      <c r="AA16" s="140">
        <f t="shared" si="20"/>
        <v>0.12</v>
      </c>
      <c r="AB16" s="141">
        <f>+Y16+Z16*X16+AA16*X16^2</f>
        <v>4.6982879684227274</v>
      </c>
      <c r="AC16" s="150">
        <f>+AB16*AB$10</f>
        <v>5.4378332967855764E-7</v>
      </c>
      <c r="AD16" s="142">
        <f t="shared" si="21"/>
        <v>0.9994214583305111</v>
      </c>
      <c r="AE16" s="143">
        <f t="shared" si="22"/>
        <v>588.80391066997515</v>
      </c>
      <c r="AF16" s="348">
        <f t="shared" si="23"/>
        <v>14.986900553730244</v>
      </c>
      <c r="AG16" s="65"/>
      <c r="AH16" s="144">
        <f t="shared" si="24"/>
        <v>1257.182973004521</v>
      </c>
      <c r="AI16" s="359">
        <f t="shared" si="25"/>
        <v>1450.9896607318697</v>
      </c>
      <c r="AJ16" s="297">
        <f t="shared" si="26"/>
        <v>0</v>
      </c>
      <c r="AK16" s="354">
        <f t="shared" si="27"/>
        <v>17.30509110414971</v>
      </c>
      <c r="AL16" s="105">
        <f t="shared" si="28"/>
        <v>16.732783796528363</v>
      </c>
      <c r="AM16" s="250">
        <f t="shared" si="29"/>
        <v>19.039647937356701</v>
      </c>
      <c r="AN16" s="251">
        <f t="shared" si="30"/>
        <v>1.296865029156839E-3</v>
      </c>
      <c r="AO16" s="251">
        <f t="shared" si="31"/>
        <v>7.7196612340065939E-4</v>
      </c>
      <c r="AP16" s="251">
        <f t="shared" si="32"/>
        <v>4.6649777390731694E-4</v>
      </c>
      <c r="AQ16" s="190">
        <f t="shared" si="33"/>
        <v>2.5353289264648153E-3</v>
      </c>
      <c r="AR16" s="65"/>
      <c r="AS16" s="21">
        <f t="shared" si="34"/>
        <v>17.344342991466071</v>
      </c>
      <c r="AT16" s="253">
        <f t="shared" si="35"/>
        <v>3.6548562532947547E-2</v>
      </c>
      <c r="AU16" s="250">
        <f t="shared" si="36"/>
        <v>19.792218932418262</v>
      </c>
      <c r="AV16" s="251">
        <f t="shared" si="88"/>
        <v>1.5376851230507194E-3</v>
      </c>
      <c r="AW16" s="251">
        <f t="shared" si="37"/>
        <v>8.9913408800022939E-4</v>
      </c>
      <c r="AX16" s="251">
        <f t="shared" si="38"/>
        <v>5.4508550277312137E-4</v>
      </c>
      <c r="AY16" s="254">
        <f t="shared" si="39"/>
        <v>2.9819047138240702E-3</v>
      </c>
      <c r="AZ16" s="65"/>
      <c r="BA16" s="22">
        <f t="shared" si="89"/>
        <v>17.304732548882136</v>
      </c>
      <c r="BB16" s="253">
        <f t="shared" si="40"/>
        <v>-2.2837672550309303E-3</v>
      </c>
      <c r="BC16" s="250">
        <f t="shared" si="41"/>
        <v>19.742697100619562</v>
      </c>
      <c r="BD16" s="251">
        <f t="shared" si="90"/>
        <v>1.521838309578212E-3</v>
      </c>
      <c r="BE16" s="251">
        <f t="shared" si="42"/>
        <v>8.9089747018467969E-4</v>
      </c>
      <c r="BF16" s="251">
        <f t="shared" si="43"/>
        <v>5.399803495291358E-4</v>
      </c>
      <c r="BG16" s="190">
        <f t="shared" si="44"/>
        <v>2.9527161292920278E-3</v>
      </c>
      <c r="BH16" s="65"/>
      <c r="BI16" s="22">
        <f t="shared" si="45"/>
        <v>17.3050908796416</v>
      </c>
      <c r="BJ16" s="253">
        <f t="shared" si="46"/>
        <v>2.0707096076310773E-5</v>
      </c>
      <c r="BK16" s="250">
        <f t="shared" si="47"/>
        <v>19.74314460605698</v>
      </c>
      <c r="BL16" s="251">
        <f t="shared" si="91"/>
        <v>1.5219815097575495E-3</v>
      </c>
      <c r="BM16" s="251">
        <f t="shared" si="48"/>
        <v>8.9097198168530255E-4</v>
      </c>
      <c r="BN16" s="251">
        <f t="shared" si="49"/>
        <v>5.4002652327870247E-4</v>
      </c>
      <c r="BO16" s="190">
        <f t="shared" si="50"/>
        <v>2.9529800147215547E-3</v>
      </c>
      <c r="BP16" s="65"/>
      <c r="BQ16" s="22">
        <f t="shared" si="51"/>
        <v>17.305091104150989</v>
      </c>
      <c r="BR16" s="253">
        <f t="shared" si="52"/>
        <v>1.2973603572441386E-8</v>
      </c>
      <c r="BS16" s="250">
        <f t="shared" si="53"/>
        <v>19.743144886440867</v>
      </c>
      <c r="BT16" s="251">
        <f t="shared" si="92"/>
        <v>1.5219815994794155E-3</v>
      </c>
      <c r="BU16" s="251">
        <f t="shared" si="54"/>
        <v>8.9097202836991175E-4</v>
      </c>
      <c r="BV16" s="251">
        <f t="shared" si="55"/>
        <v>5.4002655220855989E-4</v>
      </c>
      <c r="BW16" s="190">
        <f t="shared" si="56"/>
        <v>2.952980180057887E-3</v>
      </c>
      <c r="BX16" s="65"/>
      <c r="BY16" s="22">
        <f t="shared" si="57"/>
        <v>17.305091104149714</v>
      </c>
      <c r="BZ16" s="253">
        <f t="shared" si="58"/>
        <v>-7.3702253459009101E-14</v>
      </c>
      <c r="CA16" s="250">
        <f t="shared" si="59"/>
        <v>19.743144886439271</v>
      </c>
      <c r="CB16" s="251">
        <f t="shared" si="93"/>
        <v>1.521981599478905E-3</v>
      </c>
      <c r="CC16" s="251">
        <f t="shared" si="60"/>
        <v>8.9097202836964644E-4</v>
      </c>
      <c r="CD16" s="251">
        <f t="shared" si="61"/>
        <v>5.4002655220839824E-4</v>
      </c>
      <c r="CE16" s="190">
        <f t="shared" si="62"/>
        <v>2.9529801800569494E-3</v>
      </c>
      <c r="CF16" s="65"/>
      <c r="CG16" s="22">
        <f t="shared" si="63"/>
        <v>17.30509110414971</v>
      </c>
      <c r="CH16" s="253">
        <f t="shared" si="64"/>
        <v>-2.0529875615324382E-16</v>
      </c>
      <c r="CI16" s="250">
        <f t="shared" si="65"/>
        <v>19.743144886439264</v>
      </c>
      <c r="CJ16" s="251">
        <f t="shared" si="94"/>
        <v>1.5219815994789027E-3</v>
      </c>
      <c r="CK16" s="251">
        <f t="shared" si="66"/>
        <v>8.9097202836964579E-4</v>
      </c>
      <c r="CL16" s="251">
        <f t="shared" si="67"/>
        <v>5.4002655220839824E-4</v>
      </c>
      <c r="CM16" s="190">
        <f t="shared" si="68"/>
        <v>2.9529801800569468E-3</v>
      </c>
      <c r="CN16" s="65"/>
      <c r="CO16" s="22">
        <f t="shared" si="69"/>
        <v>17.30509110414971</v>
      </c>
      <c r="CP16" s="253">
        <f t="shared" si="70"/>
        <v>0</v>
      </c>
      <c r="CQ16" s="250">
        <f t="shared" si="71"/>
        <v>19.743144886439264</v>
      </c>
      <c r="CR16" s="251">
        <f t="shared" si="95"/>
        <v>1.5219815994789027E-3</v>
      </c>
      <c r="CS16" s="251">
        <f t="shared" si="72"/>
        <v>8.9097202836964579E-4</v>
      </c>
      <c r="CT16" s="251">
        <f t="shared" si="73"/>
        <v>5.4002655220839824E-4</v>
      </c>
      <c r="CU16" s="190">
        <f t="shared" si="74"/>
        <v>2.9529801800569468E-3</v>
      </c>
      <c r="CV16" s="65"/>
      <c r="CW16" s="182">
        <f t="shared" si="75"/>
        <v>17.30509110414971</v>
      </c>
      <c r="CX16" s="253">
        <f t="shared" si="76"/>
        <v>0</v>
      </c>
      <c r="CY16" s="270">
        <f t="shared" si="77"/>
        <v>0.99983002699950496</v>
      </c>
      <c r="CZ16" s="259">
        <f t="shared" si="78"/>
        <v>595.89970568552906</v>
      </c>
      <c r="DA16" s="271">
        <f t="shared" si="96"/>
        <v>19.743144886439264</v>
      </c>
      <c r="DB16" s="263">
        <f t="shared" si="97"/>
        <v>1.5219815994789027E-3</v>
      </c>
      <c r="DC16" s="248">
        <f t="shared" si="79"/>
        <v>8.9097202836964579E-4</v>
      </c>
      <c r="DD16" s="264">
        <f t="shared" si="80"/>
        <v>5.4002655220839824E-4</v>
      </c>
      <c r="DE16" s="195">
        <f t="shared" si="81"/>
        <v>2.9529801800569468E-3</v>
      </c>
      <c r="DF16" s="65"/>
      <c r="DG16" s="17">
        <f t="shared" si="82"/>
        <v>595.79841882455958</v>
      </c>
      <c r="DH16" s="145">
        <f>+DH$3*DG16/DH$2</f>
        <v>8943.9368731493305</v>
      </c>
      <c r="DI16" s="146">
        <f t="shared" si="83"/>
        <v>0.51540528776916883</v>
      </c>
      <c r="DJ16" s="147">
        <f>+DH16/(DI16*1000000)</f>
        <v>1.7353211318148123E-2</v>
      </c>
      <c r="DK16" s="148">
        <f>1/DJ16</f>
        <v>57.626221548641681</v>
      </c>
      <c r="DL16" s="145">
        <f t="shared" si="98"/>
        <v>196.62066792396541</v>
      </c>
      <c r="DM16" s="191">
        <f t="shared" si="85"/>
        <v>8.3439864347018222</v>
      </c>
      <c r="DN16" s="149">
        <f>+DH16/DM16</f>
        <v>1071.9021349258639</v>
      </c>
      <c r="DO16" s="281"/>
      <c r="DP16" s="568">
        <v>3785.4119999999998</v>
      </c>
      <c r="DQ16" s="569"/>
      <c r="DR16" s="32" t="s">
        <v>34</v>
      </c>
      <c r="DS16" s="38"/>
      <c r="DT16" s="38" t="s">
        <v>103</v>
      </c>
      <c r="DU16" s="38"/>
      <c r="DV16" s="38"/>
      <c r="DW16" s="38"/>
      <c r="DX16" s="85"/>
      <c r="DY16" s="283"/>
      <c r="DZ16" s="91">
        <f t="shared" si="1"/>
        <v>13.020347394540945</v>
      </c>
      <c r="EA16" s="91">
        <f t="shared" si="2"/>
        <v>9.6387950200088941</v>
      </c>
      <c r="EB16" s="91">
        <f t="shared" si="3"/>
        <v>0.5</v>
      </c>
      <c r="EC16" s="96">
        <f t="shared" si="86"/>
        <v>1450.9896607318697</v>
      </c>
      <c r="ED16" s="96">
        <f>+ED$3+DZ16*ED$4+EA16*ED$5+EB16*ED$6+ED$7*DZ16^2+ED$8*EA16^2+ED$9*EB16^2</f>
        <v>1156.2549716698391</v>
      </c>
      <c r="EE16" s="96">
        <f>(ED16-EC16)^2</f>
        <v>86868.536936491873</v>
      </c>
      <c r="EF16" s="96">
        <f>SQRT(EE16)</f>
        <v>294.73468906203061</v>
      </c>
    </row>
    <row r="17" spans="1:136" ht="15" customHeight="1" x14ac:dyDescent="0.35">
      <c r="A17" s="335" t="s">
        <v>85</v>
      </c>
      <c r="B17" s="60">
        <v>30</v>
      </c>
      <c r="C17" s="125">
        <v>18.799477891988904</v>
      </c>
      <c r="D17" s="125">
        <v>11.631408060042419</v>
      </c>
      <c r="E17" s="168">
        <v>17.253846153846158</v>
      </c>
      <c r="F17" s="125">
        <v>8.569808803912851</v>
      </c>
      <c r="G17" s="338">
        <f t="shared" si="99"/>
        <v>0.5</v>
      </c>
      <c r="H17" s="313">
        <f t="shared" si="4"/>
        <v>21.358585295878505</v>
      </c>
      <c r="I17" s="293" t="str">
        <f t="shared" si="5"/>
        <v/>
      </c>
      <c r="J17" s="294">
        <f t="shared" si="6"/>
        <v>62.274203823738183</v>
      </c>
      <c r="K17" s="295">
        <f t="shared" si="7"/>
        <v>212.47958344659469</v>
      </c>
      <c r="L17" s="236">
        <f t="shared" si="8"/>
        <v>4.1047391420323471</v>
      </c>
      <c r="M17" s="230">
        <f t="shared" si="9"/>
        <v>7.1553864134412946</v>
      </c>
      <c r="N17" s="231">
        <f t="shared" si="10"/>
        <v>1.6447407065738782E-3</v>
      </c>
      <c r="O17" s="228">
        <f t="shared" si="11"/>
        <v>2.9529801800569468E-3</v>
      </c>
      <c r="P17" s="238">
        <f t="shared" si="12"/>
        <v>0.55697654785551598</v>
      </c>
      <c r="Q17" s="233">
        <f t="shared" si="13"/>
        <v>0</v>
      </c>
      <c r="R17" s="368"/>
      <c r="S17" s="112"/>
      <c r="T17" s="370"/>
      <c r="U17" s="363">
        <f t="shared" si="14"/>
        <v>2.9529801800569472E-3</v>
      </c>
      <c r="V17" s="310">
        <f t="shared" si="15"/>
        <v>13.67838404251923</v>
      </c>
      <c r="W17" s="296">
        <f t="shared" si="16"/>
        <v>8.9243681166832509</v>
      </c>
      <c r="X17" s="139">
        <f t="shared" si="17"/>
        <v>3.8312758559359721</v>
      </c>
      <c r="Y17" s="140">
        <f t="shared" si="18"/>
        <v>2.4700000000000002</v>
      </c>
      <c r="Z17" s="140">
        <f t="shared" si="19"/>
        <v>0</v>
      </c>
      <c r="AA17" s="140">
        <f t="shared" si="20"/>
        <v>0.12</v>
      </c>
      <c r="AB17" s="141">
        <f t="shared" ref="AB17:AB23" si="100">+Y17+Z17*X17+AA17*X17^2</f>
        <v>4.23144096211335</v>
      </c>
      <c r="AC17" s="150">
        <f t="shared" ref="AC17:AC23" si="101">+AB17*AB$10</f>
        <v>4.897501113557129E-7</v>
      </c>
      <c r="AD17" s="142">
        <f t="shared" si="21"/>
        <v>0.99883209726331346</v>
      </c>
      <c r="AE17" s="143">
        <f t="shared" si="22"/>
        <v>586.49665384615378</v>
      </c>
      <c r="AF17" s="348">
        <f t="shared" si="23"/>
        <v>19.679237288045858</v>
      </c>
      <c r="AG17" s="65"/>
      <c r="AH17" s="144">
        <f t="shared" si="24"/>
        <v>1201.2455236827714</v>
      </c>
      <c r="AI17" s="359">
        <f t="shared" si="25"/>
        <v>1390.0327437867154</v>
      </c>
      <c r="AJ17" s="297">
        <f t="shared" si="26"/>
        <v>0</v>
      </c>
      <c r="AK17" s="354">
        <f t="shared" si="27"/>
        <v>21.358585295878505</v>
      </c>
      <c r="AL17" s="105">
        <f t="shared" si="28"/>
        <v>20.801100376663509</v>
      </c>
      <c r="AM17" s="250">
        <f t="shared" si="29"/>
        <v>24.556450229030617</v>
      </c>
      <c r="AN17" s="251">
        <f t="shared" si="30"/>
        <v>1.399278913038042E-3</v>
      </c>
      <c r="AO17" s="251">
        <f t="shared" si="31"/>
        <v>6.6393262213538455E-4</v>
      </c>
      <c r="AP17" s="251">
        <f t="shared" si="32"/>
        <v>4.6528964004434589E-4</v>
      </c>
      <c r="AQ17" s="190">
        <f t="shared" si="33"/>
        <v>2.5285011752177724E-3</v>
      </c>
      <c r="AR17" s="65"/>
      <c r="AS17" s="21">
        <f t="shared" si="34"/>
        <v>21.396605317365538</v>
      </c>
      <c r="AT17" s="253">
        <f t="shared" si="35"/>
        <v>2.8628530698795038E-2</v>
      </c>
      <c r="AU17" s="250">
        <f t="shared" si="36"/>
        <v>25.471298313136366</v>
      </c>
      <c r="AV17" s="251">
        <f t="shared" si="88"/>
        <v>1.6617500514140419E-3</v>
      </c>
      <c r="AW17" s="251">
        <f t="shared" si="37"/>
        <v>7.7539211501065244E-4</v>
      </c>
      <c r="AX17" s="251">
        <f t="shared" si="38"/>
        <v>5.4507165987223189E-4</v>
      </c>
      <c r="AY17" s="254">
        <f t="shared" si="39"/>
        <v>2.9822138262969263E-3</v>
      </c>
      <c r="AZ17" s="65"/>
      <c r="BA17" s="22">
        <f t="shared" si="89"/>
        <v>21.358235700099552</v>
      </c>
      <c r="BB17" s="253">
        <f t="shared" si="40"/>
        <v>-1.7932572338867434E-3</v>
      </c>
      <c r="BC17" s="250">
        <f t="shared" si="41"/>
        <v>25.411467341405007</v>
      </c>
      <c r="BD17" s="251">
        <f t="shared" si="90"/>
        <v>1.6445844656372271E-3</v>
      </c>
      <c r="BE17" s="251">
        <f t="shared" si="42"/>
        <v>7.6821054893121208E-4</v>
      </c>
      <c r="BF17" s="251">
        <f t="shared" si="43"/>
        <v>5.3991653073798133E-4</v>
      </c>
      <c r="BG17" s="190">
        <f t="shared" si="44"/>
        <v>2.9527115453064205E-3</v>
      </c>
      <c r="BH17" s="65"/>
      <c r="BI17" s="22">
        <f t="shared" si="45"/>
        <v>21.358585076900802</v>
      </c>
      <c r="BJ17" s="253">
        <f t="shared" si="46"/>
        <v>1.6357942957248176E-5</v>
      </c>
      <c r="BK17" s="250">
        <f t="shared" si="47"/>
        <v>25.412011581010759</v>
      </c>
      <c r="BL17" s="251">
        <f t="shared" si="91"/>
        <v>1.6447406087077025E-3</v>
      </c>
      <c r="BM17" s="251">
        <f t="shared" si="48"/>
        <v>7.6827594110250746E-4</v>
      </c>
      <c r="BN17" s="251">
        <f t="shared" si="49"/>
        <v>5.3996346197994428E-4</v>
      </c>
      <c r="BO17" s="190">
        <f t="shared" si="50"/>
        <v>2.9529800117901539E-3</v>
      </c>
      <c r="BP17" s="65"/>
      <c r="BQ17" s="22">
        <f t="shared" si="51"/>
        <v>21.35858529587977</v>
      </c>
      <c r="BR17" s="253">
        <f t="shared" si="52"/>
        <v>1.0252503501667766E-8</v>
      </c>
      <c r="BS17" s="250">
        <f t="shared" si="53"/>
        <v>25.412011922127128</v>
      </c>
      <c r="BT17" s="251">
        <f t="shared" si="92"/>
        <v>1.6447407065744448E-3</v>
      </c>
      <c r="BU17" s="251">
        <f t="shared" si="54"/>
        <v>7.682759820883719E-4</v>
      </c>
      <c r="BV17" s="251">
        <f t="shared" si="55"/>
        <v>5.3996349139510036E-4</v>
      </c>
      <c r="BW17" s="190">
        <f t="shared" si="56"/>
        <v>2.9529801800579169E-3</v>
      </c>
      <c r="BX17" s="65"/>
      <c r="BY17" s="22">
        <f t="shared" si="57"/>
        <v>21.358585295878509</v>
      </c>
      <c r="BZ17" s="253">
        <f t="shared" si="58"/>
        <v>-5.9049480033561744E-14</v>
      </c>
      <c r="CA17" s="250">
        <f t="shared" si="59"/>
        <v>25.41201192212516</v>
      </c>
      <c r="CB17" s="251">
        <f t="shared" si="93"/>
        <v>1.6447407065738801E-3</v>
      </c>
      <c r="CC17" s="251">
        <f t="shared" si="60"/>
        <v>7.6827598208813587E-4</v>
      </c>
      <c r="CD17" s="251">
        <f t="shared" si="61"/>
        <v>5.3996349139493361E-4</v>
      </c>
      <c r="CE17" s="190">
        <f t="shared" si="62"/>
        <v>2.9529801800569494E-3</v>
      </c>
      <c r="CF17" s="65"/>
      <c r="CG17" s="22">
        <f t="shared" si="63"/>
        <v>21.358585295878505</v>
      </c>
      <c r="CH17" s="253">
        <f t="shared" si="64"/>
        <v>-1.6633656347483162E-16</v>
      </c>
      <c r="CI17" s="250">
        <f t="shared" si="65"/>
        <v>25.412011922125153</v>
      </c>
      <c r="CJ17" s="251">
        <f t="shared" si="94"/>
        <v>1.6447407065738782E-3</v>
      </c>
      <c r="CK17" s="251">
        <f t="shared" si="66"/>
        <v>7.6827598208813522E-4</v>
      </c>
      <c r="CL17" s="251">
        <f t="shared" si="67"/>
        <v>5.3996349139493361E-4</v>
      </c>
      <c r="CM17" s="190">
        <f t="shared" si="68"/>
        <v>2.9529801800569468E-3</v>
      </c>
      <c r="CN17" s="65"/>
      <c r="CO17" s="22">
        <f t="shared" si="69"/>
        <v>21.358585295878505</v>
      </c>
      <c r="CP17" s="253">
        <f t="shared" si="70"/>
        <v>0</v>
      </c>
      <c r="CQ17" s="250">
        <f t="shared" si="71"/>
        <v>25.412011922125153</v>
      </c>
      <c r="CR17" s="251">
        <f t="shared" si="95"/>
        <v>1.6447407065738782E-3</v>
      </c>
      <c r="CS17" s="251">
        <f t="shared" si="72"/>
        <v>7.6827598208813522E-4</v>
      </c>
      <c r="CT17" s="251">
        <f t="shared" si="73"/>
        <v>5.3996349139493361E-4</v>
      </c>
      <c r="CU17" s="190">
        <f t="shared" si="74"/>
        <v>2.9529801800569468E-3</v>
      </c>
      <c r="CV17" s="65"/>
      <c r="CW17" s="182">
        <f t="shared" si="75"/>
        <v>21.358585295878505</v>
      </c>
      <c r="CX17" s="253">
        <f t="shared" si="76"/>
        <v>0</v>
      </c>
      <c r="CY17" s="270">
        <f t="shared" si="77"/>
        <v>0.99983002699635237</v>
      </c>
      <c r="CZ17" s="259">
        <f t="shared" si="78"/>
        <v>595.89970571989716</v>
      </c>
      <c r="DA17" s="271">
        <f t="shared" si="96"/>
        <v>25.412011922125153</v>
      </c>
      <c r="DB17" s="263">
        <f t="shared" si="97"/>
        <v>1.6447407065738782E-3</v>
      </c>
      <c r="DC17" s="248">
        <f t="shared" si="79"/>
        <v>7.6827598208813522E-4</v>
      </c>
      <c r="DD17" s="264">
        <f t="shared" si="80"/>
        <v>5.3996349139493361E-4</v>
      </c>
      <c r="DE17" s="195">
        <f t="shared" si="81"/>
        <v>2.9529801800569468E-3</v>
      </c>
      <c r="DF17" s="65"/>
      <c r="DG17" s="17">
        <f t="shared" si="82"/>
        <v>595.7984188570432</v>
      </c>
      <c r="DH17" s="145">
        <f t="shared" ref="DH17:DH23" si="102">+DH$3*DG17/DH$2</f>
        <v>8943.9368736369634</v>
      </c>
      <c r="DI17" s="146">
        <f t="shared" si="83"/>
        <v>0.55697654785551598</v>
      </c>
      <c r="DJ17" s="147">
        <f t="shared" si="84"/>
        <v>1.60580134084157E-2</v>
      </c>
      <c r="DK17" s="148">
        <f t="shared" ref="DK17:DK23" si="103">1/DJ17</f>
        <v>62.274203823738183</v>
      </c>
      <c r="DL17" s="145">
        <f t="shared" si="98"/>
        <v>212.47958344659469</v>
      </c>
      <c r="DM17" s="191">
        <f t="shared" si="85"/>
        <v>8.3439864346755126</v>
      </c>
      <c r="DN17" s="149">
        <f t="shared" ref="DN17:DN23" si="104">+DH17/DM17</f>
        <v>1071.902134987685</v>
      </c>
      <c r="DO17" s="281"/>
      <c r="DP17" s="568">
        <v>453.59237000000002</v>
      </c>
      <c r="DQ17" s="569"/>
      <c r="DR17" s="32" t="s">
        <v>44</v>
      </c>
      <c r="DS17" s="38"/>
      <c r="DT17" s="38" t="s">
        <v>103</v>
      </c>
      <c r="DU17" s="38"/>
      <c r="DV17" s="38"/>
      <c r="DW17" s="38"/>
      <c r="DX17" s="85"/>
      <c r="DY17" s="283"/>
      <c r="DZ17" s="91">
        <f t="shared" si="1"/>
        <v>17.253846153846158</v>
      </c>
      <c r="EA17" s="91">
        <f t="shared" si="2"/>
        <v>8.569808803912851</v>
      </c>
      <c r="EB17" s="91">
        <f t="shared" si="3"/>
        <v>0.5</v>
      </c>
      <c r="EC17" s="96">
        <f t="shared" si="86"/>
        <v>1390.0327437867154</v>
      </c>
      <c r="ED17" s="96">
        <f t="shared" si="87"/>
        <v>1118.6153438588551</v>
      </c>
      <c r="EE17" s="96">
        <f t="shared" ref="EE17:EE23" si="105">(ED17-EC17)^2</f>
        <v>73667.404983600049</v>
      </c>
      <c r="EF17" s="96">
        <f t="shared" ref="EF17:EF23" si="106">SQRT(EE17)</f>
        <v>271.41739992786029</v>
      </c>
    </row>
    <row r="18" spans="1:136" ht="15" customHeight="1" x14ac:dyDescent="0.35">
      <c r="A18" s="335" t="s">
        <v>86</v>
      </c>
      <c r="B18" s="60">
        <v>31</v>
      </c>
      <c r="C18" s="125">
        <v>21.59693261543481</v>
      </c>
      <c r="D18" s="125">
        <v>15.037852830804368</v>
      </c>
      <c r="E18" s="168">
        <v>21.94317617866005</v>
      </c>
      <c r="F18" s="125">
        <v>7.8849044019564261</v>
      </c>
      <c r="G18" s="338">
        <f t="shared" si="99"/>
        <v>0.5</v>
      </c>
      <c r="H18" s="313">
        <f t="shared" si="4"/>
        <v>25.692586438665046</v>
      </c>
      <c r="I18" s="293" t="str">
        <f t="shared" si="5"/>
        <v/>
      </c>
      <c r="J18" s="294">
        <f t="shared" si="6"/>
        <v>67.404684228205014</v>
      </c>
      <c r="K18" s="295">
        <f t="shared" si="7"/>
        <v>229.9847825866355</v>
      </c>
      <c r="L18" s="236">
        <f t="shared" si="8"/>
        <v>3.7494102600049963</v>
      </c>
      <c r="M18" s="230">
        <f t="shared" si="9"/>
        <v>8.003048076381523</v>
      </c>
      <c r="N18" s="231">
        <f t="shared" si="10"/>
        <v>1.7802432374172924E-3</v>
      </c>
      <c r="O18" s="228">
        <f t="shared" si="11"/>
        <v>2.9529801800569468E-3</v>
      </c>
      <c r="P18" s="238">
        <f t="shared" si="12"/>
        <v>0.60286325300800403</v>
      </c>
      <c r="Q18" s="233">
        <f t="shared" si="13"/>
        <v>0</v>
      </c>
      <c r="R18" s="368"/>
      <c r="S18" s="519">
        <v>0.32400000000000001</v>
      </c>
      <c r="T18" s="520"/>
      <c r="U18" s="363">
        <f t="shared" si="14"/>
        <v>2.9529801800569472E-3</v>
      </c>
      <c r="V18" s="310">
        <f t="shared" si="15"/>
        <v>17.083493475170986</v>
      </c>
      <c r="W18" s="296">
        <f t="shared" si="16"/>
        <v>12.716556386858134</v>
      </c>
      <c r="X18" s="139">
        <f t="shared" si="17"/>
        <v>3.5250779279679865</v>
      </c>
      <c r="Y18" s="140">
        <f t="shared" si="18"/>
        <v>2.4700000000000002</v>
      </c>
      <c r="Z18" s="140">
        <f t="shared" si="19"/>
        <v>0</v>
      </c>
      <c r="AA18" s="140">
        <f t="shared" si="20"/>
        <v>0.12</v>
      </c>
      <c r="AB18" s="141">
        <f t="shared" si="100"/>
        <v>3.961140927789649</v>
      </c>
      <c r="AC18" s="150">
        <f t="shared" si="101"/>
        <v>4.5846538516084006E-7</v>
      </c>
      <c r="AD18" s="142">
        <f t="shared" si="21"/>
        <v>0.99791776517888475</v>
      </c>
      <c r="AE18" s="143">
        <f t="shared" si="22"/>
        <v>583.94096898263024</v>
      </c>
      <c r="AF18" s="348">
        <f t="shared" si="23"/>
        <v>26.337055557512727</v>
      </c>
      <c r="AG18" s="65"/>
      <c r="AH18" s="144">
        <f t="shared" si="24"/>
        <v>1109.8686675560525</v>
      </c>
      <c r="AI18" s="359">
        <f t="shared" si="25"/>
        <v>1269.7038352396562</v>
      </c>
      <c r="AJ18" s="297">
        <f t="shared" si="26"/>
        <v>0</v>
      </c>
      <c r="AK18" s="354">
        <f t="shared" si="27"/>
        <v>25.692586438665046</v>
      </c>
      <c r="AL18" s="105">
        <f t="shared" si="28"/>
        <v>25.220596356419286</v>
      </c>
      <c r="AM18" s="250">
        <f t="shared" si="29"/>
        <v>32.088206403206975</v>
      </c>
      <c r="AN18" s="251">
        <f t="shared" si="30"/>
        <v>1.5364732741136398E-3</v>
      </c>
      <c r="AO18" s="251">
        <f t="shared" si="31"/>
        <v>5.7371748912329868E-4</v>
      </c>
      <c r="AP18" s="251">
        <f t="shared" si="32"/>
        <v>4.5031135513115696E-4</v>
      </c>
      <c r="AQ18" s="190">
        <f t="shared" si="33"/>
        <v>2.5605021183680954E-3</v>
      </c>
      <c r="AR18" s="65"/>
      <c r="AS18" s="21">
        <f t="shared" si="34"/>
        <v>25.722964821369704</v>
      </c>
      <c r="AT18" s="253">
        <f t="shared" si="35"/>
        <v>1.9918976452852698E-2</v>
      </c>
      <c r="AU18" s="250">
        <f t="shared" si="36"/>
        <v>33.060152693788957</v>
      </c>
      <c r="AV18" s="251">
        <f t="shared" si="88"/>
        <v>1.7961377377002897E-3</v>
      </c>
      <c r="AW18" s="251">
        <f t="shared" si="37"/>
        <v>6.6165786865776937E-4</v>
      </c>
      <c r="AX18" s="251">
        <f t="shared" si="38"/>
        <v>5.206610142326738E-4</v>
      </c>
      <c r="AY18" s="254">
        <f t="shared" si="39"/>
        <v>2.9784566205907329E-3</v>
      </c>
      <c r="AZ18" s="65"/>
      <c r="BA18" s="22">
        <f t="shared" si="89"/>
        <v>25.692342922920716</v>
      </c>
      <c r="BB18" s="253">
        <f t="shared" si="40"/>
        <v>-1.1904498047421246E-3</v>
      </c>
      <c r="BC18" s="250">
        <f t="shared" si="41"/>
        <v>33.000181684584895</v>
      </c>
      <c r="BD18" s="251">
        <f t="shared" si="90"/>
        <v>1.780115926529635E-3</v>
      </c>
      <c r="BE18" s="251">
        <f t="shared" si="42"/>
        <v>6.562974578048791E-4</v>
      </c>
      <c r="BF18" s="251">
        <f t="shared" si="43"/>
        <v>5.1636268042601005E-4</v>
      </c>
      <c r="BG18" s="190">
        <f t="shared" si="44"/>
        <v>2.952776064760524E-3</v>
      </c>
      <c r="BH18" s="65"/>
      <c r="BI18" s="22">
        <f t="shared" si="45"/>
        <v>25.692586313208693</v>
      </c>
      <c r="BJ18" s="253">
        <f t="shared" si="46"/>
        <v>9.4732616915263578E-6</v>
      </c>
      <c r="BK18" s="250">
        <f t="shared" si="47"/>
        <v>33.000657974616622</v>
      </c>
      <c r="BL18" s="251">
        <f t="shared" si="91"/>
        <v>1.7802431718278561E-3</v>
      </c>
      <c r="BM18" s="251">
        <f t="shared" si="48"/>
        <v>6.5634006365256471E-4</v>
      </c>
      <c r="BN18" s="251">
        <f t="shared" si="49"/>
        <v>5.1639683941837478E-4</v>
      </c>
      <c r="BO18" s="190">
        <f t="shared" si="50"/>
        <v>2.9529800748987955E-3</v>
      </c>
      <c r="BP18" s="65"/>
      <c r="BQ18" s="22">
        <f t="shared" si="51"/>
        <v>25.692586438665561</v>
      </c>
      <c r="BR18" s="253">
        <f t="shared" si="52"/>
        <v>4.8829987949037272E-9</v>
      </c>
      <c r="BS18" s="250">
        <f t="shared" si="53"/>
        <v>33.000658220124492</v>
      </c>
      <c r="BT18" s="251">
        <f t="shared" si="92"/>
        <v>1.7802432374175602E-3</v>
      </c>
      <c r="BU18" s="251">
        <f t="shared" si="54"/>
        <v>6.5634008561398416E-4</v>
      </c>
      <c r="BV18" s="251">
        <f t="shared" si="55"/>
        <v>5.1639685702583324E-4</v>
      </c>
      <c r="BW18" s="190">
        <f t="shared" si="56"/>
        <v>2.9529801800573779E-3</v>
      </c>
      <c r="BX18" s="65"/>
      <c r="BY18" s="22">
        <f t="shared" si="57"/>
        <v>25.692586438665046</v>
      </c>
      <c r="BZ18" s="253">
        <f t="shared" si="58"/>
        <v>-2.0050277330226958E-14</v>
      </c>
      <c r="CA18" s="250">
        <f t="shared" si="59"/>
        <v>33.000658220123491</v>
      </c>
      <c r="CB18" s="251">
        <f t="shared" si="93"/>
        <v>1.7802432374172924E-3</v>
      </c>
      <c r="CC18" s="251">
        <f t="shared" si="60"/>
        <v>6.5634008561389406E-4</v>
      </c>
      <c r="CD18" s="251">
        <f t="shared" si="61"/>
        <v>5.1639685702576049E-4</v>
      </c>
      <c r="CE18" s="190">
        <f t="shared" si="62"/>
        <v>2.9529801800569468E-3</v>
      </c>
      <c r="CF18" s="65"/>
      <c r="CG18" s="22">
        <f t="shared" si="63"/>
        <v>25.692586438665046</v>
      </c>
      <c r="CH18" s="253">
        <f t="shared" si="64"/>
        <v>0</v>
      </c>
      <c r="CI18" s="250">
        <f t="shared" si="65"/>
        <v>33.000658220123491</v>
      </c>
      <c r="CJ18" s="251">
        <f t="shared" si="94"/>
        <v>1.7802432374172924E-3</v>
      </c>
      <c r="CK18" s="251">
        <f t="shared" si="66"/>
        <v>6.5634008561389406E-4</v>
      </c>
      <c r="CL18" s="251">
        <f t="shared" si="67"/>
        <v>5.1639685702576049E-4</v>
      </c>
      <c r="CM18" s="190">
        <f t="shared" si="68"/>
        <v>2.9529801800569468E-3</v>
      </c>
      <c r="CN18" s="65"/>
      <c r="CO18" s="22">
        <f t="shared" si="69"/>
        <v>25.692586438665046</v>
      </c>
      <c r="CP18" s="253">
        <f t="shared" si="70"/>
        <v>0</v>
      </c>
      <c r="CQ18" s="250">
        <f t="shared" si="71"/>
        <v>33.000658220123491</v>
      </c>
      <c r="CR18" s="251">
        <f t="shared" si="95"/>
        <v>1.7802432374172924E-3</v>
      </c>
      <c r="CS18" s="251">
        <f t="shared" si="72"/>
        <v>6.5634008561389406E-4</v>
      </c>
      <c r="CT18" s="251">
        <f t="shared" si="73"/>
        <v>5.1639685702576049E-4</v>
      </c>
      <c r="CU18" s="190">
        <f t="shared" si="74"/>
        <v>2.9529801800569468E-3</v>
      </c>
      <c r="CV18" s="65"/>
      <c r="CW18" s="182">
        <f t="shared" si="75"/>
        <v>25.692586438665046</v>
      </c>
      <c r="CX18" s="253">
        <f t="shared" si="76"/>
        <v>0</v>
      </c>
      <c r="CY18" s="270">
        <f t="shared" si="77"/>
        <v>0.99983002581817615</v>
      </c>
      <c r="CZ18" s="259">
        <f t="shared" si="78"/>
        <v>595.8997185637129</v>
      </c>
      <c r="DA18" s="271">
        <f t="shared" si="96"/>
        <v>33.000658220123491</v>
      </c>
      <c r="DB18" s="263">
        <f t="shared" si="97"/>
        <v>1.7802432374172924E-3</v>
      </c>
      <c r="DC18" s="248">
        <f t="shared" si="79"/>
        <v>6.5634008561389406E-4</v>
      </c>
      <c r="DD18" s="264">
        <f t="shared" si="80"/>
        <v>5.1639685702576049E-4</v>
      </c>
      <c r="DE18" s="195">
        <f t="shared" si="81"/>
        <v>2.9529801800569468E-3</v>
      </c>
      <c r="DF18" s="65"/>
      <c r="DG18" s="17">
        <f t="shared" si="82"/>
        <v>595.79843099660093</v>
      </c>
      <c r="DH18" s="145">
        <f t="shared" si="102"/>
        <v>8943.937055872153</v>
      </c>
      <c r="DI18" s="146">
        <f t="shared" si="83"/>
        <v>0.60286325300800403</v>
      </c>
      <c r="DJ18" s="147">
        <f t="shared" si="84"/>
        <v>1.4835764182418009E-2</v>
      </c>
      <c r="DK18" s="148">
        <f t="shared" si="103"/>
        <v>67.404684228205014</v>
      </c>
      <c r="DL18" s="145">
        <f t="shared" si="98"/>
        <v>229.9847825866355</v>
      </c>
      <c r="DM18" s="191">
        <f t="shared" si="85"/>
        <v>8.3439864248431554</v>
      </c>
      <c r="DN18" s="149">
        <f t="shared" si="104"/>
        <v>1071.9021580910919</v>
      </c>
      <c r="DO18" s="281"/>
      <c r="DP18" s="568">
        <v>4.1840000000000002</v>
      </c>
      <c r="DQ18" s="569"/>
      <c r="DR18" s="27" t="s">
        <v>101</v>
      </c>
      <c r="DS18" s="38"/>
      <c r="DT18" s="38" t="s">
        <v>103</v>
      </c>
      <c r="DU18" s="38"/>
      <c r="DV18" s="38"/>
      <c r="DW18" s="38"/>
      <c r="DX18" s="85"/>
      <c r="DY18" s="283"/>
      <c r="DZ18" s="91">
        <f t="shared" si="1"/>
        <v>21.94317617866005</v>
      </c>
      <c r="EA18" s="91">
        <f t="shared" si="2"/>
        <v>7.8849044019564261</v>
      </c>
      <c r="EB18" s="91">
        <f t="shared" si="3"/>
        <v>0.5</v>
      </c>
      <c r="EC18" s="96">
        <f t="shared" si="86"/>
        <v>1269.7038352396562</v>
      </c>
      <c r="ED18" s="96">
        <f t="shared" si="87"/>
        <v>1019.3122220169993</v>
      </c>
      <c r="EE18" s="96">
        <f t="shared" si="105"/>
        <v>62695.959972244622</v>
      </c>
      <c r="EF18" s="96">
        <f t="shared" si="106"/>
        <v>250.39161322265693</v>
      </c>
    </row>
    <row r="19" spans="1:136" ht="15" customHeight="1" x14ac:dyDescent="0.35">
      <c r="A19" s="335" t="s">
        <v>87</v>
      </c>
      <c r="B19" s="60">
        <v>31</v>
      </c>
      <c r="C19" s="125">
        <v>20.9228422254854</v>
      </c>
      <c r="D19" s="125">
        <v>15.417196932615431</v>
      </c>
      <c r="E19" s="168">
        <v>19.815136476426801</v>
      </c>
      <c r="F19" s="125">
        <v>7.4648510449088494</v>
      </c>
      <c r="G19" s="338">
        <f t="shared" si="99"/>
        <v>0.5</v>
      </c>
      <c r="H19" s="313">
        <f t="shared" si="4"/>
        <v>23.938260710785723</v>
      </c>
      <c r="I19" s="293" t="str">
        <f t="shared" si="5"/>
        <v/>
      </c>
      <c r="J19" s="294">
        <f t="shared" si="6"/>
        <v>64.452684967024368</v>
      </c>
      <c r="K19" s="295">
        <f t="shared" si="7"/>
        <v>219.91256110748716</v>
      </c>
      <c r="L19" s="236">
        <f t="shared" si="8"/>
        <v>4.1231242343589223</v>
      </c>
      <c r="M19" s="230">
        <f t="shared" si="9"/>
        <v>7.6525532661293649</v>
      </c>
      <c r="N19" s="231">
        <f t="shared" si="10"/>
        <v>1.7022771317853297E-3</v>
      </c>
      <c r="O19" s="228">
        <f t="shared" si="11"/>
        <v>2.9529801800569468E-3</v>
      </c>
      <c r="P19" s="238">
        <f t="shared" si="12"/>
        <v>0.57646073728557912</v>
      </c>
      <c r="Q19" s="233">
        <f t="shared" si="13"/>
        <v>0</v>
      </c>
      <c r="R19" s="368"/>
      <c r="S19" s="556" t="s">
        <v>193</v>
      </c>
      <c r="T19" s="557"/>
      <c r="U19" s="363">
        <f t="shared" si="14"/>
        <v>2.9529801800569472E-3</v>
      </c>
      <c r="V19" s="310">
        <f t="shared" si="15"/>
        <v>17.505258056338562</v>
      </c>
      <c r="W19" s="296">
        <f t="shared" si="16"/>
        <v>13.838109967771462</v>
      </c>
      <c r="X19" s="139">
        <f t="shared" si="17"/>
        <v>3.3372860738105827</v>
      </c>
      <c r="Y19" s="140">
        <f t="shared" si="18"/>
        <v>2.4700000000000002</v>
      </c>
      <c r="Z19" s="140">
        <f t="shared" si="19"/>
        <v>0</v>
      </c>
      <c r="AA19" s="140">
        <f t="shared" si="20"/>
        <v>0.12</v>
      </c>
      <c r="AB19" s="141">
        <f t="shared" si="100"/>
        <v>3.8064974006140067</v>
      </c>
      <c r="AC19" s="150">
        <f t="shared" si="101"/>
        <v>4.4056682877477031E-7</v>
      </c>
      <c r="AD19" s="142">
        <f t="shared" si="21"/>
        <v>0.99836675911395001</v>
      </c>
      <c r="AE19" s="143">
        <f t="shared" si="22"/>
        <v>585.10075062034741</v>
      </c>
      <c r="AF19" s="348">
        <f t="shared" si="23"/>
        <v>23.104855192891193</v>
      </c>
      <c r="AG19" s="65"/>
      <c r="AH19" s="144">
        <f t="shared" si="24"/>
        <v>1252.5902868230528</v>
      </c>
      <c r="AI19" s="359">
        <f t="shared" si="25"/>
        <v>1396.258688833939</v>
      </c>
      <c r="AJ19" s="297">
        <f t="shared" si="26"/>
        <v>0</v>
      </c>
      <c r="AK19" s="354">
        <f t="shared" si="27"/>
        <v>23.938260710785723</v>
      </c>
      <c r="AL19" s="105">
        <f t="shared" si="28"/>
        <v>23.514010767147123</v>
      </c>
      <c r="AM19" s="250">
        <f t="shared" si="29"/>
        <v>28.97000083841727</v>
      </c>
      <c r="AN19" s="251">
        <f t="shared" si="30"/>
        <v>1.5094243930339468E-3</v>
      </c>
      <c r="AO19" s="251">
        <f t="shared" si="31"/>
        <v>6.2249539046423845E-4</v>
      </c>
      <c r="AP19" s="251">
        <f t="shared" si="32"/>
        <v>4.9843483303897923E-4</v>
      </c>
      <c r="AQ19" s="190">
        <f t="shared" si="33"/>
        <v>2.6303546165371647E-3</v>
      </c>
      <c r="AR19" s="65"/>
      <c r="AS19" s="21">
        <f t="shared" si="34"/>
        <v>23.967695374891576</v>
      </c>
      <c r="AT19" s="253">
        <f t="shared" si="35"/>
        <v>1.9294224717219394E-2</v>
      </c>
      <c r="AU19" s="250">
        <f t="shared" si="36"/>
        <v>29.771978733068501</v>
      </c>
      <c r="AV19" s="251">
        <f t="shared" si="88"/>
        <v>1.7158173916091762E-3</v>
      </c>
      <c r="AW19" s="251">
        <f t="shared" si="37"/>
        <v>6.9884742485319304E-4</v>
      </c>
      <c r="AX19" s="251">
        <f t="shared" si="38"/>
        <v>5.6086861302580304E-4</v>
      </c>
      <c r="AY19" s="254">
        <f t="shared" si="39"/>
        <v>2.9755334294881723E-3</v>
      </c>
      <c r="AZ19" s="65"/>
      <c r="BA19" s="22">
        <f t="shared" si="89"/>
        <v>23.938052587624039</v>
      </c>
      <c r="BB19" s="253">
        <f t="shared" si="40"/>
        <v>-1.2367808754191255E-3</v>
      </c>
      <c r="BC19" s="250">
        <f t="shared" si="41"/>
        <v>29.718993845316191</v>
      </c>
      <c r="BD19" s="251">
        <f t="shared" si="90"/>
        <v>1.7021814673083863E-3</v>
      </c>
      <c r="BE19" s="251">
        <f t="shared" si="42"/>
        <v>6.9385874532957496E-4</v>
      </c>
      <c r="BF19" s="251">
        <f t="shared" si="43"/>
        <v>5.5678057925039775E-4</v>
      </c>
      <c r="BG19" s="190">
        <f t="shared" si="44"/>
        <v>2.9528207918883588E-3</v>
      </c>
      <c r="BH19" s="65"/>
      <c r="BI19" s="22">
        <f t="shared" si="45"/>
        <v>23.938260608799638</v>
      </c>
      <c r="BJ19" s="253">
        <f t="shared" si="46"/>
        <v>8.6899790547858851E-6</v>
      </c>
      <c r="BK19" s="250">
        <f t="shared" si="47"/>
        <v>29.719365385052676</v>
      </c>
      <c r="BL19" s="251">
        <f t="shared" si="91"/>
        <v>1.7022770849068442E-3</v>
      </c>
      <c r="BM19" s="251">
        <f t="shared" si="48"/>
        <v>6.9389375387886635E-4</v>
      </c>
      <c r="BN19" s="251">
        <f t="shared" si="49"/>
        <v>5.5680926316637033E-4</v>
      </c>
      <c r="BO19" s="190">
        <f t="shared" si="50"/>
        <v>2.9529801019520809E-3</v>
      </c>
      <c r="BP19" s="65"/>
      <c r="BQ19" s="22">
        <f t="shared" si="51"/>
        <v>23.938260710786079</v>
      </c>
      <c r="BR19" s="253">
        <f t="shared" si="52"/>
        <v>4.260394783591276E-9</v>
      </c>
      <c r="BS19" s="250">
        <f t="shared" si="53"/>
        <v>29.719365567208278</v>
      </c>
      <c r="BT19" s="251">
        <f t="shared" si="92"/>
        <v>1.7022771317854941E-3</v>
      </c>
      <c r="BU19" s="251">
        <f t="shared" si="54"/>
        <v>6.9389377104249071E-4</v>
      </c>
      <c r="BV19" s="251">
        <f t="shared" si="55"/>
        <v>5.5680927722924034E-4</v>
      </c>
      <c r="BW19" s="190">
        <f t="shared" si="56"/>
        <v>2.9529801800572252E-3</v>
      </c>
      <c r="BX19" s="65"/>
      <c r="BY19" s="22">
        <f t="shared" si="57"/>
        <v>23.938260710785716</v>
      </c>
      <c r="BZ19" s="253">
        <f t="shared" si="58"/>
        <v>-1.5137975127590272E-14</v>
      </c>
      <c r="CA19" s="250">
        <f t="shared" si="59"/>
        <v>29.719365567207625</v>
      </c>
      <c r="CB19" s="251">
        <f t="shared" si="93"/>
        <v>1.702277131785326E-3</v>
      </c>
      <c r="CC19" s="251">
        <f t="shared" si="60"/>
        <v>6.9389377104242978E-4</v>
      </c>
      <c r="CD19" s="251">
        <f t="shared" si="61"/>
        <v>5.5680927722918635E-4</v>
      </c>
      <c r="CE19" s="190">
        <f t="shared" si="62"/>
        <v>2.952980180056942E-3</v>
      </c>
      <c r="CF19" s="65"/>
      <c r="CG19" s="22">
        <f t="shared" si="63"/>
        <v>23.938260710785723</v>
      </c>
      <c r="CH19" s="253">
        <f t="shared" si="64"/>
        <v>2.9682304171746083E-16</v>
      </c>
      <c r="CI19" s="250">
        <f t="shared" si="65"/>
        <v>29.719365567207639</v>
      </c>
      <c r="CJ19" s="251">
        <f t="shared" si="94"/>
        <v>1.7022771317853297E-3</v>
      </c>
      <c r="CK19" s="251">
        <f t="shared" si="66"/>
        <v>6.9389377104243097E-4</v>
      </c>
      <c r="CL19" s="251">
        <f t="shared" si="67"/>
        <v>5.5680927722918635E-4</v>
      </c>
      <c r="CM19" s="190">
        <f t="shared" si="68"/>
        <v>2.9529801800569468E-3</v>
      </c>
      <c r="CN19" s="65"/>
      <c r="CO19" s="22">
        <f t="shared" si="69"/>
        <v>23.938260710785723</v>
      </c>
      <c r="CP19" s="253">
        <f t="shared" si="70"/>
        <v>0</v>
      </c>
      <c r="CQ19" s="250">
        <f t="shared" si="71"/>
        <v>29.719365567207639</v>
      </c>
      <c r="CR19" s="251">
        <f t="shared" si="95"/>
        <v>1.7022771317853297E-3</v>
      </c>
      <c r="CS19" s="251">
        <f t="shared" si="72"/>
        <v>6.9389377104243097E-4</v>
      </c>
      <c r="CT19" s="251">
        <f t="shared" si="73"/>
        <v>5.5680927722918635E-4</v>
      </c>
      <c r="CU19" s="190">
        <f t="shared" si="74"/>
        <v>2.9529801800569468E-3</v>
      </c>
      <c r="CV19" s="65"/>
      <c r="CW19" s="182">
        <f t="shared" si="75"/>
        <v>23.938260710785723</v>
      </c>
      <c r="CX19" s="253">
        <f t="shared" si="76"/>
        <v>0</v>
      </c>
      <c r="CY19" s="270">
        <f t="shared" si="77"/>
        <v>0.99983002783852604</v>
      </c>
      <c r="CZ19" s="259">
        <f t="shared" si="78"/>
        <v>595.89969653894389</v>
      </c>
      <c r="DA19" s="271">
        <f t="shared" si="96"/>
        <v>29.719365567207639</v>
      </c>
      <c r="DB19" s="263">
        <f t="shared" si="97"/>
        <v>1.7022771317853297E-3</v>
      </c>
      <c r="DC19" s="248">
        <f t="shared" si="79"/>
        <v>6.9389377104243097E-4</v>
      </c>
      <c r="DD19" s="264">
        <f t="shared" si="80"/>
        <v>5.5680927722918635E-4</v>
      </c>
      <c r="DE19" s="195">
        <f t="shared" si="81"/>
        <v>2.9529801800569468E-3</v>
      </c>
      <c r="DF19" s="65"/>
      <c r="DG19" s="17">
        <f t="shared" si="82"/>
        <v>595.7984101795015</v>
      </c>
      <c r="DH19" s="145">
        <f t="shared" si="102"/>
        <v>8943.9367433724601</v>
      </c>
      <c r="DI19" s="146">
        <f t="shared" si="83"/>
        <v>0.57646073728557912</v>
      </c>
      <c r="DJ19" s="147">
        <f t="shared" si="84"/>
        <v>1.5515257440580254E-2</v>
      </c>
      <c r="DK19" s="148">
        <f t="shared" si="103"/>
        <v>64.452684967024368</v>
      </c>
      <c r="DL19" s="145">
        <f t="shared" si="98"/>
        <v>219.91256110748716</v>
      </c>
      <c r="DM19" s="191">
        <f t="shared" si="85"/>
        <v>8.3439864417037928</v>
      </c>
      <c r="DN19" s="149">
        <f t="shared" si="104"/>
        <v>1071.9021184730211</v>
      </c>
      <c r="DO19" s="281"/>
      <c r="DP19" s="568">
        <v>1055.056</v>
      </c>
      <c r="DQ19" s="569"/>
      <c r="DR19" s="27" t="s">
        <v>100</v>
      </c>
      <c r="DS19" s="38"/>
      <c r="DT19" s="38" t="s">
        <v>103</v>
      </c>
      <c r="DU19" s="38"/>
      <c r="DV19" s="38"/>
      <c r="DW19" s="38"/>
      <c r="DX19" s="85"/>
      <c r="DY19" s="283"/>
      <c r="DZ19" s="91">
        <f t="shared" si="1"/>
        <v>19.815136476426801</v>
      </c>
      <c r="EA19" s="91">
        <f t="shared" si="2"/>
        <v>7.4648510449088494</v>
      </c>
      <c r="EB19" s="91">
        <f t="shared" si="3"/>
        <v>0.5</v>
      </c>
      <c r="EC19" s="96">
        <f t="shared" si="86"/>
        <v>1396.258688833939</v>
      </c>
      <c r="ED19" s="96">
        <f t="shared" si="87"/>
        <v>1156.2736945199076</v>
      </c>
      <c r="EE19" s="96">
        <f t="shared" si="105"/>
        <v>57592.797495905674</v>
      </c>
      <c r="EF19" s="96">
        <f t="shared" si="106"/>
        <v>239.98499431403138</v>
      </c>
    </row>
    <row r="20" spans="1:136" ht="15" customHeight="1" thickBot="1" x14ac:dyDescent="0.4">
      <c r="A20" s="335" t="s">
        <v>88</v>
      </c>
      <c r="B20" s="60">
        <v>30</v>
      </c>
      <c r="C20" s="125">
        <v>16.235144395496818</v>
      </c>
      <c r="D20" s="125">
        <v>10.918910099526842</v>
      </c>
      <c r="E20" s="168">
        <v>16.756666666666668</v>
      </c>
      <c r="F20" s="125">
        <v>8.3157847932414413</v>
      </c>
      <c r="G20" s="338">
        <f t="shared" si="99"/>
        <v>0.5</v>
      </c>
      <c r="H20" s="313">
        <f t="shared" si="4"/>
        <v>21.000740783687217</v>
      </c>
      <c r="I20" s="293" t="str">
        <f t="shared" si="5"/>
        <v/>
      </c>
      <c r="J20" s="294">
        <f t="shared" si="6"/>
        <v>61.414144308110629</v>
      </c>
      <c r="K20" s="295">
        <f t="shared" si="7"/>
        <v>209.54506037927348</v>
      </c>
      <c r="L20" s="236">
        <f t="shared" si="8"/>
        <v>4.2440741170205492</v>
      </c>
      <c r="M20" s="230">
        <f t="shared" si="9"/>
        <v>7.0565644647851391</v>
      </c>
      <c r="N20" s="231">
        <f t="shared" si="10"/>
        <v>1.6220254216574447E-3</v>
      </c>
      <c r="O20" s="228">
        <f t="shared" si="11"/>
        <v>2.9529801800569464E-3</v>
      </c>
      <c r="P20" s="238">
        <f t="shared" si="12"/>
        <v>0.54928422229578422</v>
      </c>
      <c r="Q20" s="233">
        <f t="shared" si="13"/>
        <v>0</v>
      </c>
      <c r="R20" s="368"/>
      <c r="S20" s="112"/>
      <c r="T20" s="370"/>
      <c r="U20" s="363">
        <f t="shared" si="14"/>
        <v>2.9529801800569472E-3</v>
      </c>
      <c r="V20" s="310">
        <f t="shared" si="15"/>
        <v>13.047024354671809</v>
      </c>
      <c r="W20" s="296">
        <f t="shared" si="16"/>
        <v>9.52403587129111</v>
      </c>
      <c r="X20" s="139">
        <f t="shared" si="17"/>
        <v>3.7177101882318073</v>
      </c>
      <c r="Y20" s="140">
        <f t="shared" si="18"/>
        <v>2.4700000000000002</v>
      </c>
      <c r="Z20" s="140">
        <f t="shared" si="19"/>
        <v>0</v>
      </c>
      <c r="AA20" s="140">
        <f t="shared" si="20"/>
        <v>0.12</v>
      </c>
      <c r="AB20" s="141">
        <f t="shared" si="100"/>
        <v>4.12856428524191</v>
      </c>
      <c r="AC20" s="150">
        <f t="shared" si="101"/>
        <v>4.7784308856966664E-7</v>
      </c>
      <c r="AD20" s="142">
        <f t="shared" si="21"/>
        <v>0.99891292159722234</v>
      </c>
      <c r="AE20" s="143">
        <f t="shared" si="22"/>
        <v>586.76761666666664</v>
      </c>
      <c r="AF20" s="348">
        <f t="shared" si="23"/>
        <v>19.068559730234988</v>
      </c>
      <c r="AG20" s="65"/>
      <c r="AH20" s="144">
        <f t="shared" si="24"/>
        <v>1253.4777844346058</v>
      </c>
      <c r="AI20" s="359">
        <f t="shared" si="25"/>
        <v>1437.2172714476883</v>
      </c>
      <c r="AJ20" s="297">
        <f t="shared" si="26"/>
        <v>0</v>
      </c>
      <c r="AK20" s="354">
        <f t="shared" si="27"/>
        <v>21.000740783687217</v>
      </c>
      <c r="AL20" s="105">
        <f t="shared" si="28"/>
        <v>20.458161720243751</v>
      </c>
      <c r="AM20" s="250">
        <f t="shared" si="29"/>
        <v>24.042758570000167</v>
      </c>
      <c r="AN20" s="251">
        <f t="shared" si="30"/>
        <v>1.3931639216984263E-3</v>
      </c>
      <c r="AO20" s="251">
        <f t="shared" si="31"/>
        <v>6.7601257350938303E-4</v>
      </c>
      <c r="AP20" s="251">
        <f t="shared" si="32"/>
        <v>4.8343181761011762E-4</v>
      </c>
      <c r="AQ20" s="190">
        <f t="shared" si="33"/>
        <v>2.552608312817927E-3</v>
      </c>
      <c r="AR20" s="65"/>
      <c r="AS20" s="21">
        <f t="shared" si="34"/>
        <v>21.038734336392857</v>
      </c>
      <c r="AT20" s="253">
        <f t="shared" si="35"/>
        <v>2.8378532934101169E-2</v>
      </c>
      <c r="AU20" s="250">
        <f t="shared" si="36"/>
        <v>24.918011444986817</v>
      </c>
      <c r="AV20" s="251">
        <f t="shared" si="88"/>
        <v>1.6383030420018252E-3</v>
      </c>
      <c r="AW20" s="251">
        <f t="shared" si="37"/>
        <v>7.8204388860535993E-4</v>
      </c>
      <c r="AX20" s="251">
        <f t="shared" si="38"/>
        <v>5.6093574810870794E-4</v>
      </c>
      <c r="AY20" s="254">
        <f t="shared" si="39"/>
        <v>2.9812826787158934E-3</v>
      </c>
      <c r="AZ20" s="65"/>
      <c r="BA20" s="22">
        <f t="shared" si="89"/>
        <v>21.000403013138758</v>
      </c>
      <c r="BB20" s="253">
        <f t="shared" si="40"/>
        <v>-1.8219405521839244E-3</v>
      </c>
      <c r="BC20" s="250">
        <f t="shared" si="41"/>
        <v>24.859377137118642</v>
      </c>
      <c r="BD20" s="251">
        <f t="shared" si="90"/>
        <v>1.6218808592690665E-3</v>
      </c>
      <c r="BE20" s="251">
        <f t="shared" si="42"/>
        <v>7.7504335068650425E-4</v>
      </c>
      <c r="BF20" s="251">
        <f t="shared" si="43"/>
        <v>5.5580451289283597E-4</v>
      </c>
      <c r="BG20" s="190">
        <f t="shared" si="44"/>
        <v>2.9527287228484069E-3</v>
      </c>
      <c r="BH20" s="65"/>
      <c r="BI20" s="22">
        <f t="shared" si="45"/>
        <v>21.000740573636151</v>
      </c>
      <c r="BJ20" s="253">
        <f t="shared" si="46"/>
        <v>1.6074000921855554E-5</v>
      </c>
      <c r="BK20" s="250">
        <f t="shared" si="47"/>
        <v>24.859892966498172</v>
      </c>
      <c r="BL20" s="251">
        <f t="shared" si="91"/>
        <v>1.6220253317568909E-3</v>
      </c>
      <c r="BM20" s="251">
        <f t="shared" si="48"/>
        <v>7.7510500013821344E-4</v>
      </c>
      <c r="BN20" s="251">
        <f t="shared" si="49"/>
        <v>5.5584969178602568E-4</v>
      </c>
      <c r="BO20" s="190">
        <f t="shared" si="50"/>
        <v>2.95298002368113E-3</v>
      </c>
      <c r="BP20" s="65"/>
      <c r="BQ20" s="22">
        <f t="shared" si="51"/>
        <v>21.000740783688375</v>
      </c>
      <c r="BR20" s="253">
        <f t="shared" si="52"/>
        <v>1.0002134151720471E-8</v>
      </c>
      <c r="BS20" s="250">
        <f t="shared" si="53"/>
        <v>24.859893287483871</v>
      </c>
      <c r="BT20" s="251">
        <f t="shared" si="92"/>
        <v>1.6220254216579401E-3</v>
      </c>
      <c r="BU20" s="251">
        <f t="shared" si="54"/>
        <v>7.7510503850053533E-4</v>
      </c>
      <c r="BV20" s="251">
        <f t="shared" si="55"/>
        <v>5.5584971989933705E-4</v>
      </c>
      <c r="BW20" s="190">
        <f t="shared" si="56"/>
        <v>2.9529801800578124E-3</v>
      </c>
      <c r="BX20" s="65"/>
      <c r="BY20" s="22">
        <f t="shared" si="57"/>
        <v>21.000740783687213</v>
      </c>
      <c r="BZ20" s="253">
        <f t="shared" si="58"/>
        <v>-5.5318875887945084E-14</v>
      </c>
      <c r="CA20" s="250">
        <f t="shared" si="59"/>
        <v>24.859893287482095</v>
      </c>
      <c r="CB20" s="251">
        <f t="shared" si="93"/>
        <v>1.6220254216574427E-3</v>
      </c>
      <c r="CC20" s="251">
        <f t="shared" si="60"/>
        <v>7.7510503850032315E-4</v>
      </c>
      <c r="CD20" s="251">
        <f t="shared" si="61"/>
        <v>5.5584971989917789E-4</v>
      </c>
      <c r="CE20" s="190">
        <f t="shared" si="62"/>
        <v>2.9529801800569438E-3</v>
      </c>
      <c r="CF20" s="65"/>
      <c r="CG20" s="22">
        <f t="shared" si="63"/>
        <v>21.000740783687217</v>
      </c>
      <c r="CH20" s="253">
        <f t="shared" si="64"/>
        <v>1.6917087427507078E-16</v>
      </c>
      <c r="CI20" s="250">
        <f t="shared" si="65"/>
        <v>24.859893287482102</v>
      </c>
      <c r="CJ20" s="251">
        <f t="shared" si="94"/>
        <v>1.6220254216574447E-3</v>
      </c>
      <c r="CK20" s="251">
        <f t="shared" si="66"/>
        <v>7.7510503850032381E-4</v>
      </c>
      <c r="CL20" s="251">
        <f t="shared" si="67"/>
        <v>5.5584971989917789E-4</v>
      </c>
      <c r="CM20" s="190">
        <f t="shared" si="68"/>
        <v>2.9529801800569464E-3</v>
      </c>
      <c r="CN20" s="65"/>
      <c r="CO20" s="22">
        <f t="shared" si="69"/>
        <v>21.000740783687217</v>
      </c>
      <c r="CP20" s="253">
        <f t="shared" si="70"/>
        <v>0</v>
      </c>
      <c r="CQ20" s="250">
        <f t="shared" si="71"/>
        <v>24.859893287482102</v>
      </c>
      <c r="CR20" s="251">
        <f t="shared" si="95"/>
        <v>1.6220254216574447E-3</v>
      </c>
      <c r="CS20" s="251">
        <f t="shared" si="72"/>
        <v>7.7510503850032381E-4</v>
      </c>
      <c r="CT20" s="251">
        <f t="shared" si="73"/>
        <v>5.5584971989917789E-4</v>
      </c>
      <c r="CU20" s="190">
        <f t="shared" si="74"/>
        <v>2.9529801800569464E-3</v>
      </c>
      <c r="CV20" s="65"/>
      <c r="CW20" s="182">
        <f t="shared" si="75"/>
        <v>21.000740783687217</v>
      </c>
      <c r="CX20" s="253">
        <f t="shared" si="76"/>
        <v>0</v>
      </c>
      <c r="CY20" s="270">
        <f t="shared" si="77"/>
        <v>0.99983002779055496</v>
      </c>
      <c r="CZ20" s="259">
        <f t="shared" si="78"/>
        <v>595.89969706190266</v>
      </c>
      <c r="DA20" s="271">
        <f t="shared" si="96"/>
        <v>24.859893287482102</v>
      </c>
      <c r="DB20" s="263">
        <f t="shared" si="97"/>
        <v>1.6220254216574447E-3</v>
      </c>
      <c r="DC20" s="248">
        <f t="shared" si="79"/>
        <v>7.7510503850032381E-4</v>
      </c>
      <c r="DD20" s="264">
        <f t="shared" si="80"/>
        <v>5.5584971989917789E-4</v>
      </c>
      <c r="DE20" s="195">
        <f t="shared" si="81"/>
        <v>2.9529801800569464E-3</v>
      </c>
      <c r="DF20" s="65"/>
      <c r="DG20" s="17">
        <f t="shared" si="82"/>
        <v>595.79841067378538</v>
      </c>
      <c r="DH20" s="145">
        <f>+DH$3*DG20/DH$2</f>
        <v>8943.9367507924926</v>
      </c>
      <c r="DI20" s="146">
        <f t="shared" si="83"/>
        <v>0.54928422229578422</v>
      </c>
      <c r="DJ20" s="147">
        <f t="shared" si="84"/>
        <v>1.6282893969556383E-2</v>
      </c>
      <c r="DK20" s="148">
        <f t="shared" si="103"/>
        <v>61.414144308110629</v>
      </c>
      <c r="DL20" s="145">
        <f t="shared" si="98"/>
        <v>209.54506037927348</v>
      </c>
      <c r="DM20" s="191">
        <f t="shared" si="85"/>
        <v>8.3439864413034552</v>
      </c>
      <c r="DN20" s="149">
        <f t="shared" si="104"/>
        <v>1071.9021194137172</v>
      </c>
      <c r="DO20" s="281"/>
      <c r="DP20" s="570">
        <f>+DP19/DP18</f>
        <v>252.1644359464627</v>
      </c>
      <c r="DQ20" s="571"/>
      <c r="DR20" s="211" t="s">
        <v>102</v>
      </c>
      <c r="DS20" s="212"/>
      <c r="DT20" s="213" t="s">
        <v>104</v>
      </c>
      <c r="DU20" s="212"/>
      <c r="DV20" s="212"/>
      <c r="DW20" s="212"/>
      <c r="DX20" s="214"/>
      <c r="DY20" s="283"/>
      <c r="DZ20" s="91">
        <f t="shared" si="1"/>
        <v>16.756666666666668</v>
      </c>
      <c r="EA20" s="91">
        <f t="shared" si="2"/>
        <v>8.3157847932414413</v>
      </c>
      <c r="EB20" s="91">
        <f t="shared" si="3"/>
        <v>0.5</v>
      </c>
      <c r="EC20" s="96">
        <f t="shared" si="86"/>
        <v>1437.2172714476883</v>
      </c>
      <c r="ED20" s="96">
        <f t="shared" si="87"/>
        <v>1169.4339383341876</v>
      </c>
      <c r="EE20" s="96">
        <f t="shared" si="105"/>
        <v>71707.91349337608</v>
      </c>
      <c r="EF20" s="96">
        <f t="shared" si="106"/>
        <v>267.7833331135007</v>
      </c>
    </row>
    <row r="21" spans="1:136" ht="15" customHeight="1" x14ac:dyDescent="0.35">
      <c r="A21" s="335" t="s">
        <v>89</v>
      </c>
      <c r="B21" s="60">
        <v>31</v>
      </c>
      <c r="C21" s="125">
        <v>9.4881709903736322</v>
      </c>
      <c r="D21" s="125">
        <v>5.710801109479525</v>
      </c>
      <c r="E21" s="168">
        <v>10.119892473118281</v>
      </c>
      <c r="F21" s="125">
        <v>9.373810582481104</v>
      </c>
      <c r="G21" s="338">
        <f t="shared" si="99"/>
        <v>0.5</v>
      </c>
      <c r="H21" s="313">
        <f t="shared" si="4"/>
        <v>14.857514880579112</v>
      </c>
      <c r="I21" s="293" t="str">
        <f t="shared" si="5"/>
        <v/>
      </c>
      <c r="J21" s="294">
        <f t="shared" si="6"/>
        <v>53.471751413186361</v>
      </c>
      <c r="K21" s="295">
        <f t="shared" si="7"/>
        <v>182.44561582179185</v>
      </c>
      <c r="L21" s="236">
        <f t="shared" si="8"/>
        <v>4.7376224074608313</v>
      </c>
      <c r="M21" s="230">
        <f t="shared" si="9"/>
        <v>6.3487723766975952</v>
      </c>
      <c r="N21" s="231">
        <f t="shared" si="10"/>
        <v>1.4122567244070595E-3</v>
      </c>
      <c r="O21" s="228">
        <f t="shared" si="11"/>
        <v>2.9529801800569468E-3</v>
      </c>
      <c r="P21" s="238">
        <f t="shared" si="12"/>
        <v>0.47824795233804274</v>
      </c>
      <c r="Q21" s="233">
        <f t="shared" si="13"/>
        <v>0</v>
      </c>
      <c r="R21" s="368"/>
      <c r="S21" s="558">
        <f>1-S18-S13</f>
        <v>0.5159999999999999</v>
      </c>
      <c r="T21" s="559"/>
      <c r="U21" s="363">
        <f t="shared" si="14"/>
        <v>2.9529801800569472E-3</v>
      </c>
      <c r="V21" s="310">
        <f t="shared" si="15"/>
        <v>9.1601506294513673</v>
      </c>
      <c r="W21" s="296">
        <f t="shared" si="16"/>
        <v>6.6717510348081097</v>
      </c>
      <c r="X21" s="139">
        <f t="shared" si="17"/>
        <v>4.1907182510745526</v>
      </c>
      <c r="Y21" s="140">
        <f t="shared" si="18"/>
        <v>2.4700000000000002</v>
      </c>
      <c r="Z21" s="140">
        <f t="shared" si="19"/>
        <v>0</v>
      </c>
      <c r="AA21" s="140">
        <f t="shared" si="20"/>
        <v>0.12</v>
      </c>
      <c r="AB21" s="141">
        <f t="shared" si="100"/>
        <v>4.5774543351867223</v>
      </c>
      <c r="AC21" s="150">
        <f t="shared" si="101"/>
        <v>5.2979795546142743E-7</v>
      </c>
      <c r="AD21" s="142">
        <f t="shared" si="21"/>
        <v>0.99969591822573411</v>
      </c>
      <c r="AE21" s="143">
        <f t="shared" si="22"/>
        <v>590.38465860215047</v>
      </c>
      <c r="AF21" s="348">
        <f t="shared" si="23"/>
        <v>12.369654905398573</v>
      </c>
      <c r="AG21" s="65"/>
      <c r="AH21" s="144">
        <f t="shared" si="24"/>
        <v>1408.2114040432111</v>
      </c>
      <c r="AI21" s="359">
        <f t="shared" si="25"/>
        <v>1604.3529311359848</v>
      </c>
      <c r="AJ21" s="297">
        <f t="shared" si="26"/>
        <v>0</v>
      </c>
      <c r="AK21" s="354">
        <f t="shared" si="27"/>
        <v>14.857514880579112</v>
      </c>
      <c r="AL21" s="105">
        <f t="shared" si="28"/>
        <v>14.278312838588048</v>
      </c>
      <c r="AM21" s="250">
        <f t="shared" si="29"/>
        <v>16.265757017409612</v>
      </c>
      <c r="AN21" s="251">
        <f t="shared" si="30"/>
        <v>1.2182701160483598E-3</v>
      </c>
      <c r="AO21" s="251">
        <f t="shared" si="31"/>
        <v>8.4269660909874365E-4</v>
      </c>
      <c r="AP21" s="251">
        <f t="shared" si="32"/>
        <v>5.0810779602281932E-4</v>
      </c>
      <c r="AQ21" s="190">
        <f t="shared" si="33"/>
        <v>2.5690745211699225E-3</v>
      </c>
      <c r="AR21" s="65"/>
      <c r="AS21" s="21">
        <f t="shared" si="34"/>
        <v>14.899719923972203</v>
      </c>
      <c r="AT21" s="253">
        <f t="shared" si="35"/>
        <v>4.3521044286462356E-2</v>
      </c>
      <c r="AU21" s="250">
        <f t="shared" si="36"/>
        <v>16.932145338096326</v>
      </c>
      <c r="AV21" s="251">
        <f t="shared" si="88"/>
        <v>1.4266427288383333E-3</v>
      </c>
      <c r="AW21" s="251">
        <f t="shared" si="37"/>
        <v>9.6862366738064592E-4</v>
      </c>
      <c r="AX21" s="251">
        <f t="shared" si="38"/>
        <v>5.8595586590393925E-4</v>
      </c>
      <c r="AY21" s="254">
        <f t="shared" si="39"/>
        <v>2.9812222621229184E-3</v>
      </c>
      <c r="AZ21" s="65"/>
      <c r="BA21" s="22">
        <f t="shared" si="89"/>
        <v>14.857138518912903</v>
      </c>
      <c r="BB21" s="253">
        <f t="shared" si="40"/>
        <v>-2.8578661395366723E-3</v>
      </c>
      <c r="BC21" s="250">
        <f t="shared" si="41"/>
        <v>16.88572824490349</v>
      </c>
      <c r="BD21" s="251">
        <f t="shared" si="90"/>
        <v>1.4121285924309907E-3</v>
      </c>
      <c r="BE21" s="251">
        <f t="shared" si="42"/>
        <v>9.5999462017029276E-4</v>
      </c>
      <c r="BF21" s="251">
        <f t="shared" si="43"/>
        <v>5.8060528498769652E-4</v>
      </c>
      <c r="BG21" s="190">
        <f t="shared" si="44"/>
        <v>2.95272849758898E-3</v>
      </c>
      <c r="BH21" s="65"/>
      <c r="BI21" s="22">
        <f t="shared" si="45"/>
        <v>14.857514636049061</v>
      </c>
      <c r="BJ21" s="253">
        <f t="shared" si="46"/>
        <v>2.5315583864216195E-5</v>
      </c>
      <c r="BK21" s="250">
        <f t="shared" si="47"/>
        <v>16.886137752533983</v>
      </c>
      <c r="BL21" s="251">
        <f t="shared" si="91"/>
        <v>1.4122566411561475E-3</v>
      </c>
      <c r="BM21" s="251">
        <f t="shared" si="48"/>
        <v>9.600708396496644E-4</v>
      </c>
      <c r="BN21" s="251">
        <f t="shared" si="49"/>
        <v>5.8065253572682322E-4</v>
      </c>
      <c r="BO21" s="190">
        <f t="shared" si="50"/>
        <v>2.9529800165326351E-3</v>
      </c>
      <c r="BP21" s="65"/>
      <c r="BQ21" s="22">
        <f t="shared" si="51"/>
        <v>14.857514880580526</v>
      </c>
      <c r="BR21" s="253">
        <f t="shared" si="52"/>
        <v>1.6458436776867148E-8</v>
      </c>
      <c r="BS21" s="250">
        <f t="shared" si="53"/>
        <v>16.886138018777018</v>
      </c>
      <c r="BT21" s="251">
        <f t="shared" si="92"/>
        <v>1.4122567244075417E-3</v>
      </c>
      <c r="BU21" s="251">
        <f t="shared" si="54"/>
        <v>9.6007088920353778E-4</v>
      </c>
      <c r="BV21" s="251">
        <f t="shared" si="55"/>
        <v>5.8065256644681282E-4</v>
      </c>
      <c r="BW21" s="190">
        <f t="shared" si="56"/>
        <v>2.9529801800578922E-3</v>
      </c>
      <c r="BX21" s="65"/>
      <c r="BY21" s="22">
        <f t="shared" si="57"/>
        <v>14.857514880579112</v>
      </c>
      <c r="BZ21" s="253">
        <f t="shared" si="58"/>
        <v>-9.5169350697453324E-14</v>
      </c>
      <c r="CA21" s="250">
        <f t="shared" si="59"/>
        <v>16.886138018775476</v>
      </c>
      <c r="CB21" s="251">
        <f t="shared" si="93"/>
        <v>1.4122567244070595E-3</v>
      </c>
      <c r="CC21" s="251">
        <f t="shared" si="60"/>
        <v>9.6007088920325133E-4</v>
      </c>
      <c r="CD21" s="251">
        <f t="shared" si="61"/>
        <v>5.8065256644663599E-4</v>
      </c>
      <c r="CE21" s="190">
        <f t="shared" si="62"/>
        <v>2.9529801800569468E-3</v>
      </c>
      <c r="CF21" s="65"/>
      <c r="CG21" s="22">
        <f t="shared" si="63"/>
        <v>14.857514880579112</v>
      </c>
      <c r="CH21" s="253">
        <f t="shared" si="64"/>
        <v>0</v>
      </c>
      <c r="CI21" s="250">
        <f t="shared" si="65"/>
        <v>16.886138018775476</v>
      </c>
      <c r="CJ21" s="251">
        <f t="shared" si="94"/>
        <v>1.4122567244070595E-3</v>
      </c>
      <c r="CK21" s="251">
        <f t="shared" si="66"/>
        <v>9.6007088920325133E-4</v>
      </c>
      <c r="CL21" s="251">
        <f t="shared" si="67"/>
        <v>5.8065256644663599E-4</v>
      </c>
      <c r="CM21" s="190">
        <f t="shared" si="68"/>
        <v>2.9529801800569468E-3</v>
      </c>
      <c r="CN21" s="65"/>
      <c r="CO21" s="22">
        <f t="shared" si="69"/>
        <v>14.857514880579112</v>
      </c>
      <c r="CP21" s="253">
        <f t="shared" si="70"/>
        <v>0</v>
      </c>
      <c r="CQ21" s="250">
        <f t="shared" si="71"/>
        <v>16.886138018775476</v>
      </c>
      <c r="CR21" s="251">
        <f t="shared" si="95"/>
        <v>1.4122567244070595E-3</v>
      </c>
      <c r="CS21" s="251">
        <f t="shared" si="72"/>
        <v>9.6007088920325133E-4</v>
      </c>
      <c r="CT21" s="251">
        <f t="shared" si="73"/>
        <v>5.8065256644663599E-4</v>
      </c>
      <c r="CU21" s="190">
        <f t="shared" si="74"/>
        <v>2.9529801800569468E-3</v>
      </c>
      <c r="CV21" s="65"/>
      <c r="CW21" s="182">
        <f t="shared" si="75"/>
        <v>14.857514880579112</v>
      </c>
      <c r="CX21" s="253">
        <f t="shared" si="76"/>
        <v>0</v>
      </c>
      <c r="CY21" s="270">
        <f t="shared" si="77"/>
        <v>0.99983002903052109</v>
      </c>
      <c r="CZ21" s="259">
        <f t="shared" si="78"/>
        <v>595.89968354435132</v>
      </c>
      <c r="DA21" s="271">
        <f t="shared" si="96"/>
        <v>16.886138018775476</v>
      </c>
      <c r="DB21" s="263">
        <f t="shared" si="97"/>
        <v>1.4122567244070595E-3</v>
      </c>
      <c r="DC21" s="248">
        <f t="shared" si="79"/>
        <v>9.6007088920325133E-4</v>
      </c>
      <c r="DD21" s="264">
        <f t="shared" si="80"/>
        <v>5.8065256644663599E-4</v>
      </c>
      <c r="DE21" s="195">
        <f t="shared" si="81"/>
        <v>2.9529801800569468E-3</v>
      </c>
      <c r="DF21" s="65"/>
      <c r="DG21" s="17">
        <f t="shared" si="82"/>
        <v>595.79839789742709</v>
      </c>
      <c r="DH21" s="145">
        <f t="shared" si="102"/>
        <v>8943.9365589978552</v>
      </c>
      <c r="DI21" s="146">
        <f t="shared" si="83"/>
        <v>0.47824795233804274</v>
      </c>
      <c r="DJ21" s="147">
        <f t="shared" si="84"/>
        <v>1.8701463362828914E-2</v>
      </c>
      <c r="DK21" s="148">
        <f t="shared" si="103"/>
        <v>53.471751413186361</v>
      </c>
      <c r="DL21" s="145">
        <f t="shared" si="98"/>
        <v>182.44561582179185</v>
      </c>
      <c r="DM21" s="191">
        <f t="shared" si="85"/>
        <v>8.3439864516514746</v>
      </c>
      <c r="DN21" s="149">
        <f t="shared" si="104"/>
        <v>1071.902095098397</v>
      </c>
      <c r="DO21" s="281"/>
      <c r="DP21" s="38"/>
      <c r="DQ21" s="38"/>
      <c r="DR21" s="38"/>
      <c r="DS21" s="38"/>
      <c r="DT21" s="38"/>
      <c r="DU21" s="38"/>
      <c r="DV21" s="38"/>
      <c r="DW21" s="38"/>
      <c r="DX21" s="38"/>
      <c r="DY21" s="283"/>
      <c r="DZ21" s="91">
        <f t="shared" si="1"/>
        <v>10.119892473118281</v>
      </c>
      <c r="EA21" s="91">
        <f t="shared" si="2"/>
        <v>9.373810582481104</v>
      </c>
      <c r="EB21" s="91">
        <f t="shared" si="3"/>
        <v>0.5</v>
      </c>
      <c r="EC21" s="96">
        <f t="shared" si="86"/>
        <v>1604.3529311359848</v>
      </c>
      <c r="ED21" s="96">
        <f t="shared" si="87"/>
        <v>1301.1803013500316</v>
      </c>
      <c r="EE21" s="96">
        <f t="shared" si="105"/>
        <v>91913.64345133063</v>
      </c>
      <c r="EF21" s="96">
        <f t="shared" si="106"/>
        <v>303.17262978595318</v>
      </c>
    </row>
    <row r="22" spans="1:136" ht="15" customHeight="1" thickBot="1" x14ac:dyDescent="0.4">
      <c r="A22" s="335" t="s">
        <v>90</v>
      </c>
      <c r="B22" s="60">
        <v>30</v>
      </c>
      <c r="C22" s="125">
        <v>3.5226953826072775</v>
      </c>
      <c r="D22" s="125">
        <v>0.83237069668787533</v>
      </c>
      <c r="E22" s="168">
        <v>5.0594871794871796</v>
      </c>
      <c r="F22" s="125">
        <v>10.558714984437527</v>
      </c>
      <c r="G22" s="338">
        <f t="shared" si="99"/>
        <v>0.5</v>
      </c>
      <c r="H22" s="313">
        <f t="shared" si="4"/>
        <v>10.018108249436079</v>
      </c>
      <c r="I22" s="293" t="str">
        <f t="shared" si="5"/>
        <v/>
      </c>
      <c r="J22" s="294">
        <f t="shared" si="6"/>
        <v>47.207993208677877</v>
      </c>
      <c r="K22" s="295">
        <f t="shared" si="7"/>
        <v>161.07367282800891</v>
      </c>
      <c r="L22" s="236">
        <f t="shared" si="8"/>
        <v>4.9586210699488991</v>
      </c>
      <c r="M22" s="230">
        <f t="shared" si="9"/>
        <v>5.4242593637534471</v>
      </c>
      <c r="N22" s="231">
        <f t="shared" si="10"/>
        <v>1.2468229358669166E-3</v>
      </c>
      <c r="O22" s="228">
        <f t="shared" si="11"/>
        <v>2.9529801800569477E-3</v>
      </c>
      <c r="P22" s="238">
        <f t="shared" si="12"/>
        <v>0.42222529778133217</v>
      </c>
      <c r="Q22" s="233">
        <f t="shared" si="13"/>
        <v>0</v>
      </c>
      <c r="R22" s="368"/>
      <c r="S22" s="537" t="s">
        <v>192</v>
      </c>
      <c r="T22" s="538"/>
      <c r="U22" s="363">
        <f t="shared" si="14"/>
        <v>2.9529801800569472E-3</v>
      </c>
      <c r="V22" s="310">
        <f t="shared" si="15"/>
        <v>6.4871374105581179</v>
      </c>
      <c r="W22" s="296">
        <f t="shared" si="16"/>
        <v>4.7247233260114072</v>
      </c>
      <c r="X22" s="139">
        <f t="shared" si="17"/>
        <v>4.720449512375871</v>
      </c>
      <c r="Y22" s="140">
        <f t="shared" si="18"/>
        <v>2.4700000000000002</v>
      </c>
      <c r="Z22" s="140">
        <f t="shared" si="19"/>
        <v>0</v>
      </c>
      <c r="AA22" s="140">
        <f t="shared" si="20"/>
        <v>0.12</v>
      </c>
      <c r="AB22" s="141">
        <f t="shared" si="100"/>
        <v>5.1439172318667516</v>
      </c>
      <c r="AC22" s="150">
        <f t="shared" si="101"/>
        <v>5.9536079072531983E-7</v>
      </c>
      <c r="AD22" s="142">
        <f t="shared" si="21"/>
        <v>0.99992298429322812</v>
      </c>
      <c r="AE22" s="143">
        <f t="shared" si="22"/>
        <v>593.14257948717943</v>
      </c>
      <c r="AF22" s="348">
        <f t="shared" si="23"/>
        <v>8.7546228344968675</v>
      </c>
      <c r="AG22" s="65"/>
      <c r="AH22" s="144">
        <f t="shared" si="24"/>
        <v>1530.3684351391125</v>
      </c>
      <c r="AI22" s="359">
        <f t="shared" si="25"/>
        <v>1679.192127138921</v>
      </c>
      <c r="AJ22" s="297">
        <f t="shared" si="26"/>
        <v>0</v>
      </c>
      <c r="AK22" s="354">
        <f t="shared" si="27"/>
        <v>10.018108249436079</v>
      </c>
      <c r="AL22" s="105">
        <f t="shared" si="28"/>
        <v>9.578634836637745</v>
      </c>
      <c r="AM22" s="250">
        <f t="shared" si="29"/>
        <v>11.928595341008991</v>
      </c>
      <c r="AN22" s="251">
        <f t="shared" si="30"/>
        <v>1.1207507617817497E-3</v>
      </c>
      <c r="AO22" s="251">
        <f t="shared" si="31"/>
        <v>1.0293616229795025E-3</v>
      </c>
      <c r="AP22" s="251">
        <f t="shared" si="32"/>
        <v>5.2434179754621104E-4</v>
      </c>
      <c r="AQ22" s="190">
        <f t="shared" si="33"/>
        <v>2.6744541823074631E-3</v>
      </c>
      <c r="AR22" s="65"/>
      <c r="AS22" s="21">
        <f t="shared" si="34"/>
        <v>10.049272964788113</v>
      </c>
      <c r="AT22" s="253">
        <f t="shared" si="35"/>
        <v>4.9134154937215388E-2</v>
      </c>
      <c r="AU22" s="250">
        <f t="shared" si="36"/>
        <v>12.311305206350216</v>
      </c>
      <c r="AV22" s="251">
        <f t="shared" si="88"/>
        <v>1.2558881557706821E-3</v>
      </c>
      <c r="AW22" s="251">
        <f t="shared" si="37"/>
        <v>1.1365625520445997E-3</v>
      </c>
      <c r="AX22" s="251">
        <f t="shared" si="38"/>
        <v>5.8041503516145126E-4</v>
      </c>
      <c r="AY22" s="254">
        <f t="shared" si="39"/>
        <v>2.972865742976733E-3</v>
      </c>
      <c r="AZ22" s="65"/>
      <c r="BA22" s="22">
        <f t="shared" si="89"/>
        <v>10.017910560165468</v>
      </c>
      <c r="BB22" s="253">
        <f t="shared" si="40"/>
        <v>-3.1208630447730765E-3</v>
      </c>
      <c r="BC22" s="250">
        <f t="shared" si="41"/>
        <v>12.28546975119745</v>
      </c>
      <c r="BD22" s="251">
        <f t="shared" si="90"/>
        <v>1.2467654850531402E-3</v>
      </c>
      <c r="BE22" s="251">
        <f t="shared" si="42"/>
        <v>1.1294188917413512E-3</v>
      </c>
      <c r="BF22" s="251">
        <f t="shared" si="43"/>
        <v>5.7666971894844096E-4</v>
      </c>
      <c r="BG22" s="190">
        <f t="shared" si="44"/>
        <v>2.9528540957429322E-3</v>
      </c>
      <c r="BH22" s="65"/>
      <c r="BI22" s="22">
        <f t="shared" si="45"/>
        <v>10.018108160454265</v>
      </c>
      <c r="BJ22" s="253">
        <f t="shared" si="46"/>
        <v>1.972470083553904E-5</v>
      </c>
      <c r="BK22" s="250">
        <f t="shared" si="47"/>
        <v>12.285632378993824</v>
      </c>
      <c r="BL22" s="251">
        <f t="shared" si="91"/>
        <v>1.2468229100076097E-3</v>
      </c>
      <c r="BM22" s="251">
        <f t="shared" si="48"/>
        <v>1.1294639007052992E-3</v>
      </c>
      <c r="BN22" s="251">
        <f t="shared" si="49"/>
        <v>5.7669331259213618E-4</v>
      </c>
      <c r="BO22" s="190">
        <f t="shared" si="50"/>
        <v>2.952980123305045E-3</v>
      </c>
      <c r="BP22" s="65"/>
      <c r="BQ22" s="22">
        <f t="shared" si="51"/>
        <v>10.018108249436326</v>
      </c>
      <c r="BR22" s="253">
        <f t="shared" si="52"/>
        <v>8.8821221936886853E-9</v>
      </c>
      <c r="BS22" s="250">
        <f t="shared" si="53"/>
        <v>12.285632452227729</v>
      </c>
      <c r="BT22" s="251">
        <f t="shared" si="92"/>
        <v>1.2468229358669875E-3</v>
      </c>
      <c r="BU22" s="251">
        <f t="shared" si="54"/>
        <v>1.1294639209734395E-3</v>
      </c>
      <c r="BV22" s="251">
        <f t="shared" si="55"/>
        <v>5.7669332321668148E-4</v>
      </c>
      <c r="BW22" s="190">
        <f t="shared" si="56"/>
        <v>2.9529801800571086E-3</v>
      </c>
      <c r="BX22" s="65"/>
      <c r="BY22" s="22">
        <f t="shared" si="57"/>
        <v>10.018108249436073</v>
      </c>
      <c r="BZ22" s="253">
        <f t="shared" si="58"/>
        <v>-2.5178672950457303E-14</v>
      </c>
      <c r="CA22" s="250">
        <f t="shared" si="59"/>
        <v>12.285632452227523</v>
      </c>
      <c r="CB22" s="251">
        <f t="shared" si="93"/>
        <v>1.2468229358669146E-3</v>
      </c>
      <c r="CC22" s="251">
        <f t="shared" si="60"/>
        <v>1.129463920973382E-3</v>
      </c>
      <c r="CD22" s="251">
        <f t="shared" si="61"/>
        <v>5.7669332321664765E-4</v>
      </c>
      <c r="CE22" s="190">
        <f t="shared" si="62"/>
        <v>2.9529801800569442E-3</v>
      </c>
      <c r="CF22" s="65"/>
      <c r="CG22" s="22">
        <f t="shared" si="63"/>
        <v>10.018108249436079</v>
      </c>
      <c r="CH22" s="253">
        <f t="shared" si="64"/>
        <v>5.3194379472798452E-16</v>
      </c>
      <c r="CI22" s="250">
        <f t="shared" si="65"/>
        <v>12.285632452227528</v>
      </c>
      <c r="CJ22" s="251">
        <f t="shared" si="94"/>
        <v>1.2468229358669166E-3</v>
      </c>
      <c r="CK22" s="251">
        <f t="shared" si="66"/>
        <v>1.1294639209733833E-3</v>
      </c>
      <c r="CL22" s="251">
        <f t="shared" si="67"/>
        <v>5.7669332321664765E-4</v>
      </c>
      <c r="CM22" s="190">
        <f t="shared" si="68"/>
        <v>2.9529801800569477E-3</v>
      </c>
      <c r="CN22" s="65"/>
      <c r="CO22" s="22">
        <f t="shared" si="69"/>
        <v>10.018108249436079</v>
      </c>
      <c r="CP22" s="253">
        <f t="shared" si="70"/>
        <v>0</v>
      </c>
      <c r="CQ22" s="250">
        <f t="shared" si="71"/>
        <v>12.285632452227528</v>
      </c>
      <c r="CR22" s="251">
        <f t="shared" si="95"/>
        <v>1.2468229358669166E-3</v>
      </c>
      <c r="CS22" s="251">
        <f t="shared" si="72"/>
        <v>1.1294639209733833E-3</v>
      </c>
      <c r="CT22" s="251">
        <f t="shared" si="73"/>
        <v>5.7669332321664765E-4</v>
      </c>
      <c r="CU22" s="190">
        <f t="shared" si="74"/>
        <v>2.9529801800569477E-3</v>
      </c>
      <c r="CV22" s="65"/>
      <c r="CW22" s="182">
        <f t="shared" si="75"/>
        <v>10.018108249436079</v>
      </c>
      <c r="CX22" s="253">
        <f t="shared" si="76"/>
        <v>0</v>
      </c>
      <c r="CY22" s="270">
        <f t="shared" si="77"/>
        <v>0.99983002883258765</v>
      </c>
      <c r="CZ22" s="259">
        <f t="shared" si="78"/>
        <v>595.89968570213887</v>
      </c>
      <c r="DA22" s="271">
        <f t="shared" si="96"/>
        <v>12.285632452227528</v>
      </c>
      <c r="DB22" s="263">
        <f t="shared" si="97"/>
        <v>1.2468229358669166E-3</v>
      </c>
      <c r="DC22" s="248">
        <f t="shared" si="79"/>
        <v>1.1294639209733833E-3</v>
      </c>
      <c r="DD22" s="264">
        <f t="shared" si="80"/>
        <v>5.7669332321664765E-4</v>
      </c>
      <c r="DE22" s="195">
        <f t="shared" si="81"/>
        <v>2.9529801800569477E-3</v>
      </c>
      <c r="DF22" s="65"/>
      <c r="DG22" s="17">
        <f t="shared" si="82"/>
        <v>595.79839993689939</v>
      </c>
      <c r="DH22" s="145">
        <f t="shared" si="102"/>
        <v>8943.9365896137642</v>
      </c>
      <c r="DI22" s="146">
        <f t="shared" si="83"/>
        <v>0.42222529778133217</v>
      </c>
      <c r="DJ22" s="147">
        <f t="shared" si="84"/>
        <v>2.1182853411701005E-2</v>
      </c>
      <c r="DK22" s="148">
        <f t="shared" si="103"/>
        <v>47.207993208677877</v>
      </c>
      <c r="DL22" s="145">
        <f t="shared" si="98"/>
        <v>161.07367282800891</v>
      </c>
      <c r="DM22" s="191">
        <f t="shared" si="85"/>
        <v>8.3439864499996386</v>
      </c>
      <c r="DN22" s="149">
        <f t="shared" si="104"/>
        <v>1071.9020989798171</v>
      </c>
      <c r="DO22" s="290"/>
      <c r="DP22" s="291"/>
      <c r="DQ22" s="291"/>
      <c r="DR22" s="291"/>
      <c r="DS22" s="291"/>
      <c r="DT22" s="291"/>
      <c r="DU22" s="291"/>
      <c r="DV22" s="291"/>
      <c r="DW22" s="291"/>
      <c r="DX22" s="291"/>
      <c r="DY22" s="292"/>
      <c r="DZ22" s="91">
        <f t="shared" si="1"/>
        <v>5.0594871794871796</v>
      </c>
      <c r="EA22" s="91">
        <f t="shared" si="2"/>
        <v>10.558714984437527</v>
      </c>
      <c r="EB22" s="91">
        <f t="shared" si="3"/>
        <v>0.5</v>
      </c>
      <c r="EC22" s="96">
        <f t="shared" si="86"/>
        <v>1679.192127138921</v>
      </c>
      <c r="ED22" s="96">
        <f t="shared" si="87"/>
        <v>1361.3018406250178</v>
      </c>
      <c r="EE22" s="96">
        <f t="shared" si="105"/>
        <v>101054.23425989148</v>
      </c>
      <c r="EF22" s="96">
        <f t="shared" si="106"/>
        <v>317.89028651390322</v>
      </c>
    </row>
    <row r="23" spans="1:136" ht="15" customHeight="1" x14ac:dyDescent="0.35">
      <c r="A23" s="335" t="s">
        <v>91</v>
      </c>
      <c r="B23" s="60">
        <v>31</v>
      </c>
      <c r="C23" s="125">
        <v>-2.6296785772556714</v>
      </c>
      <c r="D23" s="125">
        <v>-5.4897862620329576</v>
      </c>
      <c r="E23" s="168">
        <v>0.89875930521091796</v>
      </c>
      <c r="F23" s="125">
        <v>10.592685638061361</v>
      </c>
      <c r="G23" s="338">
        <f>+G22</f>
        <v>0.5</v>
      </c>
      <c r="H23" s="313">
        <f t="shared" si="4"/>
        <v>6.3718075849762359</v>
      </c>
      <c r="I23" s="293" t="str">
        <f t="shared" si="5"/>
        <v/>
      </c>
      <c r="J23" s="294">
        <f t="shared" si="6"/>
        <v>41.341665430844088</v>
      </c>
      <c r="K23" s="295">
        <f t="shared" si="7"/>
        <v>141.05776245004003</v>
      </c>
      <c r="L23" s="236">
        <f t="shared" si="8"/>
        <v>5.4730482797653179</v>
      </c>
      <c r="M23" s="230">
        <f t="shared" si="9"/>
        <v>4.9085510864581661</v>
      </c>
      <c r="N23" s="231">
        <f t="shared" si="10"/>
        <v>1.0918857520281111E-3</v>
      </c>
      <c r="O23" s="228">
        <f t="shared" si="11"/>
        <v>2.9529801800569472E-3</v>
      </c>
      <c r="P23" s="238">
        <f t="shared" si="12"/>
        <v>0.36975722336445022</v>
      </c>
      <c r="Q23" s="233">
        <f t="shared" si="13"/>
        <v>0</v>
      </c>
      <c r="R23" s="368"/>
      <c r="S23" s="537"/>
      <c r="T23" s="538"/>
      <c r="U23" s="363">
        <f t="shared" si="14"/>
        <v>2.9529801800569472E-3</v>
      </c>
      <c r="V23" s="310">
        <f t="shared" si="15"/>
        <v>4.0616968286000619</v>
      </c>
      <c r="W23" s="296">
        <f t="shared" si="16"/>
        <v>2.2016682334022883</v>
      </c>
      <c r="X23" s="139">
        <f t="shared" si="17"/>
        <v>4.7356366592559658</v>
      </c>
      <c r="Y23" s="140">
        <f t="shared" si="18"/>
        <v>2.4700000000000002</v>
      </c>
      <c r="Z23" s="140">
        <f t="shared" si="19"/>
        <v>0</v>
      </c>
      <c r="AA23" s="140">
        <f t="shared" si="20"/>
        <v>0.12</v>
      </c>
      <c r="AB23" s="141">
        <f t="shared" si="100"/>
        <v>5.1611505482186804</v>
      </c>
      <c r="AC23" s="150">
        <f t="shared" si="101"/>
        <v>5.9735538752531156E-7</v>
      </c>
      <c r="AD23" s="276">
        <f t="shared" si="21"/>
        <v>0.99986988941345611</v>
      </c>
      <c r="AE23" s="143">
        <f t="shared" si="22"/>
        <v>595.41017617865998</v>
      </c>
      <c r="AF23" s="349">
        <f t="shared" si="23"/>
        <v>6.5182731864719328</v>
      </c>
      <c r="AG23" s="65"/>
      <c r="AH23" s="144">
        <f t="shared" si="24"/>
        <v>1724.5252508178246</v>
      </c>
      <c r="AI23" s="360">
        <f t="shared" si="25"/>
        <v>1853.3982438242344</v>
      </c>
      <c r="AJ23" s="357">
        <f t="shared" si="26"/>
        <v>0</v>
      </c>
      <c r="AK23" s="355">
        <f t="shared" si="27"/>
        <v>6.3718075849762359</v>
      </c>
      <c r="AL23" s="105">
        <f t="shared" si="28"/>
        <v>5.9912481908836899</v>
      </c>
      <c r="AM23" s="250">
        <f t="shared" si="29"/>
        <v>9.339818507323665</v>
      </c>
      <c r="AN23" s="251">
        <f t="shared" si="30"/>
        <v>1.0034126187640883E-3</v>
      </c>
      <c r="AO23" s="251">
        <f t="shared" si="31"/>
        <v>1.1637803639210611E-3</v>
      </c>
      <c r="AP23" s="251">
        <f t="shared" si="32"/>
        <v>5.6672812190746802E-4</v>
      </c>
      <c r="AQ23" s="190">
        <f t="shared" si="33"/>
        <v>2.7339211045926178E-3</v>
      </c>
      <c r="AR23" s="65"/>
      <c r="AS23" s="21">
        <f t="shared" si="34"/>
        <v>6.3992906560571976</v>
      </c>
      <c r="AT23" s="253">
        <f t="shared" si="35"/>
        <v>6.8106419926716941E-2</v>
      </c>
      <c r="AU23" s="250">
        <f t="shared" si="36"/>
        <v>9.6067914610624481</v>
      </c>
      <c r="AV23" s="251">
        <f t="shared" si="88"/>
        <v>1.0983549288062148E-3</v>
      </c>
      <c r="AW23" s="251">
        <f t="shared" si="37"/>
        <v>1.2570298180241183E-3</v>
      </c>
      <c r="AX23" s="251">
        <f t="shared" si="38"/>
        <v>6.1350211380661196E-4</v>
      </c>
      <c r="AY23" s="254">
        <f t="shared" si="39"/>
        <v>2.968886860636945E-3</v>
      </c>
      <c r="AZ23" s="65"/>
      <c r="BA23" s="22">
        <f t="shared" si="89"/>
        <v>6.3716670513845006</v>
      </c>
      <c r="BB23" s="253">
        <f t="shared" si="40"/>
        <v>-4.316666667820452E-3</v>
      </c>
      <c r="BC23" s="250">
        <f t="shared" si="41"/>
        <v>9.5885075238486284</v>
      </c>
      <c r="BD23" s="251">
        <f t="shared" si="90"/>
        <v>1.0918526999795309E-3</v>
      </c>
      <c r="BE23" s="251">
        <f t="shared" si="42"/>
        <v>1.2507170288515689E-3</v>
      </c>
      <c r="BF23" s="251">
        <f t="shared" si="43"/>
        <v>6.1032914326933265E-4</v>
      </c>
      <c r="BG23" s="190">
        <f t="shared" si="44"/>
        <v>2.9528988721004325E-3</v>
      </c>
      <c r="BH23" s="65"/>
      <c r="BI23" s="22">
        <f t="shared" si="45"/>
        <v>6.3718075330243504</v>
      </c>
      <c r="BJ23" s="253">
        <f t="shared" si="46"/>
        <v>2.2047862626356882E-5</v>
      </c>
      <c r="BK23" s="250">
        <f t="shared" si="47"/>
        <v>9.5886004301724501</v>
      </c>
      <c r="BL23" s="251">
        <f t="shared" si="91"/>
        <v>1.0918857398095124E-3</v>
      </c>
      <c r="BM23" s="251">
        <f t="shared" si="48"/>
        <v>1.2507491329518663E-3</v>
      </c>
      <c r="BN23" s="251">
        <f t="shared" si="49"/>
        <v>6.1034527723791783E-4</v>
      </c>
      <c r="BO23" s="190">
        <f t="shared" si="50"/>
        <v>2.9529801499992969E-3</v>
      </c>
      <c r="BP23" s="65"/>
      <c r="BQ23" s="22">
        <f t="shared" si="51"/>
        <v>6.3718075849763336</v>
      </c>
      <c r="BR23" s="253">
        <f t="shared" si="52"/>
        <v>8.1534137512189704E-9</v>
      </c>
      <c r="BS23" s="250">
        <f t="shared" si="53"/>
        <v>9.5886004645305931</v>
      </c>
      <c r="BT23" s="251">
        <f t="shared" si="92"/>
        <v>1.0918857520281337E-3</v>
      </c>
      <c r="BU23" s="251">
        <f t="shared" si="54"/>
        <v>1.2507491448243905E-3</v>
      </c>
      <c r="BV23" s="251">
        <f t="shared" si="55"/>
        <v>6.1034528320447917E-4</v>
      </c>
      <c r="BW23" s="190">
        <f t="shared" si="56"/>
        <v>2.9529801800570032E-3</v>
      </c>
      <c r="BX23" s="65"/>
      <c r="BY23" s="22">
        <f t="shared" si="57"/>
        <v>6.3718075849762368</v>
      </c>
      <c r="BZ23" s="253">
        <f t="shared" si="58"/>
        <v>-1.5193718023685933E-14</v>
      </c>
      <c r="CA23" s="250">
        <f t="shared" si="59"/>
        <v>9.5886004645305309</v>
      </c>
      <c r="CB23" s="251">
        <f t="shared" si="93"/>
        <v>1.0918857520281116E-3</v>
      </c>
      <c r="CC23" s="251">
        <f t="shared" si="60"/>
        <v>1.2507491448243684E-3</v>
      </c>
      <c r="CD23" s="251">
        <f t="shared" si="61"/>
        <v>6.1034528320446789E-4</v>
      </c>
      <c r="CE23" s="190">
        <f t="shared" si="62"/>
        <v>2.9529801800569477E-3</v>
      </c>
      <c r="CF23" s="65"/>
      <c r="CG23" s="22">
        <f t="shared" si="63"/>
        <v>6.3718075849762359</v>
      </c>
      <c r="CH23" s="253">
        <f t="shared" si="64"/>
        <v>-1.3939190847418498E-16</v>
      </c>
      <c r="CI23" s="250">
        <f t="shared" si="65"/>
        <v>9.5886004645305292</v>
      </c>
      <c r="CJ23" s="251">
        <f t="shared" si="94"/>
        <v>1.0918857520281111E-3</v>
      </c>
      <c r="CK23" s="251">
        <f t="shared" si="66"/>
        <v>1.2507491448243682E-3</v>
      </c>
      <c r="CL23" s="251">
        <f t="shared" si="67"/>
        <v>6.1034528320446789E-4</v>
      </c>
      <c r="CM23" s="190">
        <f t="shared" si="68"/>
        <v>2.9529801800569472E-3</v>
      </c>
      <c r="CN23" s="65"/>
      <c r="CO23" s="22">
        <f t="shared" si="69"/>
        <v>6.3718075849762359</v>
      </c>
      <c r="CP23" s="253">
        <f t="shared" si="70"/>
        <v>0</v>
      </c>
      <c r="CQ23" s="250">
        <f t="shared" si="71"/>
        <v>9.5886004645305292</v>
      </c>
      <c r="CR23" s="251">
        <f t="shared" si="95"/>
        <v>1.0918857520281111E-3</v>
      </c>
      <c r="CS23" s="251">
        <f t="shared" si="72"/>
        <v>1.2507491448243682E-3</v>
      </c>
      <c r="CT23" s="251">
        <f t="shared" si="73"/>
        <v>6.1034528320446789E-4</v>
      </c>
      <c r="CU23" s="190">
        <f t="shared" si="74"/>
        <v>2.9529801800569472E-3</v>
      </c>
      <c r="CV23" s="65"/>
      <c r="CW23" s="183">
        <f t="shared" si="75"/>
        <v>6.3718075849762359</v>
      </c>
      <c r="CX23" s="253">
        <f t="shared" si="76"/>
        <v>0</v>
      </c>
      <c r="CY23" s="272">
        <f t="shared" si="77"/>
        <v>0.99983003051493591</v>
      </c>
      <c r="CZ23" s="273">
        <f t="shared" si="78"/>
        <v>595.89966736182066</v>
      </c>
      <c r="DA23" s="274">
        <f t="shared" si="96"/>
        <v>9.5886004645305292</v>
      </c>
      <c r="DB23" s="265">
        <f t="shared" si="97"/>
        <v>1.0918857520281111E-3</v>
      </c>
      <c r="DC23" s="266">
        <f t="shared" si="79"/>
        <v>1.2507491448243682E-3</v>
      </c>
      <c r="DD23" s="267">
        <f t="shared" si="80"/>
        <v>6.1034528320446789E-4</v>
      </c>
      <c r="DE23" s="195">
        <f t="shared" si="81"/>
        <v>2.9529801800569472E-3</v>
      </c>
      <c r="DF23" s="65"/>
      <c r="DG23" s="17">
        <f t="shared" si="82"/>
        <v>595.79838260220936</v>
      </c>
      <c r="DH23" s="145">
        <f t="shared" si="102"/>
        <v>8943.9363293908973</v>
      </c>
      <c r="DI23" s="146">
        <f t="shared" si="83"/>
        <v>0.36975722336445022</v>
      </c>
      <c r="DJ23" s="147">
        <f t="shared" si="84"/>
        <v>2.4188672361852227E-2</v>
      </c>
      <c r="DK23" s="148">
        <f t="shared" si="103"/>
        <v>41.341665430844088</v>
      </c>
      <c r="DL23" s="145">
        <f t="shared" si="98"/>
        <v>141.05776245004003</v>
      </c>
      <c r="DM23" s="191">
        <f t="shared" si="85"/>
        <v>8.3439864640395172</v>
      </c>
      <c r="DN23" s="149">
        <f t="shared" si="104"/>
        <v>1071.9020659893222</v>
      </c>
      <c r="DP23" s="25"/>
      <c r="DQ23" s="25"/>
      <c r="DR23" s="25"/>
      <c r="DS23" s="25"/>
      <c r="DT23" s="25"/>
      <c r="DU23" s="25"/>
      <c r="DV23" s="25"/>
      <c r="DW23" s="25"/>
      <c r="DX23" s="25"/>
      <c r="DZ23" s="91">
        <f t="shared" si="1"/>
        <v>0.89875930521091796</v>
      </c>
      <c r="EA23" s="91">
        <f t="shared" si="2"/>
        <v>10.592685638061361</v>
      </c>
      <c r="EB23" s="91">
        <f t="shared" si="3"/>
        <v>0.5</v>
      </c>
      <c r="EC23" s="96">
        <f t="shared" si="86"/>
        <v>1853.3982438242344</v>
      </c>
      <c r="ED23" s="96">
        <f t="shared" si="87"/>
        <v>1519.6839665258783</v>
      </c>
      <c r="EE23" s="96">
        <f t="shared" si="105"/>
        <v>111365.21887276413</v>
      </c>
      <c r="EF23" s="96">
        <f t="shared" si="106"/>
        <v>333.71427729835614</v>
      </c>
    </row>
    <row r="24" spans="1:136" ht="18.75" customHeight="1" thickBot="1" x14ac:dyDescent="0.4">
      <c r="A24" s="339"/>
      <c r="B24" s="340"/>
      <c r="C24" s="341" t="s">
        <v>22</v>
      </c>
      <c r="D24" s="342"/>
      <c r="E24" s="342"/>
      <c r="F24" s="342"/>
      <c r="G24" s="343"/>
      <c r="H24" s="314"/>
      <c r="I24" s="28"/>
      <c r="J24" s="28"/>
      <c r="K24" s="28"/>
      <c r="L24" s="239"/>
      <c r="M24" s="240"/>
      <c r="N24" s="241"/>
      <c r="O24" s="241"/>
      <c r="P24" s="242"/>
      <c r="Q24" s="28"/>
      <c r="R24" s="371"/>
      <c r="S24" s="539"/>
      <c r="T24" s="540"/>
      <c r="U24" s="133"/>
      <c r="V24" s="531" t="s">
        <v>191</v>
      </c>
      <c r="W24" s="305"/>
      <c r="X24" s="116"/>
      <c r="Y24" s="48"/>
      <c r="Z24" s="48"/>
      <c r="AA24" s="48"/>
      <c r="AB24" s="48"/>
      <c r="AC24" s="48"/>
      <c r="AD24" s="541" t="s">
        <v>61</v>
      </c>
      <c r="AE24" s="543" t="s">
        <v>61</v>
      </c>
      <c r="AF24" s="531" t="s">
        <v>141</v>
      </c>
      <c r="AG24" s="65"/>
      <c r="AH24" s="95"/>
      <c r="AI24" s="95"/>
      <c r="AJ24" s="95"/>
      <c r="AK24" s="71"/>
      <c r="AL24" s="362"/>
      <c r="AM24" s="252"/>
      <c r="AN24" s="249"/>
      <c r="AO24" s="249"/>
      <c r="AP24" s="249"/>
      <c r="AQ24" s="11"/>
      <c r="AR24" s="65"/>
      <c r="AS24" s="21"/>
      <c r="AT24" s="21"/>
      <c r="AU24" s="18"/>
      <c r="AV24" s="19"/>
      <c r="AW24" s="19"/>
      <c r="AX24" s="20"/>
      <c r="AY24" s="11"/>
      <c r="AZ24" s="65"/>
      <c r="BA24" s="21"/>
      <c r="BB24" s="21"/>
      <c r="BC24" s="250"/>
      <c r="BD24" s="249"/>
      <c r="BE24" s="249"/>
      <c r="BF24" s="255"/>
      <c r="BG24" s="11"/>
      <c r="BH24" s="66"/>
      <c r="BI24" s="22"/>
      <c r="BJ24" s="17"/>
      <c r="BK24" s="18"/>
      <c r="BL24" s="19"/>
      <c r="BM24" s="19"/>
      <c r="BN24" s="20"/>
      <c r="BO24" s="11"/>
      <c r="BP24" s="65"/>
      <c r="BQ24" s="22"/>
      <c r="BR24" s="17"/>
      <c r="BS24" s="18"/>
      <c r="BT24" s="19"/>
      <c r="BU24" s="19"/>
      <c r="BV24" s="20"/>
      <c r="BW24" s="11"/>
      <c r="BX24" s="66"/>
      <c r="BY24" s="22"/>
      <c r="BZ24" s="17"/>
      <c r="CA24" s="18"/>
      <c r="CB24" s="19"/>
      <c r="CC24" s="19"/>
      <c r="CD24" s="20"/>
      <c r="CE24" s="11"/>
      <c r="CF24" s="65"/>
      <c r="CG24" s="22"/>
      <c r="CH24" s="17"/>
      <c r="CI24" s="18"/>
      <c r="CJ24" s="19"/>
      <c r="CK24" s="19"/>
      <c r="CL24" s="20"/>
      <c r="CM24" s="11"/>
      <c r="CN24" s="66"/>
      <c r="CO24" s="22"/>
      <c r="CP24" s="17"/>
      <c r="CQ24" s="18"/>
      <c r="CR24" s="19"/>
      <c r="CS24" s="19"/>
      <c r="CT24" s="20"/>
      <c r="CU24" s="11"/>
      <c r="CV24" s="65"/>
      <c r="CW24" s="22"/>
      <c r="CX24" s="17"/>
      <c r="CY24" s="17"/>
      <c r="CZ24" s="17"/>
      <c r="DA24" s="18"/>
      <c r="DB24" s="19"/>
      <c r="DC24" s="19"/>
      <c r="DD24" s="20"/>
      <c r="DE24" s="11"/>
      <c r="DF24" s="65"/>
      <c r="DG24" s="14"/>
      <c r="DH24" s="24"/>
      <c r="DI24" s="36"/>
      <c r="DJ24" s="37"/>
      <c r="DK24" s="24"/>
      <c r="DL24" s="24"/>
      <c r="DM24" s="24"/>
      <c r="DN24" s="24"/>
      <c r="DP24" s="25"/>
      <c r="DQ24" s="25"/>
      <c r="DR24" s="25"/>
      <c r="DS24" s="25"/>
      <c r="DT24" s="25"/>
      <c r="DU24" s="25"/>
      <c r="DV24" s="25"/>
      <c r="DW24" s="25"/>
      <c r="DX24" s="25"/>
    </row>
    <row r="25" spans="1:136" ht="13.5" thickBot="1" x14ac:dyDescent="0.35">
      <c r="A25" s="38"/>
      <c r="H25" s="315"/>
      <c r="I25" s="316"/>
      <c r="J25" s="316"/>
      <c r="K25" s="316"/>
      <c r="L25" s="316"/>
      <c r="M25" s="316"/>
      <c r="N25" s="316"/>
      <c r="O25" s="316"/>
      <c r="P25" s="316"/>
      <c r="Q25" s="316"/>
      <c r="R25" s="372"/>
      <c r="S25" s="199"/>
      <c r="T25" s="370"/>
      <c r="V25" s="531"/>
      <c r="W25" s="306"/>
      <c r="X25" s="38"/>
      <c r="Y25" s="38"/>
      <c r="Z25" s="38"/>
      <c r="AA25" s="38"/>
      <c r="AB25" s="38"/>
      <c r="AC25" s="38"/>
      <c r="AD25" s="542"/>
      <c r="AE25" s="544"/>
      <c r="AF25" s="531"/>
      <c r="AG25" s="65"/>
      <c r="AH25" s="95"/>
      <c r="AL25" s="362"/>
      <c r="AR25" s="65"/>
      <c r="AS25" s="21"/>
      <c r="AT25" s="21"/>
      <c r="AZ25" s="65"/>
      <c r="BA25" s="21"/>
      <c r="BB25" s="21"/>
      <c r="BP25" s="65"/>
      <c r="CF25" s="65"/>
      <c r="CV25" s="65"/>
      <c r="DF25" s="65"/>
    </row>
    <row r="26" spans="1:136" ht="12.75" customHeight="1" thickBot="1" x14ac:dyDescent="0.35">
      <c r="A26" s="38"/>
      <c r="H26" s="25"/>
      <c r="I26" s="28"/>
      <c r="J26" s="28"/>
      <c r="K26" s="25"/>
      <c r="L26" s="25"/>
      <c r="Q26" s="28"/>
      <c r="R26" s="372"/>
      <c r="S26" s="388">
        <f>3.78541*S10/1000</f>
        <v>1.0856963592905629</v>
      </c>
      <c r="T26" s="370"/>
      <c r="V26" s="531"/>
      <c r="W26" s="306"/>
      <c r="X26" s="38"/>
      <c r="Y26" s="38"/>
      <c r="Z26" s="38"/>
      <c r="AA26" s="38"/>
      <c r="AB26" s="38"/>
      <c r="AC26" s="38"/>
      <c r="AD26" s="198"/>
      <c r="AE26" s="198"/>
      <c r="AF26" s="531"/>
      <c r="AG26" s="65"/>
      <c r="AH26" s="95"/>
      <c r="AR26" s="65"/>
      <c r="AS26" s="21"/>
      <c r="AT26" s="21"/>
      <c r="AZ26" s="65"/>
      <c r="BA26" s="21"/>
      <c r="BB26" s="21"/>
      <c r="BP26" s="65"/>
      <c r="CF26" s="65"/>
      <c r="CV26" s="65"/>
      <c r="DF26" s="65"/>
      <c r="DN26" s="25"/>
      <c r="DO26" s="25"/>
      <c r="DY26" s="25"/>
      <c r="DZ26" s="208"/>
    </row>
    <row r="27" spans="1:136" ht="12.75" customHeight="1" thickBot="1" x14ac:dyDescent="0.35">
      <c r="B27" s="551" t="s">
        <v>183</v>
      </c>
      <c r="C27" s="552"/>
      <c r="D27" s="552"/>
      <c r="E27" s="552"/>
      <c r="F27" s="552"/>
      <c r="G27" s="552"/>
      <c r="H27" s="552"/>
      <c r="I27" s="553"/>
      <c r="K27" s="26"/>
      <c r="L27" s="25"/>
      <c r="Q27" s="28"/>
      <c r="R27" s="372"/>
      <c r="S27" s="549" t="s">
        <v>196</v>
      </c>
      <c r="T27" s="370"/>
      <c r="V27" s="531"/>
      <c r="W27" s="306"/>
      <c r="X27" s="38"/>
      <c r="Y27" s="38"/>
      <c r="Z27" s="38"/>
      <c r="AA27" s="38"/>
      <c r="AB27" s="38"/>
      <c r="AC27" s="38"/>
      <c r="AD27" s="198"/>
      <c r="AE27" s="198"/>
      <c r="AF27" s="531"/>
      <c r="AG27" s="65"/>
      <c r="AH27" s="95"/>
      <c r="AL27" s="105"/>
      <c r="AR27" s="65"/>
      <c r="AS27" s="21"/>
      <c r="AT27" s="21"/>
      <c r="AZ27" s="65"/>
      <c r="BA27" s="21"/>
      <c r="BB27" s="21"/>
      <c r="BP27" s="65"/>
      <c r="CF27" s="65"/>
      <c r="CV27" s="65"/>
      <c r="DF27" s="65"/>
      <c r="DN27" s="25"/>
      <c r="DO27" s="25"/>
      <c r="DY27" s="25"/>
      <c r="DZ27" s="208"/>
    </row>
    <row r="28" spans="1:136" ht="13.5" thickBot="1" x14ac:dyDescent="0.35">
      <c r="L28" s="27"/>
      <c r="M28" s="27"/>
      <c r="N28" s="27"/>
      <c r="O28" s="27"/>
      <c r="P28" s="27"/>
      <c r="Q28" s="27"/>
      <c r="R28" s="373"/>
      <c r="S28" s="549"/>
      <c r="T28" s="374"/>
      <c r="V28" s="531"/>
      <c r="W28" s="306"/>
      <c r="X28" s="246"/>
      <c r="Y28" s="246"/>
      <c r="Z28" s="246"/>
      <c r="AA28" s="246"/>
      <c r="AB28" s="246"/>
      <c r="AC28" s="246"/>
      <c r="AD28" s="246"/>
      <c r="AE28" s="298"/>
      <c r="AF28" s="531"/>
      <c r="AG28" s="65"/>
      <c r="AH28" s="95"/>
      <c r="AL28" s="105"/>
      <c r="AR28" s="65"/>
      <c r="AS28" s="21"/>
      <c r="AT28" s="21"/>
      <c r="AZ28" s="65"/>
      <c r="BA28" s="21"/>
      <c r="BB28" s="21"/>
      <c r="BP28" s="65"/>
      <c r="CF28" s="65"/>
      <c r="CV28" s="65"/>
      <c r="DF28" s="65"/>
      <c r="DN28" s="25"/>
      <c r="DO28" s="25"/>
      <c r="DY28" s="25"/>
      <c r="DZ28" s="208"/>
    </row>
    <row r="29" spans="1:136" ht="32.25" customHeight="1" thickBot="1" x14ac:dyDescent="0.4">
      <c r="L29" s="27"/>
      <c r="M29" s="27"/>
      <c r="N29" s="126"/>
      <c r="O29" s="27"/>
      <c r="P29" s="27"/>
      <c r="Q29" s="27"/>
      <c r="R29" s="373"/>
      <c r="S29" s="549"/>
      <c r="T29" s="375"/>
      <c r="V29" s="532"/>
      <c r="W29" s="307" t="s">
        <v>121</v>
      </c>
      <c r="X29" s="55"/>
      <c r="Y29" s="55"/>
      <c r="Z29" s="55"/>
      <c r="AA29" s="55"/>
      <c r="AB29" s="55"/>
      <c r="AC29" s="55"/>
      <c r="AD29" s="245"/>
      <c r="AE29" s="38"/>
      <c r="AF29" s="531"/>
      <c r="AG29" s="65"/>
      <c r="AH29" s="95"/>
      <c r="AI29" s="362"/>
      <c r="AL29" s="362" t="s">
        <v>195</v>
      </c>
      <c r="AR29" s="65"/>
      <c r="AS29" s="21"/>
      <c r="AT29" s="21"/>
      <c r="AZ29" s="65"/>
      <c r="BA29" s="21"/>
      <c r="BB29" s="21"/>
      <c r="BP29" s="65"/>
      <c r="CF29" s="65"/>
      <c r="CV29" s="65"/>
      <c r="DF29" s="65"/>
    </row>
    <row r="30" spans="1:136" ht="13.5" thickBot="1" x14ac:dyDescent="0.35">
      <c r="L30" s="38"/>
      <c r="N30" s="28"/>
      <c r="O30" s="28"/>
      <c r="P30" s="27"/>
      <c r="Q30" s="27"/>
      <c r="R30" s="376"/>
      <c r="S30" s="549"/>
      <c r="T30" s="377"/>
      <c r="V30" s="308"/>
      <c r="W30" s="38"/>
      <c r="X30" s="38"/>
      <c r="Y30" s="38"/>
      <c r="Z30" s="38"/>
      <c r="AA30" s="38"/>
      <c r="AB30" s="38"/>
      <c r="AC30" s="38"/>
      <c r="AD30" s="38"/>
      <c r="AE30" s="38"/>
      <c r="AF30" s="532"/>
      <c r="AG30" s="65"/>
      <c r="AH30" s="95"/>
      <c r="AI30" s="361"/>
      <c r="AL30" s="361">
        <f>(+AL12/AK12)-1</f>
        <v>-4.7557882448057476E-2</v>
      </c>
      <c r="AR30" s="65"/>
      <c r="AS30" s="21"/>
      <c r="AT30" s="21"/>
      <c r="AZ30" s="65"/>
      <c r="BA30" s="21"/>
      <c r="BB30" s="21"/>
      <c r="BP30" s="65"/>
      <c r="CF30" s="65"/>
      <c r="CV30" s="65"/>
      <c r="DF30" s="65"/>
    </row>
    <row r="31" spans="1:136" ht="12.75" customHeight="1" thickBot="1" x14ac:dyDescent="0.35">
      <c r="L31" s="38"/>
      <c r="N31" s="28"/>
      <c r="O31" s="28"/>
      <c r="P31" s="27"/>
      <c r="Q31" s="27"/>
      <c r="R31" s="378"/>
      <c r="S31" s="550"/>
      <c r="T31" s="379"/>
      <c r="V31" s="350"/>
      <c r="W31" s="212"/>
      <c r="X31" s="212"/>
      <c r="Y31" s="212"/>
      <c r="Z31" s="212"/>
      <c r="AA31" s="212"/>
      <c r="AB31" s="212"/>
      <c r="AC31" s="212"/>
      <c r="AD31" s="212"/>
      <c r="AE31" s="212"/>
      <c r="AF31" s="214"/>
      <c r="AH31" s="95"/>
      <c r="AI31" s="361"/>
      <c r="AL31" s="361">
        <f t="shared" ref="AL31:AL41" si="107">(+AL13/AK13)-1</f>
        <v>-6.7805546246438531E-2</v>
      </c>
      <c r="AR31" s="65"/>
      <c r="AZ31" s="65"/>
      <c r="BP31" s="65"/>
      <c r="CF31" s="65"/>
      <c r="CV31" s="65"/>
      <c r="DF31" s="65"/>
    </row>
    <row r="32" spans="1:136" ht="13" x14ac:dyDescent="0.3">
      <c r="L32" s="38"/>
      <c r="N32" s="28"/>
      <c r="O32" s="28"/>
      <c r="P32" s="27"/>
      <c r="Q32" s="27"/>
      <c r="R32" s="27"/>
      <c r="S32" s="27"/>
      <c r="T32" s="27"/>
      <c r="AH32" s="95"/>
      <c r="AI32" s="361"/>
      <c r="AL32" s="361">
        <f t="shared" si="107"/>
        <v>-4.7212193411140801E-2</v>
      </c>
      <c r="AM32" s="28"/>
      <c r="DF32" s="65"/>
    </row>
    <row r="33" spans="12:136" ht="14.5" x14ac:dyDescent="0.35">
      <c r="L33" s="133"/>
      <c r="N33" s="28"/>
      <c r="O33" s="28"/>
      <c r="P33" s="27"/>
      <c r="Q33" s="27"/>
      <c r="R33" s="27"/>
      <c r="S33" s="197"/>
      <c r="T33" s="27"/>
      <c r="AH33" s="95"/>
      <c r="AI33" s="361"/>
      <c r="AL33" s="361">
        <f t="shared" si="107"/>
        <v>-3.4179471034445297E-2</v>
      </c>
      <c r="AM33" s="28"/>
    </row>
    <row r="34" spans="12:136" ht="13" x14ac:dyDescent="0.3">
      <c r="N34" s="28"/>
      <c r="O34" s="28"/>
      <c r="P34" s="27"/>
      <c r="Q34" s="27"/>
      <c r="R34" s="27"/>
      <c r="S34" s="27"/>
      <c r="T34" s="27"/>
      <c r="AH34" s="95"/>
      <c r="AI34" s="361"/>
      <c r="AL34" s="361">
        <f t="shared" si="107"/>
        <v>-3.3071614831551521E-2</v>
      </c>
    </row>
    <row r="35" spans="12:136" ht="13" x14ac:dyDescent="0.3">
      <c r="N35" s="28"/>
      <c r="O35" s="28"/>
      <c r="P35" s="27"/>
      <c r="Q35" s="27"/>
      <c r="R35" s="27"/>
      <c r="S35" s="197"/>
      <c r="T35" s="27"/>
      <c r="AH35" s="95"/>
      <c r="AI35" s="361"/>
      <c r="AL35" s="361">
        <f t="shared" si="107"/>
        <v>-2.6101209958066529E-2</v>
      </c>
    </row>
    <row r="36" spans="12:136" s="25" customFormat="1" ht="15.5" x14ac:dyDescent="0.35">
      <c r="L36" s="207"/>
      <c r="N36" s="28"/>
      <c r="O36" s="28"/>
      <c r="P36" s="27"/>
      <c r="Q36" s="27"/>
      <c r="R36" s="27"/>
      <c r="S36" s="27"/>
      <c r="T36" s="27"/>
      <c r="AG36" s="28"/>
      <c r="AH36" s="95"/>
      <c r="AI36" s="361"/>
      <c r="AJ36" s="94"/>
      <c r="AK36" s="28"/>
      <c r="AL36" s="361">
        <f t="shared" si="107"/>
        <v>-1.8370672153717349E-2</v>
      </c>
      <c r="AR36" s="62"/>
      <c r="AZ36" s="62"/>
      <c r="BH36" s="62"/>
      <c r="BP36" s="62"/>
      <c r="BX36" s="62"/>
      <c r="CF36" s="62"/>
      <c r="CN36" s="62"/>
      <c r="CV36" s="62"/>
      <c r="DF36" s="62"/>
      <c r="DN36"/>
      <c r="DO36"/>
      <c r="DP36"/>
      <c r="DQ36"/>
      <c r="DR36"/>
      <c r="DS36"/>
      <c r="DT36"/>
      <c r="DU36"/>
      <c r="DV36"/>
      <c r="DW36"/>
      <c r="DX36"/>
      <c r="DY36"/>
      <c r="DZ36" s="91"/>
      <c r="EA36" s="208"/>
      <c r="EB36" s="208"/>
      <c r="EC36" s="208"/>
      <c r="ED36" s="208"/>
      <c r="EE36" s="208"/>
      <c r="EF36" s="208"/>
    </row>
    <row r="37" spans="12:136" s="25" customFormat="1" ht="12.75" customHeight="1" x14ac:dyDescent="0.3">
      <c r="N37" s="27"/>
      <c r="O37" s="27"/>
      <c r="P37" s="27"/>
      <c r="Q37" s="27"/>
      <c r="R37" s="27"/>
      <c r="S37" s="199"/>
      <c r="T37" s="27"/>
      <c r="AG37" s="28"/>
      <c r="AH37" s="95"/>
      <c r="AI37" s="361"/>
      <c r="AJ37" s="94"/>
      <c r="AK37" s="28"/>
      <c r="AL37" s="361">
        <f t="shared" si="107"/>
        <v>-1.7722672033872899E-2</v>
      </c>
      <c r="AR37" s="62"/>
      <c r="AZ37" s="62"/>
      <c r="BH37" s="62"/>
      <c r="BP37" s="62"/>
      <c r="BX37" s="62"/>
      <c r="CF37" s="62"/>
      <c r="CN37" s="62"/>
      <c r="CV37" s="62"/>
      <c r="DF37" s="62"/>
      <c r="DN37"/>
      <c r="DO37"/>
      <c r="DP37"/>
      <c r="DQ37"/>
      <c r="DR37"/>
      <c r="DS37"/>
      <c r="DT37"/>
      <c r="DU37"/>
      <c r="DV37"/>
      <c r="DW37"/>
      <c r="DX37"/>
      <c r="DY37"/>
      <c r="DZ37" s="91"/>
      <c r="EA37" s="208"/>
      <c r="EB37" s="208"/>
      <c r="EC37" s="208"/>
      <c r="ED37" s="208"/>
      <c r="EE37" s="208"/>
      <c r="EF37" s="208"/>
    </row>
    <row r="38" spans="12:136" s="25" customFormat="1" ht="16" customHeight="1" x14ac:dyDescent="0.3">
      <c r="N38" s="27"/>
      <c r="O38" s="27"/>
      <c r="P38" s="27"/>
      <c r="Q38" s="27"/>
      <c r="R38" s="27"/>
      <c r="S38" s="199"/>
      <c r="T38" s="27"/>
      <c r="AG38" s="28"/>
      <c r="AH38" s="95"/>
      <c r="AI38" s="361"/>
      <c r="AJ38" s="94"/>
      <c r="AK38" s="28"/>
      <c r="AL38" s="361">
        <f t="shared" si="107"/>
        <v>-2.5836186877032707E-2</v>
      </c>
      <c r="AR38" s="62"/>
      <c r="AZ38" s="62"/>
      <c r="BH38" s="62"/>
      <c r="BP38" s="62"/>
      <c r="BX38" s="62"/>
      <c r="CF38" s="62"/>
      <c r="CN38" s="62"/>
      <c r="CV38" s="62"/>
      <c r="DF38" s="62"/>
      <c r="DN38"/>
      <c r="DO38"/>
      <c r="DP38"/>
      <c r="DQ38"/>
      <c r="DR38"/>
      <c r="DS38"/>
      <c r="DT38"/>
      <c r="DU38"/>
      <c r="DV38"/>
      <c r="DW38"/>
      <c r="DX38"/>
      <c r="DY38"/>
      <c r="DZ38" s="91"/>
      <c r="EA38" s="208"/>
      <c r="EB38" s="208"/>
      <c r="EC38" s="208"/>
      <c r="ED38" s="208"/>
      <c r="EE38" s="208"/>
      <c r="EF38" s="208"/>
    </row>
    <row r="39" spans="12:136" ht="13" x14ac:dyDescent="0.3">
      <c r="N39" s="27"/>
      <c r="O39" s="27"/>
      <c r="P39" s="27"/>
      <c r="Q39" s="27"/>
      <c r="R39" s="27"/>
      <c r="S39" s="27"/>
      <c r="T39" s="27"/>
      <c r="AI39" s="361"/>
      <c r="AL39" s="361">
        <f t="shared" si="107"/>
        <v>-3.8983776671034254E-2</v>
      </c>
    </row>
    <row r="40" spans="12:136" ht="13" x14ac:dyDescent="0.3">
      <c r="N40" s="27"/>
      <c r="O40" s="27"/>
      <c r="P40" s="27"/>
      <c r="Q40" s="27"/>
      <c r="R40" s="27"/>
      <c r="S40" s="27"/>
      <c r="T40" s="27"/>
      <c r="AI40" s="361"/>
      <c r="AL40" s="361">
        <f t="shared" si="107"/>
        <v>-4.386790418471187E-2</v>
      </c>
    </row>
    <row r="41" spans="12:136" ht="13" x14ac:dyDescent="0.3">
      <c r="N41" s="27"/>
      <c r="O41" s="27"/>
      <c r="P41" s="27"/>
      <c r="Q41" s="27"/>
      <c r="R41" s="27"/>
      <c r="S41" s="27"/>
      <c r="T41" s="27"/>
      <c r="AI41" s="361"/>
      <c r="AL41" s="361">
        <f t="shared" si="107"/>
        <v>-5.9725500027629219E-2</v>
      </c>
    </row>
    <row r="42" spans="12:136" ht="13" x14ac:dyDescent="0.3">
      <c r="N42" s="27"/>
      <c r="O42" s="27"/>
      <c r="P42" s="27"/>
      <c r="Q42" s="27"/>
      <c r="R42" s="27"/>
      <c r="S42" s="27"/>
      <c r="T42" s="27"/>
      <c r="AL42" s="361"/>
    </row>
    <row r="43" spans="12:136" ht="13" x14ac:dyDescent="0.3">
      <c r="N43" s="27"/>
      <c r="O43" s="27"/>
      <c r="P43" s="27"/>
      <c r="Q43" s="27"/>
      <c r="R43" s="27"/>
      <c r="S43" s="27"/>
      <c r="T43" s="27"/>
      <c r="AL43" s="361"/>
    </row>
    <row r="44" spans="12:136" x14ac:dyDescent="0.25">
      <c r="N44" s="27"/>
      <c r="O44" s="27"/>
      <c r="P44" s="27"/>
      <c r="Q44" s="27"/>
      <c r="R44" s="27"/>
      <c r="S44" s="27"/>
      <c r="T44" s="27"/>
    </row>
    <row r="45" spans="12:136" x14ac:dyDescent="0.25">
      <c r="N45" s="27"/>
      <c r="O45" s="27"/>
      <c r="P45" s="27"/>
      <c r="Q45" s="27"/>
      <c r="R45" s="27"/>
      <c r="S45" s="27"/>
      <c r="T45" s="27"/>
    </row>
    <row r="48" spans="12:136" ht="12.75" customHeight="1" x14ac:dyDescent="0.25"/>
    <row r="51" ht="12.75" customHeight="1" x14ac:dyDescent="0.25"/>
  </sheetData>
  <customSheetViews>
    <customSheetView guid="{038F7421-093D-47DD-9CD5-8B18793407C7}" topLeftCell="AZ1">
      <selection activeCell="H11" sqref="H11:CE11"/>
      <pageMargins left="0.7" right="0.7" top="0.75" bottom="0.75" header="0.3" footer="0.3"/>
      <pageSetup orientation="portrait" r:id="rId1"/>
    </customSheetView>
    <customSheetView guid="{BDC19292-67D0-4AF6-AD75-122837AE8A2E}" topLeftCell="A30">
      <selection activeCell="H2" sqref="H2:K4"/>
      <pageMargins left="0.7" right="0.7" top="0.75" bottom="0.75" header="0.3" footer="0.3"/>
      <pageSetup orientation="portrait" r:id="rId2"/>
    </customSheetView>
  </customSheetViews>
  <mergeCells count="32">
    <mergeCell ref="DP16:DQ16"/>
    <mergeCell ref="DP18:DQ18"/>
    <mergeCell ref="DP19:DQ19"/>
    <mergeCell ref="DP20:DQ20"/>
    <mergeCell ref="DP17:DQ17"/>
    <mergeCell ref="DZ10:EO10"/>
    <mergeCell ref="Y10:AA10"/>
    <mergeCell ref="AH10:AI10"/>
    <mergeCell ref="CY9:DA10"/>
    <mergeCell ref="DP15:DQ15"/>
    <mergeCell ref="V24:V29"/>
    <mergeCell ref="H10:K10"/>
    <mergeCell ref="AD4:AD8"/>
    <mergeCell ref="S22:T24"/>
    <mergeCell ref="AF24:AF30"/>
    <mergeCell ref="AD24:AD25"/>
    <mergeCell ref="AE24:AE25"/>
    <mergeCell ref="AE4:AE8"/>
    <mergeCell ref="AF4:AF8"/>
    <mergeCell ref="S27:S31"/>
    <mergeCell ref="B27:I27"/>
    <mergeCell ref="W4:W8"/>
    <mergeCell ref="S19:T19"/>
    <mergeCell ref="S21:T21"/>
    <mergeCell ref="S13:T13"/>
    <mergeCell ref="A1:G3"/>
    <mergeCell ref="S18:T18"/>
    <mergeCell ref="H2:K4"/>
    <mergeCell ref="H1:P1"/>
    <mergeCell ref="V4:V8"/>
    <mergeCell ref="S14:T16"/>
    <mergeCell ref="A4:G4"/>
  </mergeCells>
  <hyperlinks>
    <hyperlink ref="DJ2" r:id="rId3"/>
    <hyperlink ref="DT15" r:id="rId4"/>
  </hyperlinks>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zoomScale="110" zoomScaleNormal="110" workbookViewId="0"/>
  </sheetViews>
  <sheetFormatPr defaultRowHeight="12.5" x14ac:dyDescent="0.25"/>
  <cols>
    <col min="1" max="1" width="144.08984375" customWidth="1"/>
  </cols>
  <sheetData>
    <row r="1" spans="1:10" x14ac:dyDescent="0.25">
      <c r="A1" s="30" t="s">
        <v>316</v>
      </c>
    </row>
    <row r="2" spans="1:10" x14ac:dyDescent="0.25">
      <c r="A2" s="31"/>
    </row>
    <row r="3" spans="1:10" x14ac:dyDescent="0.25">
      <c r="A3" s="30" t="s">
        <v>329</v>
      </c>
      <c r="B3" s="31"/>
      <c r="C3" s="31"/>
      <c r="D3" s="31"/>
      <c r="F3" s="31"/>
      <c r="G3" s="31"/>
      <c r="H3" s="31"/>
      <c r="I3" s="31"/>
      <c r="J3" s="31"/>
    </row>
    <row r="4" spans="1:10" x14ac:dyDescent="0.25">
      <c r="B4" s="31"/>
      <c r="C4" s="31"/>
      <c r="D4" s="31"/>
      <c r="E4" s="31"/>
      <c r="F4" s="31"/>
      <c r="G4" s="31"/>
      <c r="H4" s="31"/>
      <c r="I4" s="31"/>
      <c r="J4" s="31"/>
    </row>
    <row r="5" spans="1:10" x14ac:dyDescent="0.25">
      <c r="A5" s="14" t="s">
        <v>222</v>
      </c>
      <c r="B5" s="31"/>
      <c r="C5" s="31"/>
      <c r="D5" s="31"/>
      <c r="E5" s="31"/>
      <c r="F5" s="31"/>
      <c r="G5" s="31"/>
      <c r="H5" s="31"/>
      <c r="I5" s="31"/>
      <c r="J5" s="31"/>
    </row>
    <row r="6" spans="1:10" x14ac:dyDescent="0.25">
      <c r="B6" s="31"/>
      <c r="C6" s="31"/>
      <c r="D6" s="31"/>
      <c r="E6" s="31"/>
      <c r="F6" s="31"/>
      <c r="G6" s="31"/>
      <c r="H6" s="31"/>
      <c r="I6" s="31"/>
      <c r="J6" s="31"/>
    </row>
    <row r="7" spans="1:10" ht="25" x14ac:dyDescent="0.25">
      <c r="A7" s="30" t="s">
        <v>317</v>
      </c>
      <c r="B7" s="31"/>
      <c r="C7" s="31"/>
      <c r="D7" s="31"/>
      <c r="E7" s="31"/>
      <c r="F7" s="31"/>
      <c r="G7" s="31"/>
      <c r="H7" s="31"/>
      <c r="I7" s="31"/>
      <c r="J7" s="31"/>
    </row>
    <row r="8" spans="1:10" x14ac:dyDescent="0.25">
      <c r="A8" s="31" t="s">
        <v>228</v>
      </c>
      <c r="B8" s="31"/>
      <c r="C8" s="31"/>
      <c r="D8" s="31"/>
      <c r="E8" s="31"/>
      <c r="F8" s="31"/>
      <c r="G8" s="31"/>
      <c r="H8" s="31"/>
      <c r="I8" s="31"/>
      <c r="J8" s="31"/>
    </row>
    <row r="9" spans="1:10" x14ac:dyDescent="0.25">
      <c r="A9" s="30" t="s">
        <v>231</v>
      </c>
      <c r="B9" s="31"/>
      <c r="C9" s="31"/>
      <c r="D9" s="31"/>
      <c r="E9" s="31"/>
      <c r="F9" s="31"/>
      <c r="G9" s="31"/>
      <c r="H9" s="31"/>
      <c r="I9" s="31"/>
      <c r="J9" s="31"/>
    </row>
    <row r="10" spans="1:10" ht="25" x14ac:dyDescent="0.25">
      <c r="A10" s="30" t="s">
        <v>232</v>
      </c>
      <c r="B10" s="31"/>
      <c r="C10" s="31"/>
      <c r="D10" s="31"/>
      <c r="E10" s="31"/>
      <c r="F10" s="31"/>
      <c r="G10" s="31"/>
      <c r="H10" s="31"/>
      <c r="I10" s="31"/>
      <c r="J10" s="31"/>
    </row>
    <row r="11" spans="1:10" x14ac:dyDescent="0.25">
      <c r="A11" s="30" t="s">
        <v>253</v>
      </c>
      <c r="B11" s="31"/>
      <c r="C11" s="31"/>
      <c r="D11" s="31"/>
      <c r="E11" s="31"/>
      <c r="F11" s="31"/>
      <c r="G11" s="31"/>
      <c r="H11" s="31"/>
      <c r="I11" s="31"/>
      <c r="J11" s="31"/>
    </row>
    <row r="12" spans="1:10" x14ac:dyDescent="0.25">
      <c r="A12" s="30" t="s">
        <v>233</v>
      </c>
      <c r="B12" s="31"/>
      <c r="C12" s="31"/>
      <c r="D12" s="31"/>
      <c r="E12" s="31"/>
      <c r="F12" s="31"/>
      <c r="G12" s="31"/>
      <c r="H12" s="31"/>
      <c r="I12" s="31"/>
      <c r="J12" s="31"/>
    </row>
    <row r="13" spans="1:10" x14ac:dyDescent="0.25">
      <c r="A13" s="30" t="s">
        <v>234</v>
      </c>
      <c r="B13" s="31"/>
      <c r="C13" s="31"/>
      <c r="D13" s="31"/>
      <c r="E13" s="31"/>
      <c r="F13" s="31"/>
      <c r="G13" s="31"/>
      <c r="H13" s="31"/>
      <c r="I13" s="31"/>
      <c r="J13" s="31"/>
    </row>
    <row r="14" spans="1:10" x14ac:dyDescent="0.25">
      <c r="A14" s="30" t="s">
        <v>235</v>
      </c>
      <c r="B14" s="31"/>
      <c r="C14" s="31"/>
      <c r="D14" s="31"/>
      <c r="E14" s="31"/>
      <c r="F14" s="31"/>
      <c r="G14" s="31"/>
      <c r="H14" s="31"/>
      <c r="I14" s="31"/>
      <c r="J14" s="31"/>
    </row>
    <row r="15" spans="1:10" x14ac:dyDescent="0.25">
      <c r="A15" s="31" t="s">
        <v>229</v>
      </c>
      <c r="B15" s="31"/>
      <c r="C15" s="31"/>
      <c r="D15" s="31"/>
      <c r="E15" s="31"/>
      <c r="F15" s="31"/>
      <c r="G15" s="31"/>
      <c r="H15" s="31"/>
      <c r="I15" s="31"/>
      <c r="J15" s="31"/>
    </row>
    <row r="16" spans="1:10" x14ac:dyDescent="0.25">
      <c r="A16" s="30" t="s">
        <v>254</v>
      </c>
      <c r="B16" s="31"/>
      <c r="C16" s="31"/>
      <c r="D16" s="31"/>
      <c r="E16" s="31"/>
      <c r="F16" s="31"/>
      <c r="G16" s="31"/>
      <c r="H16" s="31"/>
      <c r="I16" s="31"/>
      <c r="J16" s="31"/>
    </row>
    <row r="17" spans="1:10" x14ac:dyDescent="0.25">
      <c r="A17" s="30" t="s">
        <v>255</v>
      </c>
      <c r="B17" s="31"/>
      <c r="C17" s="31"/>
      <c r="D17" s="31"/>
      <c r="E17" s="31"/>
      <c r="F17" s="31"/>
      <c r="G17" s="31"/>
      <c r="H17" s="31"/>
      <c r="I17" s="31"/>
      <c r="J17" s="31"/>
    </row>
    <row r="18" spans="1:10" x14ac:dyDescent="0.25">
      <c r="A18" s="30" t="s">
        <v>256</v>
      </c>
      <c r="B18" s="31"/>
      <c r="C18" s="31"/>
      <c r="D18" s="31"/>
      <c r="E18" s="31"/>
      <c r="F18" s="31"/>
      <c r="G18" s="31"/>
      <c r="H18" s="31"/>
      <c r="I18" s="31"/>
      <c r="J18" s="31"/>
    </row>
    <row r="19" spans="1:10" x14ac:dyDescent="0.25">
      <c r="A19" s="30" t="s">
        <v>257</v>
      </c>
      <c r="B19" s="31"/>
      <c r="C19" s="31"/>
      <c r="D19" s="31"/>
      <c r="E19" s="31"/>
      <c r="F19" s="31"/>
      <c r="G19" s="31"/>
      <c r="H19" s="31"/>
      <c r="I19" s="31"/>
      <c r="J19" s="31"/>
    </row>
    <row r="20" spans="1:10" ht="25" x14ac:dyDescent="0.25">
      <c r="A20" s="31" t="s">
        <v>230</v>
      </c>
      <c r="B20" s="31"/>
      <c r="C20" s="31"/>
      <c r="D20" s="31"/>
      <c r="E20" s="31"/>
      <c r="F20" s="31"/>
      <c r="G20" s="31"/>
      <c r="H20" s="31"/>
      <c r="I20" s="31"/>
      <c r="J20" s="31"/>
    </row>
    <row r="21" spans="1:10" ht="37.5" x14ac:dyDescent="0.25">
      <c r="A21" s="30" t="s">
        <v>258</v>
      </c>
      <c r="B21" s="31"/>
      <c r="C21" s="31"/>
      <c r="D21" s="31"/>
      <c r="E21" s="31"/>
      <c r="F21" s="31"/>
      <c r="G21" s="31"/>
      <c r="H21" s="31"/>
      <c r="I21" s="31"/>
      <c r="J21" s="31"/>
    </row>
    <row r="22" spans="1:10" x14ac:dyDescent="0.25">
      <c r="B22" s="31"/>
      <c r="C22" s="31"/>
      <c r="D22" s="31"/>
      <c r="E22" s="31"/>
      <c r="F22" s="31"/>
      <c r="G22" s="31"/>
      <c r="H22" s="31"/>
      <c r="I22" s="31"/>
      <c r="J22" s="31"/>
    </row>
    <row r="23" spans="1:10" x14ac:dyDescent="0.25">
      <c r="A23" s="14" t="s">
        <v>223</v>
      </c>
      <c r="B23" s="31"/>
      <c r="C23" s="31"/>
      <c r="D23" s="31"/>
      <c r="E23" s="31"/>
      <c r="F23" s="31"/>
      <c r="G23" s="31"/>
      <c r="H23" s="31"/>
      <c r="I23" s="31"/>
      <c r="J23" s="31"/>
    </row>
    <row r="24" spans="1:10" x14ac:dyDescent="0.25">
      <c r="B24" s="31"/>
      <c r="C24" s="31"/>
      <c r="D24" s="31"/>
      <c r="E24" s="31"/>
      <c r="F24" s="31"/>
      <c r="G24" s="31"/>
      <c r="H24" s="31"/>
      <c r="I24" s="31"/>
      <c r="J24" s="31"/>
    </row>
    <row r="25" spans="1:10" x14ac:dyDescent="0.25">
      <c r="A25" s="14" t="s">
        <v>219</v>
      </c>
      <c r="B25" s="31"/>
      <c r="C25" s="31"/>
      <c r="D25" s="31"/>
      <c r="E25" s="31"/>
      <c r="F25" s="31"/>
      <c r="G25" s="31"/>
      <c r="H25" s="31"/>
      <c r="I25" s="31"/>
      <c r="J25" s="31"/>
    </row>
    <row r="26" spans="1:10" x14ac:dyDescent="0.25">
      <c r="A26" s="31"/>
      <c r="B26" s="31"/>
      <c r="C26" s="31"/>
      <c r="D26" s="31"/>
      <c r="E26" s="31"/>
      <c r="F26" s="31"/>
      <c r="G26" s="31"/>
      <c r="H26" s="31"/>
      <c r="I26" s="31"/>
      <c r="J26" s="31"/>
    </row>
    <row r="27" spans="1:10" x14ac:dyDescent="0.25">
      <c r="A27" s="31" t="s">
        <v>197</v>
      </c>
      <c r="B27" s="31"/>
      <c r="C27" s="31"/>
      <c r="D27" s="31"/>
      <c r="E27" s="31"/>
      <c r="F27" s="31"/>
      <c r="G27" s="31"/>
      <c r="H27" s="31"/>
      <c r="I27" s="31"/>
      <c r="J27" s="31"/>
    </row>
    <row r="28" spans="1:10" x14ac:dyDescent="0.25">
      <c r="A28" s="31"/>
      <c r="B28" s="31"/>
      <c r="C28" s="31"/>
      <c r="D28" s="31"/>
      <c r="E28" s="31"/>
      <c r="F28" s="31"/>
      <c r="G28" s="31"/>
      <c r="H28" s="31"/>
      <c r="I28" s="31"/>
      <c r="J28" s="31"/>
    </row>
    <row r="29" spans="1:10" ht="25" x14ac:dyDescent="0.25">
      <c r="A29" s="31" t="s">
        <v>212</v>
      </c>
      <c r="B29" s="31"/>
      <c r="C29" s="31"/>
      <c r="D29" s="31"/>
      <c r="E29" s="31"/>
      <c r="F29" s="31"/>
      <c r="G29" s="31"/>
      <c r="H29" s="31"/>
      <c r="I29" s="31"/>
      <c r="J29" s="31"/>
    </row>
    <row r="30" spans="1:10" x14ac:dyDescent="0.25">
      <c r="A30" s="31"/>
      <c r="B30" s="31"/>
      <c r="C30" s="31"/>
      <c r="D30" s="31"/>
      <c r="E30" s="31"/>
      <c r="F30" s="31"/>
      <c r="G30" s="31"/>
      <c r="H30" s="31"/>
      <c r="I30" s="31"/>
      <c r="J30" s="31"/>
    </row>
    <row r="31" spans="1:10" ht="25" x14ac:dyDescent="0.25">
      <c r="A31" s="30" t="s">
        <v>227</v>
      </c>
      <c r="B31" s="31"/>
      <c r="C31" s="31"/>
      <c r="D31" s="31"/>
      <c r="E31" s="31"/>
      <c r="F31" s="31"/>
      <c r="G31" s="31"/>
      <c r="H31" s="31"/>
      <c r="I31" s="31"/>
      <c r="J31" s="31"/>
    </row>
    <row r="32" spans="1:10" x14ac:dyDescent="0.25">
      <c r="A32" s="31"/>
      <c r="B32" s="31"/>
      <c r="C32" s="31"/>
      <c r="D32" s="31"/>
      <c r="E32" s="31"/>
      <c r="F32" s="31"/>
      <c r="G32" s="31"/>
      <c r="H32" s="31"/>
      <c r="I32" s="31"/>
      <c r="J32" s="31"/>
    </row>
    <row r="33" spans="1:10" x14ac:dyDescent="0.25">
      <c r="A33" s="31" t="s">
        <v>213</v>
      </c>
      <c r="B33" s="31"/>
      <c r="C33" s="31"/>
      <c r="D33" s="31"/>
      <c r="E33" s="31"/>
      <c r="F33" s="31"/>
      <c r="G33" s="31"/>
      <c r="H33" s="31"/>
      <c r="I33" s="31"/>
      <c r="J33" s="31"/>
    </row>
    <row r="34" spans="1:10" x14ac:dyDescent="0.25">
      <c r="A34" s="31"/>
      <c r="B34" s="31"/>
      <c r="C34" s="31"/>
      <c r="D34" s="31"/>
      <c r="E34" s="31"/>
      <c r="F34" s="31"/>
      <c r="G34" s="31"/>
      <c r="H34" s="31"/>
      <c r="I34" s="31"/>
      <c r="J34" s="31"/>
    </row>
    <row r="35" spans="1:10" x14ac:dyDescent="0.25">
      <c r="A35" s="31" t="s">
        <v>198</v>
      </c>
      <c r="B35" s="31"/>
      <c r="C35" s="31"/>
      <c r="D35" s="31"/>
      <c r="E35" s="31"/>
      <c r="F35" s="31"/>
      <c r="G35" s="31"/>
      <c r="H35" s="31"/>
      <c r="I35" s="31"/>
      <c r="J35" s="31"/>
    </row>
    <row r="36" spans="1:10" x14ac:dyDescent="0.25">
      <c r="A36" s="31"/>
      <c r="B36" s="31"/>
      <c r="C36" s="31"/>
      <c r="D36" s="31"/>
      <c r="E36" s="31"/>
      <c r="F36" s="31"/>
      <c r="G36" s="31"/>
      <c r="H36" s="31"/>
      <c r="I36" s="31"/>
      <c r="J36" s="31"/>
    </row>
    <row r="37" spans="1:10" x14ac:dyDescent="0.25">
      <c r="A37" s="30" t="s">
        <v>221</v>
      </c>
      <c r="B37" s="31"/>
      <c r="C37" s="31"/>
      <c r="D37" s="31"/>
      <c r="E37" s="31"/>
      <c r="F37" s="31"/>
      <c r="G37" s="31"/>
      <c r="H37" s="31"/>
      <c r="I37" s="31"/>
      <c r="J37" s="31"/>
    </row>
    <row r="38" spans="1:10" x14ac:dyDescent="0.25">
      <c r="A38" s="31"/>
      <c r="B38" s="31"/>
      <c r="C38" s="31"/>
      <c r="D38" s="31"/>
      <c r="E38" s="31"/>
      <c r="F38" s="31"/>
      <c r="G38" s="31"/>
      <c r="H38" s="31"/>
      <c r="I38" s="31"/>
      <c r="J38" s="31"/>
    </row>
    <row r="39" spans="1:10" ht="37.5" x14ac:dyDescent="0.25">
      <c r="A39" s="30" t="s">
        <v>259</v>
      </c>
      <c r="B39" s="31"/>
      <c r="C39" s="31"/>
      <c r="D39" s="31"/>
      <c r="E39" s="31"/>
      <c r="F39" s="31"/>
      <c r="G39" s="31"/>
      <c r="H39" s="31"/>
      <c r="I39" s="31"/>
      <c r="J39" s="31"/>
    </row>
    <row r="40" spans="1:10" ht="25" x14ac:dyDescent="0.25">
      <c r="A40" s="30" t="s">
        <v>260</v>
      </c>
      <c r="B40" s="31"/>
      <c r="C40" s="31"/>
      <c r="D40" s="31"/>
      <c r="E40" s="31"/>
      <c r="F40" s="31"/>
      <c r="G40" s="31"/>
      <c r="H40" s="31"/>
      <c r="I40" s="31"/>
      <c r="J40" s="31"/>
    </row>
    <row r="41" spans="1:10" x14ac:dyDescent="0.25">
      <c r="A41" s="31"/>
      <c r="B41" s="31"/>
      <c r="C41" s="31"/>
      <c r="D41" s="31"/>
      <c r="E41" s="31"/>
      <c r="F41" s="31"/>
      <c r="G41" s="31"/>
      <c r="H41" s="31"/>
      <c r="I41" s="31"/>
      <c r="J41" s="31"/>
    </row>
    <row r="42" spans="1:10" x14ac:dyDescent="0.25">
      <c r="A42" s="31" t="s">
        <v>199</v>
      </c>
      <c r="B42" s="31"/>
      <c r="C42" s="31"/>
      <c r="D42" s="31"/>
      <c r="E42" s="31"/>
      <c r="F42" s="31"/>
      <c r="G42" s="31"/>
      <c r="H42" s="31"/>
      <c r="I42" s="31"/>
      <c r="J42" s="31"/>
    </row>
    <row r="43" spans="1:10" x14ac:dyDescent="0.25">
      <c r="A43" s="31"/>
      <c r="B43" s="31"/>
      <c r="C43" s="31"/>
      <c r="D43" s="31"/>
      <c r="E43" s="31"/>
      <c r="F43" s="31"/>
      <c r="G43" s="31"/>
      <c r="H43" s="31"/>
      <c r="I43" s="31"/>
      <c r="J43" s="31"/>
    </row>
    <row r="44" spans="1:10" ht="25" x14ac:dyDescent="0.25">
      <c r="A44" s="30" t="s">
        <v>261</v>
      </c>
      <c r="B44" s="31"/>
      <c r="C44" s="31"/>
      <c r="D44" s="31"/>
      <c r="E44" s="31"/>
      <c r="F44" s="31"/>
      <c r="G44" s="31"/>
      <c r="H44" s="31"/>
      <c r="I44" s="31"/>
      <c r="J44" s="31"/>
    </row>
    <row r="45" spans="1:10" x14ac:dyDescent="0.25">
      <c r="A45" s="31"/>
      <c r="B45" s="31"/>
      <c r="C45" s="31"/>
      <c r="D45" s="31"/>
      <c r="E45" s="31"/>
      <c r="F45" s="31"/>
      <c r="G45" s="31"/>
      <c r="H45" s="31"/>
      <c r="I45" s="31"/>
      <c r="J45" s="31"/>
    </row>
    <row r="46" spans="1:10" x14ac:dyDescent="0.25">
      <c r="A46" s="31" t="s">
        <v>200</v>
      </c>
      <c r="B46" s="31"/>
      <c r="C46" s="31"/>
      <c r="D46" s="31"/>
      <c r="E46" s="31"/>
      <c r="F46" s="31"/>
      <c r="G46" s="31"/>
      <c r="H46" s="31"/>
      <c r="I46" s="31"/>
      <c r="J46" s="31"/>
    </row>
    <row r="47" spans="1:10" x14ac:dyDescent="0.25">
      <c r="A47" s="31"/>
      <c r="B47" s="31"/>
      <c r="C47" s="31"/>
      <c r="D47" s="31"/>
      <c r="E47" s="31"/>
      <c r="F47" s="31"/>
      <c r="G47" s="31"/>
      <c r="H47" s="31"/>
      <c r="I47" s="31"/>
      <c r="J47" s="31"/>
    </row>
    <row r="48" spans="1:10" x14ac:dyDescent="0.25">
      <c r="A48" s="30" t="s">
        <v>262</v>
      </c>
      <c r="B48" s="31"/>
      <c r="C48" s="31"/>
      <c r="D48" s="31"/>
      <c r="E48" s="31"/>
      <c r="F48" s="31"/>
      <c r="G48" s="31"/>
      <c r="H48" s="31"/>
      <c r="I48" s="31"/>
      <c r="J48" s="31"/>
    </row>
    <row r="49" spans="1:10" x14ac:dyDescent="0.25">
      <c r="A49" s="31"/>
      <c r="B49" s="31"/>
      <c r="C49" s="31"/>
      <c r="D49" s="31"/>
      <c r="E49" s="31"/>
      <c r="F49" s="31"/>
      <c r="G49" s="31"/>
      <c r="H49" s="31"/>
      <c r="I49" s="31"/>
      <c r="J49" s="31"/>
    </row>
    <row r="50" spans="1:10" x14ac:dyDescent="0.25">
      <c r="A50" s="31" t="s">
        <v>201</v>
      </c>
      <c r="B50" s="31"/>
      <c r="C50" s="31"/>
      <c r="D50" s="31"/>
      <c r="E50" s="31"/>
      <c r="F50" s="31"/>
      <c r="G50" s="31"/>
      <c r="H50" s="31"/>
      <c r="I50" s="31"/>
      <c r="J50" s="31"/>
    </row>
    <row r="51" spans="1:10" x14ac:dyDescent="0.25">
      <c r="A51" s="31"/>
      <c r="B51" s="31"/>
      <c r="C51" s="31"/>
      <c r="D51" s="31"/>
      <c r="E51" s="31"/>
      <c r="F51" s="31"/>
      <c r="G51" s="31"/>
      <c r="H51" s="31"/>
      <c r="I51" s="31"/>
      <c r="J51" s="31"/>
    </row>
    <row r="52" spans="1:10" x14ac:dyDescent="0.25">
      <c r="A52" s="30" t="s">
        <v>263</v>
      </c>
      <c r="B52" s="31"/>
      <c r="C52" s="31"/>
      <c r="D52" s="31"/>
      <c r="E52" s="31"/>
      <c r="F52" s="31"/>
      <c r="G52" s="31"/>
      <c r="H52" s="31"/>
      <c r="I52" s="31"/>
      <c r="J52" s="31"/>
    </row>
    <row r="53" spans="1:10" x14ac:dyDescent="0.25">
      <c r="A53" s="31"/>
      <c r="B53" s="31"/>
      <c r="C53" s="31"/>
      <c r="D53" s="31"/>
      <c r="E53" s="31"/>
      <c r="F53" s="31"/>
      <c r="G53" s="31"/>
      <c r="H53" s="31"/>
      <c r="I53" s="31"/>
      <c r="J53" s="31"/>
    </row>
    <row r="54" spans="1:10" ht="25" x14ac:dyDescent="0.25">
      <c r="A54" s="30" t="s">
        <v>264</v>
      </c>
      <c r="B54" s="31"/>
      <c r="C54" s="31"/>
      <c r="D54" s="31"/>
      <c r="E54" s="31"/>
      <c r="F54" s="31"/>
      <c r="G54" s="31"/>
      <c r="H54" s="31"/>
      <c r="I54" s="31"/>
      <c r="J54" s="31"/>
    </row>
    <row r="55" spans="1:10" x14ac:dyDescent="0.25">
      <c r="A55" s="31"/>
      <c r="B55" s="31"/>
      <c r="C55" s="31"/>
      <c r="D55" s="31"/>
      <c r="E55" s="31"/>
      <c r="F55" s="31"/>
      <c r="G55" s="31"/>
      <c r="H55" s="31"/>
      <c r="I55" s="31"/>
      <c r="J55" s="31"/>
    </row>
    <row r="56" spans="1:10" ht="25" x14ac:dyDescent="0.25">
      <c r="A56" s="30" t="s">
        <v>265</v>
      </c>
      <c r="B56" s="31"/>
      <c r="C56" s="31"/>
      <c r="D56" s="31"/>
      <c r="E56" s="31"/>
      <c r="F56" s="31"/>
      <c r="G56" s="31"/>
      <c r="H56" s="31"/>
      <c r="I56" s="31"/>
      <c r="J56" s="31"/>
    </row>
    <row r="57" spans="1:10" x14ac:dyDescent="0.25">
      <c r="A57" s="31"/>
      <c r="B57" s="31"/>
      <c r="C57" s="31"/>
      <c r="D57" s="31"/>
      <c r="E57" s="31"/>
      <c r="F57" s="31"/>
      <c r="G57" s="31"/>
      <c r="H57" s="31"/>
      <c r="I57" s="31"/>
      <c r="J57" s="31"/>
    </row>
    <row r="58" spans="1:10" x14ac:dyDescent="0.25">
      <c r="A58" s="31" t="s">
        <v>202</v>
      </c>
      <c r="B58" s="31"/>
      <c r="C58" s="31"/>
      <c r="D58" s="31"/>
      <c r="E58" s="31"/>
      <c r="F58" s="31"/>
      <c r="G58" s="31"/>
      <c r="H58" s="31"/>
      <c r="I58" s="31"/>
      <c r="J58" s="31"/>
    </row>
    <row r="59" spans="1:10" x14ac:dyDescent="0.25">
      <c r="A59" s="31"/>
      <c r="B59" s="31"/>
      <c r="C59" s="31"/>
      <c r="D59" s="31"/>
      <c r="E59" s="31"/>
      <c r="F59" s="31"/>
      <c r="G59" s="31"/>
      <c r="H59" s="31"/>
      <c r="I59" s="31"/>
      <c r="J59" s="31"/>
    </row>
    <row r="60" spans="1:10" x14ac:dyDescent="0.25">
      <c r="A60" s="30" t="s">
        <v>266</v>
      </c>
      <c r="B60" s="31"/>
      <c r="C60" s="31"/>
      <c r="D60" s="31"/>
      <c r="E60" s="31"/>
      <c r="F60" s="31"/>
      <c r="G60" s="31"/>
      <c r="H60" s="31"/>
      <c r="I60" s="31"/>
      <c r="J60" s="31"/>
    </row>
    <row r="61" spans="1:10" x14ac:dyDescent="0.25">
      <c r="A61" s="31"/>
      <c r="B61" s="31"/>
      <c r="C61" s="31"/>
      <c r="D61" s="31"/>
      <c r="E61" s="31"/>
      <c r="F61" s="31"/>
      <c r="G61" s="31"/>
      <c r="H61" s="31"/>
      <c r="I61" s="31"/>
      <c r="J61" s="31"/>
    </row>
    <row r="62" spans="1:10" x14ac:dyDescent="0.25">
      <c r="A62" s="31" t="s">
        <v>203</v>
      </c>
      <c r="B62" s="31"/>
      <c r="C62" s="31"/>
      <c r="D62" s="31"/>
      <c r="E62" s="31"/>
      <c r="F62" s="31"/>
      <c r="G62" s="31"/>
      <c r="H62" s="31"/>
      <c r="I62" s="31"/>
      <c r="J62" s="31"/>
    </row>
    <row r="63" spans="1:10" x14ac:dyDescent="0.25">
      <c r="A63" s="31"/>
      <c r="B63" s="31"/>
      <c r="C63" s="31"/>
      <c r="D63" s="31"/>
      <c r="E63" s="31"/>
      <c r="F63" s="31"/>
      <c r="G63" s="31"/>
      <c r="H63" s="31"/>
      <c r="I63" s="31"/>
      <c r="J63" s="31"/>
    </row>
    <row r="64" spans="1:10" ht="25" x14ac:dyDescent="0.25">
      <c r="A64" s="31" t="s">
        <v>214</v>
      </c>
      <c r="B64" s="31"/>
      <c r="C64" s="31"/>
      <c r="D64" s="31"/>
      <c r="E64" s="31"/>
      <c r="F64" s="31"/>
      <c r="G64" s="31"/>
      <c r="H64" s="31"/>
      <c r="I64" s="31"/>
      <c r="J64" s="31"/>
    </row>
    <row r="65" spans="1:10" x14ac:dyDescent="0.25">
      <c r="A65" s="31"/>
      <c r="B65" s="31"/>
      <c r="C65" s="31"/>
      <c r="D65" s="31"/>
      <c r="E65" s="31"/>
      <c r="F65" s="31"/>
      <c r="G65" s="31"/>
      <c r="H65" s="31"/>
      <c r="I65" s="31"/>
      <c r="J65" s="31"/>
    </row>
    <row r="66" spans="1:10" x14ac:dyDescent="0.25">
      <c r="A66" s="31" t="s">
        <v>204</v>
      </c>
      <c r="B66" s="31"/>
      <c r="C66" s="31"/>
      <c r="D66" s="31"/>
      <c r="E66" s="31"/>
      <c r="F66" s="31"/>
      <c r="G66" s="31"/>
      <c r="H66" s="31"/>
      <c r="I66" s="31"/>
      <c r="J66" s="31"/>
    </row>
    <row r="67" spans="1:10" x14ac:dyDescent="0.25">
      <c r="A67" s="31"/>
      <c r="B67" s="31"/>
      <c r="C67" s="31"/>
      <c r="D67" s="31"/>
      <c r="E67" s="31"/>
      <c r="F67" s="31"/>
      <c r="G67" s="31"/>
      <c r="H67" s="31"/>
      <c r="I67" s="31"/>
      <c r="J67" s="31"/>
    </row>
    <row r="68" spans="1:10" x14ac:dyDescent="0.25">
      <c r="A68" s="30" t="s">
        <v>332</v>
      </c>
      <c r="B68" s="31"/>
      <c r="C68" s="31"/>
      <c r="D68" s="31"/>
      <c r="E68" s="31"/>
      <c r="F68" s="31"/>
      <c r="G68" s="31"/>
      <c r="H68" s="31"/>
      <c r="I68" s="31"/>
      <c r="J68" s="31"/>
    </row>
    <row r="69" spans="1:10" x14ac:dyDescent="0.25">
      <c r="A69" s="31"/>
      <c r="B69" s="31"/>
      <c r="C69" s="31"/>
      <c r="D69" s="31"/>
      <c r="E69" s="31"/>
      <c r="F69" s="31"/>
      <c r="G69" s="31"/>
      <c r="H69" s="31"/>
      <c r="I69" s="31"/>
      <c r="J69" s="31"/>
    </row>
    <row r="70" spans="1:10" ht="50" x14ac:dyDescent="0.25">
      <c r="A70" s="30" t="s">
        <v>333</v>
      </c>
      <c r="B70" s="31"/>
      <c r="C70" s="31"/>
      <c r="D70" s="31"/>
      <c r="E70" s="31"/>
      <c r="F70" s="31"/>
      <c r="G70" s="31"/>
      <c r="H70" s="31"/>
      <c r="I70" s="31"/>
      <c r="J70" s="31"/>
    </row>
    <row r="71" spans="1:10" x14ac:dyDescent="0.25">
      <c r="A71" s="31"/>
      <c r="B71" s="31"/>
      <c r="C71" s="31"/>
      <c r="D71" s="31"/>
      <c r="E71" s="31"/>
      <c r="F71" s="31"/>
      <c r="G71" s="31"/>
      <c r="H71" s="31"/>
      <c r="I71" s="31"/>
      <c r="J71" s="31"/>
    </row>
    <row r="72" spans="1:10" x14ac:dyDescent="0.25">
      <c r="A72" s="31" t="s">
        <v>205</v>
      </c>
      <c r="B72" s="31"/>
      <c r="C72" s="31"/>
      <c r="D72" s="31"/>
      <c r="E72" s="31"/>
      <c r="F72" s="31"/>
      <c r="G72" s="31"/>
      <c r="H72" s="31"/>
      <c r="I72" s="31"/>
      <c r="J72" s="31"/>
    </row>
    <row r="73" spans="1:10" x14ac:dyDescent="0.25">
      <c r="A73" s="31"/>
      <c r="B73" s="31"/>
      <c r="C73" s="31"/>
      <c r="D73" s="31"/>
      <c r="E73" s="31"/>
      <c r="F73" s="31"/>
      <c r="G73" s="31"/>
      <c r="H73" s="31"/>
      <c r="I73" s="31"/>
      <c r="J73" s="31"/>
    </row>
    <row r="74" spans="1:10" ht="25" x14ac:dyDescent="0.25">
      <c r="A74" s="31" t="s">
        <v>215</v>
      </c>
      <c r="B74" s="31"/>
      <c r="C74" s="31"/>
      <c r="D74" s="31"/>
      <c r="E74" s="31"/>
      <c r="F74" s="31"/>
      <c r="G74" s="31"/>
      <c r="H74" s="31"/>
      <c r="I74" s="31"/>
      <c r="J74" s="31"/>
    </row>
    <row r="75" spans="1:10" x14ac:dyDescent="0.25">
      <c r="A75" s="31"/>
      <c r="B75" s="31"/>
      <c r="C75" s="31"/>
      <c r="D75" s="31"/>
      <c r="E75" s="31"/>
      <c r="F75" s="31"/>
      <c r="G75" s="31"/>
      <c r="H75" s="31"/>
      <c r="I75" s="31"/>
      <c r="J75" s="31"/>
    </row>
    <row r="76" spans="1:10" ht="25" x14ac:dyDescent="0.25">
      <c r="A76" s="30" t="s">
        <v>267</v>
      </c>
      <c r="B76" s="31"/>
      <c r="C76" s="31"/>
      <c r="D76" s="31"/>
      <c r="E76" s="31"/>
      <c r="F76" s="31"/>
      <c r="G76" s="31"/>
      <c r="H76" s="31"/>
      <c r="I76" s="31"/>
      <c r="J76" s="31"/>
    </row>
    <row r="77" spans="1:10" x14ac:dyDescent="0.25">
      <c r="A77" s="31"/>
      <c r="B77" s="31"/>
      <c r="C77" s="31"/>
      <c r="D77" s="31"/>
      <c r="E77" s="31"/>
      <c r="F77" s="31"/>
      <c r="G77" s="31"/>
      <c r="H77" s="31"/>
      <c r="I77" s="31"/>
      <c r="J77" s="31"/>
    </row>
    <row r="78" spans="1:10" x14ac:dyDescent="0.25">
      <c r="A78" s="30" t="s">
        <v>268</v>
      </c>
      <c r="B78" s="31"/>
      <c r="C78" s="31"/>
      <c r="D78" s="31"/>
      <c r="E78" s="31"/>
      <c r="F78" s="31"/>
      <c r="G78" s="31"/>
      <c r="H78" s="31"/>
      <c r="I78" s="31"/>
      <c r="J78" s="31"/>
    </row>
    <row r="79" spans="1:10" x14ac:dyDescent="0.25">
      <c r="A79" s="31"/>
      <c r="B79" s="31"/>
      <c r="C79" s="31"/>
      <c r="D79" s="31"/>
      <c r="E79" s="31"/>
      <c r="F79" s="31"/>
      <c r="G79" s="31"/>
      <c r="H79" s="31"/>
      <c r="I79" s="31"/>
      <c r="J79" s="31"/>
    </row>
    <row r="80" spans="1:10" x14ac:dyDescent="0.25">
      <c r="A80" s="31" t="s">
        <v>206</v>
      </c>
      <c r="B80" s="31"/>
      <c r="C80" s="31"/>
      <c r="D80" s="31"/>
      <c r="E80" s="31"/>
      <c r="F80" s="31"/>
      <c r="G80" s="31"/>
      <c r="H80" s="31"/>
      <c r="I80" s="31"/>
      <c r="J80" s="31"/>
    </row>
    <row r="81" spans="1:10" x14ac:dyDescent="0.25">
      <c r="A81" s="31"/>
      <c r="B81" s="31"/>
      <c r="C81" s="31"/>
      <c r="D81" s="31"/>
      <c r="E81" s="31"/>
      <c r="F81" s="31"/>
      <c r="G81" s="31"/>
      <c r="H81" s="31"/>
      <c r="I81" s="31"/>
      <c r="J81" s="31"/>
    </row>
    <row r="82" spans="1:10" x14ac:dyDescent="0.25">
      <c r="A82" s="31" t="s">
        <v>207</v>
      </c>
      <c r="B82" s="31"/>
      <c r="C82" s="31"/>
      <c r="D82" s="31"/>
      <c r="E82" s="31"/>
      <c r="F82" s="31"/>
      <c r="G82" s="31"/>
      <c r="H82" s="31"/>
      <c r="I82" s="31"/>
      <c r="J82" s="31"/>
    </row>
    <row r="83" spans="1:10" x14ac:dyDescent="0.25">
      <c r="A83" s="31"/>
      <c r="B83" s="31"/>
      <c r="C83" s="31"/>
      <c r="D83" s="31"/>
      <c r="E83" s="31"/>
      <c r="F83" s="31"/>
      <c r="G83" s="31"/>
      <c r="H83" s="31"/>
      <c r="I83" s="31"/>
      <c r="J83" s="31"/>
    </row>
    <row r="84" spans="1:10" x14ac:dyDescent="0.25">
      <c r="A84" s="31" t="s">
        <v>208</v>
      </c>
      <c r="B84" s="31"/>
      <c r="C84" s="31"/>
      <c r="D84" s="31"/>
      <c r="E84" s="31"/>
      <c r="F84" s="31"/>
      <c r="G84" s="31"/>
      <c r="H84" s="31"/>
      <c r="I84" s="31"/>
      <c r="J84" s="31"/>
    </row>
    <row r="85" spans="1:10" x14ac:dyDescent="0.25">
      <c r="A85" s="31"/>
      <c r="B85" s="31"/>
      <c r="C85" s="31"/>
      <c r="D85" s="31"/>
      <c r="E85" s="31"/>
      <c r="F85" s="31"/>
      <c r="G85" s="31"/>
      <c r="H85" s="31"/>
      <c r="I85" s="31"/>
      <c r="J85" s="31"/>
    </row>
    <row r="86" spans="1:10" x14ac:dyDescent="0.25">
      <c r="A86" s="30" t="s">
        <v>269</v>
      </c>
      <c r="B86" s="31"/>
      <c r="C86" s="31"/>
      <c r="D86" s="31"/>
      <c r="E86" s="31"/>
      <c r="F86" s="31"/>
      <c r="G86" s="31"/>
      <c r="H86" s="31"/>
      <c r="I86" s="31"/>
      <c r="J86" s="31"/>
    </row>
    <row r="87" spans="1:10" x14ac:dyDescent="0.25">
      <c r="A87" s="31"/>
      <c r="B87" s="31"/>
      <c r="C87" s="31"/>
      <c r="D87" s="31"/>
      <c r="E87" s="31"/>
      <c r="F87" s="31"/>
      <c r="G87" s="31"/>
      <c r="H87" s="31"/>
      <c r="I87" s="31"/>
      <c r="J87" s="31"/>
    </row>
    <row r="88" spans="1:10" x14ac:dyDescent="0.25">
      <c r="A88" s="30" t="s">
        <v>511</v>
      </c>
      <c r="B88" s="31"/>
      <c r="C88" s="31"/>
      <c r="D88" s="31"/>
      <c r="E88" s="31"/>
      <c r="F88" s="31"/>
      <c r="G88" s="31"/>
      <c r="H88" s="31"/>
      <c r="I88" s="31"/>
      <c r="J88" s="31"/>
    </row>
    <row r="89" spans="1:10" x14ac:dyDescent="0.25">
      <c r="A89" s="31"/>
      <c r="B89" s="31"/>
      <c r="C89" s="31"/>
      <c r="D89" s="31"/>
      <c r="E89" s="31"/>
      <c r="F89" s="31"/>
      <c r="G89" s="31"/>
      <c r="H89" s="31"/>
      <c r="I89" s="31"/>
      <c r="J89" s="31"/>
    </row>
    <row r="90" spans="1:10" x14ac:dyDescent="0.25">
      <c r="A90" s="31" t="s">
        <v>209</v>
      </c>
      <c r="B90" s="31"/>
      <c r="C90" s="31"/>
      <c r="D90" s="31"/>
      <c r="E90" s="31"/>
      <c r="F90" s="31"/>
      <c r="G90" s="31"/>
      <c r="H90" s="31"/>
      <c r="I90" s="31"/>
      <c r="J90" s="31"/>
    </row>
    <row r="91" spans="1:10" x14ac:dyDescent="0.25">
      <c r="A91" s="31"/>
      <c r="B91" s="31"/>
      <c r="C91" s="31"/>
      <c r="D91" s="31"/>
      <c r="E91" s="31"/>
      <c r="F91" s="31"/>
      <c r="G91" s="31"/>
      <c r="H91" s="31"/>
      <c r="I91" s="31"/>
      <c r="J91" s="31"/>
    </row>
    <row r="92" spans="1:10" ht="37.5" x14ac:dyDescent="0.25">
      <c r="A92" s="31" t="s">
        <v>216</v>
      </c>
      <c r="B92" s="31"/>
      <c r="C92" s="31"/>
      <c r="D92" s="31"/>
      <c r="E92" s="31"/>
      <c r="F92" s="31"/>
      <c r="G92" s="31"/>
      <c r="H92" s="31"/>
      <c r="I92" s="31"/>
      <c r="J92" s="31"/>
    </row>
    <row r="93" spans="1:10" x14ac:dyDescent="0.25">
      <c r="A93" s="31"/>
      <c r="B93" s="31"/>
      <c r="C93" s="31"/>
      <c r="D93" s="31"/>
      <c r="E93" s="31"/>
      <c r="F93" s="31"/>
      <c r="G93" s="31"/>
      <c r="H93" s="31"/>
      <c r="I93" s="31"/>
      <c r="J93" s="31"/>
    </row>
    <row r="94" spans="1:10" x14ac:dyDescent="0.25">
      <c r="A94" s="31" t="s">
        <v>210</v>
      </c>
      <c r="B94" s="31"/>
      <c r="C94" s="31"/>
      <c r="D94" s="31"/>
      <c r="E94" s="31"/>
      <c r="F94" s="31"/>
      <c r="G94" s="31"/>
      <c r="H94" s="31"/>
      <c r="I94" s="31"/>
      <c r="J94" s="31"/>
    </row>
    <row r="95" spans="1:10" x14ac:dyDescent="0.25">
      <c r="A95" s="31"/>
      <c r="B95" s="31"/>
      <c r="C95" s="31"/>
      <c r="D95" s="31"/>
      <c r="E95" s="31"/>
      <c r="F95" s="31"/>
      <c r="G95" s="31"/>
      <c r="H95" s="31"/>
      <c r="I95" s="31"/>
      <c r="J95" s="31"/>
    </row>
    <row r="96" spans="1:10" ht="25" x14ac:dyDescent="0.25">
      <c r="A96" s="30" t="s">
        <v>270</v>
      </c>
      <c r="B96" s="31"/>
      <c r="C96" s="31"/>
      <c r="D96" s="31"/>
      <c r="E96" s="31"/>
      <c r="F96" s="31"/>
      <c r="G96" s="31"/>
      <c r="H96" s="31"/>
      <c r="I96" s="31"/>
      <c r="J96" s="31"/>
    </row>
    <row r="97" spans="1:10" x14ac:dyDescent="0.25">
      <c r="A97" s="31"/>
      <c r="B97" s="31"/>
      <c r="C97" s="31"/>
      <c r="D97" s="31"/>
      <c r="E97" s="31"/>
      <c r="F97" s="31"/>
      <c r="G97" s="31"/>
      <c r="H97" s="31"/>
      <c r="I97" s="31"/>
      <c r="J97" s="31"/>
    </row>
    <row r="98" spans="1:10" ht="25" x14ac:dyDescent="0.25">
      <c r="A98" s="31" t="s">
        <v>217</v>
      </c>
      <c r="B98" s="31"/>
      <c r="C98" s="31"/>
      <c r="D98" s="31"/>
      <c r="E98" s="31"/>
      <c r="F98" s="31"/>
      <c r="G98" s="31"/>
      <c r="H98" s="31"/>
      <c r="I98" s="31"/>
      <c r="J98" s="31"/>
    </row>
    <row r="99" spans="1:10" x14ac:dyDescent="0.25">
      <c r="A99" s="31"/>
      <c r="B99" s="31"/>
      <c r="C99" s="31"/>
      <c r="D99" s="31"/>
      <c r="E99" s="31"/>
      <c r="F99" s="31"/>
      <c r="G99" s="31"/>
      <c r="H99" s="31"/>
      <c r="I99" s="31"/>
      <c r="J99" s="31"/>
    </row>
    <row r="100" spans="1:10" x14ac:dyDescent="0.25">
      <c r="A100" s="31" t="s">
        <v>218</v>
      </c>
      <c r="B100" s="31"/>
      <c r="C100" s="31"/>
      <c r="D100" s="31"/>
      <c r="E100" s="31"/>
      <c r="F100" s="31"/>
      <c r="G100" s="31"/>
      <c r="H100" s="31"/>
      <c r="I100" s="31"/>
      <c r="J100" s="31"/>
    </row>
    <row r="101" spans="1:10" x14ac:dyDescent="0.25">
      <c r="A101" s="31"/>
      <c r="B101" s="31"/>
      <c r="C101" s="31"/>
      <c r="D101" s="31"/>
      <c r="E101" s="31"/>
      <c r="F101" s="31"/>
      <c r="G101" s="31"/>
      <c r="H101" s="31"/>
      <c r="I101" s="31"/>
      <c r="J101" s="31"/>
    </row>
    <row r="102" spans="1:10" x14ac:dyDescent="0.25">
      <c r="A102" s="30" t="s">
        <v>220</v>
      </c>
      <c r="B102" s="31"/>
      <c r="C102" s="31"/>
      <c r="D102" s="31"/>
      <c r="E102" s="31"/>
      <c r="F102" s="31"/>
      <c r="G102" s="31"/>
      <c r="H102" s="31"/>
      <c r="I102" s="31"/>
      <c r="J102" s="31"/>
    </row>
    <row r="103" spans="1:10" x14ac:dyDescent="0.25">
      <c r="A103" s="31"/>
      <c r="B103" s="31"/>
      <c r="C103" s="31"/>
      <c r="D103" s="31"/>
      <c r="E103" s="31"/>
      <c r="F103" s="31"/>
      <c r="G103" s="31"/>
      <c r="H103" s="31"/>
      <c r="I103" s="31"/>
      <c r="J103" s="31"/>
    </row>
    <row r="104" spans="1:10" x14ac:dyDescent="0.25">
      <c r="A104" s="30" t="s">
        <v>271</v>
      </c>
      <c r="B104" s="31"/>
      <c r="C104" s="31"/>
      <c r="D104" s="31"/>
      <c r="E104" s="31"/>
      <c r="F104" s="31"/>
      <c r="G104" s="31"/>
      <c r="H104" s="31"/>
      <c r="I104" s="31"/>
      <c r="J104" s="31"/>
    </row>
    <row r="105" spans="1:10" x14ac:dyDescent="0.25">
      <c r="A105" s="31"/>
      <c r="B105" s="31"/>
      <c r="C105" s="31"/>
      <c r="D105" s="31"/>
      <c r="E105" s="31"/>
      <c r="F105" s="31"/>
      <c r="G105" s="31"/>
      <c r="H105" s="31"/>
      <c r="I105" s="31"/>
      <c r="J105" s="31"/>
    </row>
    <row r="106" spans="1:10" x14ac:dyDescent="0.25">
      <c r="A106" s="31" t="s">
        <v>211</v>
      </c>
      <c r="B106" s="31"/>
      <c r="C106" s="31"/>
      <c r="D106" s="31"/>
      <c r="E106" s="31"/>
      <c r="F106" s="31"/>
      <c r="G106" s="31"/>
      <c r="H106" s="31"/>
      <c r="I106" s="31"/>
      <c r="J106" s="31"/>
    </row>
    <row r="107" spans="1:10" x14ac:dyDescent="0.25">
      <c r="A107" s="31"/>
      <c r="B107" s="31"/>
      <c r="C107" s="31"/>
      <c r="D107" s="31"/>
      <c r="E107" s="31"/>
      <c r="F107" s="31"/>
      <c r="G107" s="31"/>
      <c r="H107" s="31"/>
      <c r="I107" s="31"/>
      <c r="J107" s="31"/>
    </row>
    <row r="108" spans="1:10" x14ac:dyDescent="0.25">
      <c r="A108" s="30" t="s">
        <v>226</v>
      </c>
      <c r="B108" s="31"/>
      <c r="C108" s="31"/>
      <c r="D108" s="31"/>
      <c r="E108" s="31"/>
      <c r="F108" s="31"/>
      <c r="G108" s="31"/>
      <c r="H108" s="31"/>
      <c r="I108" s="31"/>
      <c r="J108" s="31"/>
    </row>
    <row r="109" spans="1:10" x14ac:dyDescent="0.25">
      <c r="A109" s="31"/>
      <c r="B109" s="31"/>
      <c r="C109" s="31"/>
      <c r="D109" s="31"/>
      <c r="E109" s="31"/>
      <c r="F109" s="31"/>
      <c r="G109" s="31"/>
      <c r="H109" s="31"/>
      <c r="I109" s="31"/>
      <c r="J109" s="31"/>
    </row>
    <row r="110" spans="1:10" x14ac:dyDescent="0.25">
      <c r="A110" s="30" t="s">
        <v>272</v>
      </c>
    </row>
    <row r="113" spans="1:9" x14ac:dyDescent="0.25">
      <c r="A113" s="14" t="s">
        <v>319</v>
      </c>
    </row>
    <row r="114" spans="1:9" x14ac:dyDescent="0.25">
      <c r="A114" s="31"/>
      <c r="B114" s="31"/>
      <c r="C114" s="31"/>
      <c r="D114" s="31"/>
      <c r="E114" s="31"/>
      <c r="F114" s="31"/>
      <c r="G114" s="31"/>
      <c r="H114" s="31"/>
      <c r="I114" s="31"/>
    </row>
    <row r="115" spans="1:9" x14ac:dyDescent="0.25">
      <c r="A115" s="30" t="s">
        <v>238</v>
      </c>
      <c r="B115" s="31"/>
      <c r="C115" s="31"/>
      <c r="D115" s="31"/>
      <c r="E115" s="31"/>
      <c r="F115" s="31"/>
      <c r="G115" s="31"/>
      <c r="H115" s="31"/>
      <c r="I115" s="31"/>
    </row>
    <row r="116" spans="1:9" x14ac:dyDescent="0.25">
      <c r="A116" s="31"/>
      <c r="B116" s="31"/>
      <c r="C116" s="31"/>
      <c r="D116" s="31"/>
      <c r="E116" s="31"/>
      <c r="F116" s="31"/>
      <c r="G116" s="31"/>
      <c r="H116" s="31"/>
      <c r="I116" s="31"/>
    </row>
    <row r="117" spans="1:9" ht="25" x14ac:dyDescent="0.25">
      <c r="A117" s="31" t="s">
        <v>239</v>
      </c>
      <c r="B117" s="31"/>
      <c r="C117" s="31"/>
      <c r="D117" s="31"/>
      <c r="E117" s="31"/>
      <c r="F117" s="31"/>
      <c r="G117" s="31"/>
      <c r="H117" s="31"/>
      <c r="I117" s="31"/>
    </row>
    <row r="118" spans="1:9" x14ac:dyDescent="0.25">
      <c r="A118" s="31"/>
      <c r="B118" s="31"/>
      <c r="C118" s="31"/>
      <c r="D118" s="31"/>
      <c r="E118" s="31"/>
      <c r="F118" s="31"/>
      <c r="G118" s="31"/>
      <c r="H118" s="31"/>
      <c r="I118" s="31"/>
    </row>
    <row r="119" spans="1:9" ht="25.5" x14ac:dyDescent="0.3">
      <c r="A119" s="30" t="s">
        <v>318</v>
      </c>
      <c r="B119" s="31"/>
      <c r="C119" s="31"/>
      <c r="D119" s="31"/>
      <c r="E119" s="31"/>
      <c r="F119" s="31"/>
      <c r="G119" s="31"/>
      <c r="H119" s="31"/>
      <c r="I119" s="31"/>
    </row>
    <row r="120" spans="1:9" x14ac:dyDescent="0.25">
      <c r="A120" s="31"/>
      <c r="B120" s="31"/>
      <c r="C120" s="31"/>
      <c r="D120" s="31"/>
      <c r="E120" s="31"/>
      <c r="F120" s="31"/>
      <c r="G120" s="31"/>
      <c r="H120" s="31"/>
      <c r="I120" s="31"/>
    </row>
    <row r="121" spans="1:9" x14ac:dyDescent="0.25">
      <c r="A121" s="14" t="s">
        <v>320</v>
      </c>
      <c r="B121" s="31"/>
      <c r="C121" s="31"/>
      <c r="D121" s="31"/>
      <c r="E121" s="31"/>
      <c r="F121" s="31"/>
      <c r="G121" s="31"/>
      <c r="H121" s="31"/>
      <c r="I121" s="31"/>
    </row>
    <row r="122" spans="1:9" x14ac:dyDescent="0.25">
      <c r="A122" s="31"/>
      <c r="B122" s="31"/>
      <c r="C122" s="31"/>
      <c r="D122" s="31"/>
      <c r="E122" s="31"/>
      <c r="F122" s="31"/>
      <c r="G122" s="31"/>
      <c r="H122" s="31"/>
      <c r="I122" s="31"/>
    </row>
    <row r="123" spans="1:9" ht="25.5" x14ac:dyDescent="0.25">
      <c r="A123" s="30" t="s">
        <v>240</v>
      </c>
      <c r="B123" s="31"/>
      <c r="C123" s="31"/>
      <c r="D123" s="31"/>
      <c r="E123" s="31"/>
      <c r="F123" s="31"/>
      <c r="G123" s="31"/>
      <c r="H123" s="31"/>
      <c r="I123" s="31"/>
    </row>
    <row r="124" spans="1:9" x14ac:dyDescent="0.25">
      <c r="A124" s="31"/>
      <c r="B124" s="31"/>
      <c r="C124" s="31"/>
      <c r="D124" s="31"/>
      <c r="E124" s="31"/>
      <c r="F124" s="31"/>
      <c r="G124" s="31"/>
      <c r="H124" s="31"/>
      <c r="I124" s="31"/>
    </row>
    <row r="125" spans="1:9" x14ac:dyDescent="0.25">
      <c r="A125" s="30" t="s">
        <v>241</v>
      </c>
      <c r="B125" s="31"/>
      <c r="C125" s="31"/>
      <c r="D125" s="31"/>
      <c r="E125" s="31"/>
      <c r="F125" s="31"/>
      <c r="G125" s="31"/>
      <c r="H125" s="31"/>
      <c r="I125" s="31"/>
    </row>
    <row r="126" spans="1:9" x14ac:dyDescent="0.25">
      <c r="A126" s="31"/>
      <c r="B126" s="31"/>
      <c r="C126" s="31"/>
      <c r="D126" s="31"/>
      <c r="E126" s="31"/>
      <c r="F126" s="31"/>
      <c r="G126" s="31"/>
      <c r="H126" s="31"/>
      <c r="I126" s="31"/>
    </row>
    <row r="127" spans="1:9" x14ac:dyDescent="0.25">
      <c r="A127" s="31" t="s">
        <v>224</v>
      </c>
      <c r="B127" s="31"/>
      <c r="C127" s="31"/>
      <c r="D127" s="31"/>
      <c r="E127" s="31"/>
      <c r="F127" s="31"/>
      <c r="G127" s="31"/>
      <c r="H127" s="31"/>
      <c r="I127" s="31"/>
    </row>
    <row r="128" spans="1:9" x14ac:dyDescent="0.25">
      <c r="A128" s="30" t="s">
        <v>50</v>
      </c>
      <c r="B128" s="31"/>
      <c r="C128" s="31"/>
      <c r="D128" s="31"/>
      <c r="E128" s="31"/>
      <c r="F128" s="31"/>
      <c r="G128" s="31"/>
      <c r="H128" s="31"/>
      <c r="I128" s="31"/>
    </row>
    <row r="129" spans="1:9" x14ac:dyDescent="0.25">
      <c r="A129" s="31"/>
      <c r="B129" s="31"/>
      <c r="C129" s="31"/>
      <c r="D129" s="31"/>
      <c r="E129" s="31"/>
      <c r="F129" s="31"/>
      <c r="G129" s="31"/>
      <c r="H129" s="31"/>
      <c r="I129" s="31"/>
    </row>
    <row r="130" spans="1:9" x14ac:dyDescent="0.25">
      <c r="A130" s="30" t="s">
        <v>242</v>
      </c>
      <c r="B130" s="31"/>
      <c r="C130" s="31"/>
      <c r="D130" s="31"/>
      <c r="E130" s="31"/>
      <c r="F130" s="31"/>
      <c r="G130" s="31"/>
      <c r="H130" s="31"/>
      <c r="I130" s="31"/>
    </row>
    <row r="131" spans="1:9" ht="25" x14ac:dyDescent="0.25">
      <c r="A131" s="30" t="s">
        <v>244</v>
      </c>
      <c r="B131" s="31"/>
      <c r="C131" s="31"/>
      <c r="D131" s="31"/>
      <c r="E131" s="31"/>
      <c r="F131" s="31"/>
      <c r="G131" s="31"/>
      <c r="H131" s="31"/>
      <c r="I131" s="31"/>
    </row>
    <row r="132" spans="1:9" x14ac:dyDescent="0.25">
      <c r="A132" s="30" t="s">
        <v>243</v>
      </c>
      <c r="B132" s="31"/>
      <c r="C132" s="31"/>
      <c r="D132" s="31"/>
      <c r="E132" s="31"/>
      <c r="F132" s="31"/>
      <c r="G132" s="31"/>
      <c r="H132" s="31"/>
      <c r="I132" s="31"/>
    </row>
    <row r="133" spans="1:9" x14ac:dyDescent="0.25">
      <c r="A133" s="31"/>
      <c r="B133" s="31"/>
      <c r="C133" s="31"/>
      <c r="D133" s="31"/>
      <c r="E133" s="31"/>
      <c r="F133" s="31"/>
      <c r="G133" s="31"/>
      <c r="H133" s="31"/>
      <c r="I133" s="31"/>
    </row>
    <row r="134" spans="1:9" ht="25" x14ac:dyDescent="0.25">
      <c r="A134" s="30" t="s">
        <v>331</v>
      </c>
      <c r="B134" s="31"/>
      <c r="C134" s="31"/>
      <c r="D134" s="31"/>
      <c r="E134" s="31"/>
      <c r="F134" s="31"/>
      <c r="G134" s="31"/>
      <c r="H134" s="31"/>
      <c r="I134" s="31"/>
    </row>
    <row r="135" spans="1:9" x14ac:dyDescent="0.25">
      <c r="A135" s="31"/>
      <c r="B135" s="31"/>
      <c r="C135" s="31"/>
      <c r="D135" s="31"/>
      <c r="E135" s="31"/>
      <c r="F135" s="31"/>
      <c r="G135" s="31"/>
      <c r="H135" s="31"/>
      <c r="I135" s="31"/>
    </row>
    <row r="136" spans="1:9" ht="25" x14ac:dyDescent="0.25">
      <c r="A136" s="30" t="s">
        <v>330</v>
      </c>
      <c r="C136" s="31"/>
      <c r="D136" s="31"/>
      <c r="E136" s="31"/>
      <c r="F136" s="31"/>
      <c r="G136" s="31"/>
      <c r="H136" s="31"/>
      <c r="I136" s="31"/>
    </row>
    <row r="137" spans="1:9" x14ac:dyDescent="0.25">
      <c r="A137" s="30"/>
      <c r="C137" s="31"/>
      <c r="D137" s="31"/>
      <c r="E137" s="31"/>
      <c r="F137" s="31"/>
      <c r="G137" s="31"/>
      <c r="H137" s="31"/>
      <c r="I137" s="31"/>
    </row>
    <row r="138" spans="1:9" ht="37.5" x14ac:dyDescent="0.25">
      <c r="A138" s="30" t="s">
        <v>245</v>
      </c>
      <c r="B138" s="31"/>
      <c r="C138" s="31"/>
      <c r="D138" s="31"/>
      <c r="E138" s="31"/>
      <c r="F138" s="31"/>
      <c r="G138" s="31"/>
      <c r="H138" s="31"/>
      <c r="I138" s="31"/>
    </row>
    <row r="139" spans="1:9" x14ac:dyDescent="0.25">
      <c r="A139" s="31"/>
      <c r="B139" s="31"/>
      <c r="C139" s="31"/>
      <c r="D139" s="31"/>
      <c r="E139" s="31"/>
      <c r="F139" s="31"/>
      <c r="G139" s="31"/>
      <c r="H139" s="31"/>
      <c r="I139" s="31"/>
    </row>
    <row r="140" spans="1:9" ht="25" x14ac:dyDescent="0.25">
      <c r="A140" s="30" t="s">
        <v>247</v>
      </c>
      <c r="B140" s="31"/>
      <c r="C140" s="31"/>
      <c r="D140" s="31"/>
      <c r="E140" s="31"/>
      <c r="F140" s="31"/>
      <c r="G140" s="31"/>
      <c r="H140" s="31"/>
      <c r="I140" s="31"/>
    </row>
    <row r="141" spans="1:9" x14ac:dyDescent="0.25">
      <c r="A141" s="30" t="s">
        <v>181</v>
      </c>
      <c r="B141" s="31"/>
      <c r="C141" s="31"/>
      <c r="D141" s="31"/>
      <c r="E141" s="31"/>
      <c r="F141" s="31"/>
      <c r="G141" s="31"/>
      <c r="H141" s="31"/>
      <c r="I141" s="31"/>
    </row>
    <row r="142" spans="1:9" x14ac:dyDescent="0.25">
      <c r="A142" s="31"/>
      <c r="B142" s="31"/>
      <c r="C142" s="31"/>
      <c r="D142" s="31"/>
      <c r="E142" s="31"/>
      <c r="F142" s="31"/>
      <c r="G142" s="31"/>
      <c r="H142" s="31"/>
      <c r="I142" s="31"/>
    </row>
    <row r="143" spans="1:9" x14ac:dyDescent="0.25">
      <c r="A143" s="30" t="s">
        <v>246</v>
      </c>
      <c r="B143" s="31"/>
      <c r="C143" s="31"/>
      <c r="D143" s="31"/>
      <c r="E143" s="31"/>
      <c r="F143" s="31"/>
      <c r="G143" s="31"/>
      <c r="H143" s="31"/>
      <c r="I143" s="31"/>
    </row>
    <row r="144" spans="1:9" x14ac:dyDescent="0.25">
      <c r="A144" s="30" t="s">
        <v>140</v>
      </c>
      <c r="B144" s="31"/>
      <c r="C144" s="31"/>
      <c r="D144" s="31"/>
      <c r="E144" s="31"/>
      <c r="F144" s="31"/>
      <c r="G144" s="31"/>
      <c r="H144" s="31"/>
      <c r="I144" s="31"/>
    </row>
    <row r="145" spans="1:9" x14ac:dyDescent="0.25">
      <c r="A145" s="31"/>
      <c r="B145" s="31"/>
      <c r="C145" s="31"/>
      <c r="D145" s="31"/>
      <c r="E145" s="31"/>
      <c r="F145" s="31"/>
      <c r="G145" s="31"/>
      <c r="H145" s="31"/>
      <c r="I145" s="31"/>
    </row>
    <row r="146" spans="1:9" x14ac:dyDescent="0.25">
      <c r="A146" s="30" t="s">
        <v>248</v>
      </c>
      <c r="B146" s="31"/>
      <c r="C146" s="31"/>
      <c r="D146" s="31"/>
      <c r="E146" s="31"/>
      <c r="F146" s="31"/>
      <c r="G146" s="31"/>
      <c r="H146" s="31"/>
      <c r="I146" s="31"/>
    </row>
    <row r="147" spans="1:9" x14ac:dyDescent="0.25">
      <c r="A147" s="30" t="s">
        <v>225</v>
      </c>
      <c r="B147" s="31"/>
      <c r="C147" s="31"/>
      <c r="D147" s="31"/>
      <c r="E147" s="31"/>
      <c r="F147" s="31"/>
      <c r="G147" s="31"/>
      <c r="H147" s="31"/>
      <c r="I147" s="31"/>
    </row>
    <row r="148" spans="1:9" x14ac:dyDescent="0.25">
      <c r="A148" s="31"/>
      <c r="B148" s="31"/>
      <c r="C148" s="31"/>
      <c r="D148" s="31"/>
      <c r="E148" s="31"/>
      <c r="F148" s="31"/>
      <c r="G148" s="31"/>
      <c r="H148" s="31"/>
      <c r="I148" s="31"/>
    </row>
    <row r="149" spans="1:9" x14ac:dyDescent="0.25">
      <c r="A149" s="30" t="s">
        <v>249</v>
      </c>
      <c r="B149" s="31"/>
      <c r="C149" s="31"/>
      <c r="D149" s="31"/>
      <c r="E149" s="31"/>
      <c r="F149" s="31"/>
      <c r="G149" s="31"/>
      <c r="H149" s="31"/>
      <c r="I149" s="31"/>
    </row>
    <row r="150" spans="1:9" x14ac:dyDescent="0.25">
      <c r="A150" s="30" t="s">
        <v>182</v>
      </c>
      <c r="B150" s="31"/>
      <c r="C150" s="31"/>
      <c r="D150" s="31"/>
      <c r="E150" s="31"/>
      <c r="F150" s="31"/>
      <c r="G150" s="31"/>
      <c r="H150" s="31"/>
      <c r="I150" s="31"/>
    </row>
    <row r="151" spans="1:9" x14ac:dyDescent="0.25">
      <c r="A151" s="31"/>
      <c r="B151" s="31"/>
      <c r="C151" s="31"/>
      <c r="D151" s="31"/>
      <c r="E151" s="31"/>
      <c r="F151" s="31"/>
      <c r="G151" s="31"/>
      <c r="H151" s="31"/>
      <c r="I151" s="31"/>
    </row>
    <row r="152" spans="1:9" x14ac:dyDescent="0.25">
      <c r="A152" s="30" t="s">
        <v>250</v>
      </c>
      <c r="B152" s="31"/>
      <c r="C152" s="31"/>
      <c r="D152" s="31"/>
      <c r="E152" s="31"/>
      <c r="F152" s="31"/>
      <c r="G152" s="31"/>
      <c r="H152" s="31"/>
      <c r="I152" s="31"/>
    </row>
    <row r="153" spans="1:9" x14ac:dyDescent="0.25">
      <c r="A153" s="30" t="s">
        <v>180</v>
      </c>
      <c r="B153" s="31"/>
      <c r="C153" s="31"/>
      <c r="D153" s="31"/>
      <c r="E153" s="31"/>
      <c r="F153" s="31"/>
      <c r="G153" s="31"/>
      <c r="H153" s="31"/>
      <c r="I153" s="31"/>
    </row>
    <row r="154" spans="1:9" x14ac:dyDescent="0.25">
      <c r="A154" s="31"/>
      <c r="B154" s="31"/>
      <c r="C154" s="31"/>
      <c r="D154" s="31"/>
      <c r="E154" s="31"/>
      <c r="F154" s="31"/>
      <c r="G154" s="31"/>
      <c r="H154" s="31"/>
      <c r="I154" s="31"/>
    </row>
    <row r="155" spans="1:9" x14ac:dyDescent="0.25">
      <c r="A155" s="30" t="s">
        <v>251</v>
      </c>
      <c r="B155" s="31"/>
      <c r="C155" s="31"/>
      <c r="D155" s="31"/>
      <c r="E155" s="31"/>
      <c r="F155" s="31"/>
      <c r="G155" s="31"/>
      <c r="H155" s="31"/>
      <c r="I155" s="31"/>
    </row>
    <row r="156" spans="1:9" x14ac:dyDescent="0.25">
      <c r="A156" s="31"/>
      <c r="B156" s="31"/>
      <c r="C156" s="31"/>
      <c r="D156" s="31"/>
      <c r="E156" s="31"/>
      <c r="F156" s="31"/>
      <c r="G156" s="31"/>
      <c r="H156" s="31"/>
      <c r="I156" s="31"/>
    </row>
    <row r="157" spans="1:9" x14ac:dyDescent="0.25">
      <c r="A157" s="30" t="s">
        <v>252</v>
      </c>
      <c r="B157" s="31"/>
      <c r="C157" s="31"/>
      <c r="D157" s="31"/>
      <c r="E157" s="31"/>
      <c r="F157" s="31"/>
      <c r="G157" s="31"/>
      <c r="H157" s="31"/>
      <c r="I157" s="31"/>
    </row>
    <row r="158" spans="1:9" x14ac:dyDescent="0.25">
      <c r="A158" s="31"/>
      <c r="B158" s="31"/>
      <c r="C158" s="31"/>
      <c r="D158" s="31"/>
      <c r="E158" s="31"/>
      <c r="F158" s="31"/>
      <c r="G158" s="31"/>
      <c r="H158" s="31"/>
      <c r="I158" s="31"/>
    </row>
    <row r="159" spans="1:9" x14ac:dyDescent="0.25">
      <c r="A159" s="31"/>
      <c r="B159" s="31"/>
      <c r="C159" s="31"/>
      <c r="D159" s="31"/>
      <c r="E159" s="31"/>
      <c r="F159" s="31"/>
      <c r="G159" s="31"/>
      <c r="H159" s="31"/>
      <c r="I159" s="31"/>
    </row>
  </sheetData>
  <customSheetViews>
    <customSheetView guid="{038F7421-093D-47DD-9CD5-8B18793407C7}" scale="110" topLeftCell="A21">
      <selection activeCell="G126" sqref="G126"/>
      <pageMargins left="0.7" right="0.7" top="0.75" bottom="0.75" header="0.3" footer="0.3"/>
      <pageSetup orientation="portrait" r:id="rId1"/>
    </customSheetView>
    <customSheetView guid="{BDC19292-67D0-4AF6-AD75-122837AE8A2E}" scale="110" topLeftCell="B121">
      <selection activeCell="G126" sqref="G126"/>
      <pageMargins left="0.7" right="0.7" top="0.75" bottom="0.75" header="0.3" footer="0.3"/>
      <pageSetup orientation="portrait" r:id="rId2"/>
    </customSheetView>
  </customSheetView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heetViews>
  <sheetFormatPr defaultRowHeight="21" customHeight="1" x14ac:dyDescent="0.25"/>
  <cols>
    <col min="1" max="1" width="47.26953125" style="414" customWidth="1"/>
    <col min="2" max="2" width="8.7265625" style="38"/>
  </cols>
  <sheetData>
    <row r="1" spans="1:2" s="406" customFormat="1" ht="29.5" customHeight="1" x14ac:dyDescent="0.4">
      <c r="A1" s="407" t="s">
        <v>291</v>
      </c>
      <c r="B1" s="408" t="s">
        <v>292</v>
      </c>
    </row>
    <row r="2" spans="1:2" ht="21" customHeight="1" x14ac:dyDescent="0.25">
      <c r="A2" s="394" t="s">
        <v>276</v>
      </c>
      <c r="B2" s="32" t="s">
        <v>280</v>
      </c>
    </row>
    <row r="3" spans="1:2" ht="21" customHeight="1" x14ac:dyDescent="0.25">
      <c r="A3" s="394" t="s">
        <v>277</v>
      </c>
      <c r="B3" s="32" t="s">
        <v>280</v>
      </c>
    </row>
    <row r="4" spans="1:2" ht="21" customHeight="1" x14ac:dyDescent="0.25">
      <c r="A4" s="395" t="s">
        <v>278</v>
      </c>
      <c r="B4" s="32" t="s">
        <v>280</v>
      </c>
    </row>
    <row r="5" spans="1:2" ht="21" customHeight="1" x14ac:dyDescent="0.25">
      <c r="A5" s="394" t="s">
        <v>149</v>
      </c>
      <c r="B5" s="392" t="s">
        <v>281</v>
      </c>
    </row>
    <row r="6" spans="1:2" ht="21" customHeight="1" x14ac:dyDescent="0.3">
      <c r="A6" s="391" t="s">
        <v>279</v>
      </c>
      <c r="B6" s="393" t="s">
        <v>282</v>
      </c>
    </row>
    <row r="7" spans="1:2" ht="21" customHeight="1" x14ac:dyDescent="0.3">
      <c r="A7" s="396" t="s">
        <v>151</v>
      </c>
      <c r="B7" s="32" t="s">
        <v>280</v>
      </c>
    </row>
    <row r="8" spans="1:2" ht="21" customHeight="1" x14ac:dyDescent="0.25">
      <c r="A8" s="221" t="s">
        <v>152</v>
      </c>
      <c r="B8" s="221" t="s">
        <v>285</v>
      </c>
    </row>
    <row r="9" spans="1:2" ht="21" customHeight="1" x14ac:dyDescent="0.3">
      <c r="A9" s="396" t="s">
        <v>155</v>
      </c>
      <c r="B9" s="32" t="s">
        <v>284</v>
      </c>
    </row>
    <row r="10" spans="1:2" ht="21" customHeight="1" x14ac:dyDescent="0.25">
      <c r="A10" s="397" t="s">
        <v>156</v>
      </c>
      <c r="B10" s="397" t="s">
        <v>286</v>
      </c>
    </row>
    <row r="11" spans="1:2" ht="21" customHeight="1" x14ac:dyDescent="0.3">
      <c r="A11" s="399" t="s">
        <v>157</v>
      </c>
      <c r="B11" s="32" t="s">
        <v>283</v>
      </c>
    </row>
    <row r="12" spans="1:2" ht="21" customHeight="1" x14ac:dyDescent="0.3">
      <c r="A12" s="398" t="s">
        <v>288</v>
      </c>
      <c r="B12" s="32" t="s">
        <v>287</v>
      </c>
    </row>
    <row r="13" spans="1:2" ht="21" customHeight="1" x14ac:dyDescent="0.3">
      <c r="A13" s="399" t="s">
        <v>289</v>
      </c>
      <c r="B13" s="32" t="s">
        <v>299</v>
      </c>
    </row>
    <row r="14" spans="1:2" ht="21" customHeight="1" x14ac:dyDescent="0.3">
      <c r="A14" s="399" t="s">
        <v>290</v>
      </c>
      <c r="B14" s="32" t="s">
        <v>300</v>
      </c>
    </row>
    <row r="15" spans="1:2" ht="21" customHeight="1" x14ac:dyDescent="0.3">
      <c r="A15" s="409" t="s">
        <v>154</v>
      </c>
      <c r="B15" s="32" t="s">
        <v>293</v>
      </c>
    </row>
    <row r="16" spans="1:2" ht="21" customHeight="1" x14ac:dyDescent="0.3">
      <c r="A16" s="400" t="s">
        <v>69</v>
      </c>
      <c r="B16" s="27" t="s">
        <v>294</v>
      </c>
    </row>
    <row r="17" spans="1:4" ht="21" customHeight="1" x14ac:dyDescent="0.25">
      <c r="A17" s="415" t="s">
        <v>236</v>
      </c>
      <c r="B17" s="27" t="s">
        <v>295</v>
      </c>
    </row>
    <row r="18" spans="1:4" ht="21" customHeight="1" x14ac:dyDescent="0.25">
      <c r="A18" s="401" t="s">
        <v>163</v>
      </c>
      <c r="B18" s="27" t="s">
        <v>296</v>
      </c>
    </row>
    <row r="19" spans="1:4" ht="21" customHeight="1" x14ac:dyDescent="0.25">
      <c r="A19" s="410" t="s">
        <v>297</v>
      </c>
      <c r="B19" s="27" t="s">
        <v>298</v>
      </c>
    </row>
    <row r="20" spans="1:4" ht="21" customHeight="1" x14ac:dyDescent="0.25">
      <c r="A20" s="397" t="s">
        <v>56</v>
      </c>
      <c r="B20" s="393" t="s">
        <v>282</v>
      </c>
    </row>
    <row r="21" spans="1:4" ht="21" customHeight="1" x14ac:dyDescent="0.25">
      <c r="A21" s="397" t="s">
        <v>53</v>
      </c>
      <c r="B21" s="393" t="s">
        <v>302</v>
      </c>
    </row>
    <row r="22" spans="1:4" ht="21" customHeight="1" x14ac:dyDescent="0.4">
      <c r="A22" s="402" t="s">
        <v>54</v>
      </c>
      <c r="B22" s="393" t="s">
        <v>301</v>
      </c>
    </row>
    <row r="23" spans="1:4" ht="21" customHeight="1" x14ac:dyDescent="0.3">
      <c r="A23" s="402" t="s">
        <v>66</v>
      </c>
      <c r="B23" s="392" t="s">
        <v>303</v>
      </c>
    </row>
    <row r="24" spans="1:4" ht="21" customHeight="1" x14ac:dyDescent="0.3">
      <c r="A24" s="403" t="s">
        <v>65</v>
      </c>
      <c r="B24" s="572" t="s">
        <v>304</v>
      </c>
      <c r="C24" s="572"/>
      <c r="D24" s="572"/>
    </row>
    <row r="25" spans="1:4" ht="21" customHeight="1" x14ac:dyDescent="0.3">
      <c r="A25" s="403" t="s">
        <v>49</v>
      </c>
      <c r="B25" s="572"/>
      <c r="C25" s="572"/>
      <c r="D25" s="572"/>
    </row>
    <row r="26" spans="1:4" ht="21" customHeight="1" x14ac:dyDescent="0.3">
      <c r="A26" s="403" t="s">
        <v>51</v>
      </c>
      <c r="B26" s="572"/>
      <c r="C26" s="572"/>
      <c r="D26" s="572"/>
    </row>
    <row r="27" spans="1:4" ht="21" customHeight="1" x14ac:dyDescent="0.3">
      <c r="A27" s="402" t="s">
        <v>108</v>
      </c>
      <c r="B27" s="393" t="s">
        <v>305</v>
      </c>
    </row>
    <row r="28" spans="1:4" ht="21" customHeight="1" x14ac:dyDescent="0.25">
      <c r="A28" s="397" t="s">
        <v>55</v>
      </c>
      <c r="B28" s="393" t="s">
        <v>308</v>
      </c>
    </row>
    <row r="29" spans="1:4" ht="21" customHeight="1" x14ac:dyDescent="0.35">
      <c r="A29" s="411" t="s">
        <v>58</v>
      </c>
      <c r="B29" s="393" t="s">
        <v>306</v>
      </c>
    </row>
    <row r="30" spans="1:4" ht="21" customHeight="1" x14ac:dyDescent="0.3">
      <c r="A30" s="412" t="s">
        <v>57</v>
      </c>
      <c r="B30" s="393" t="s">
        <v>309</v>
      </c>
    </row>
    <row r="31" spans="1:4" ht="21" customHeight="1" x14ac:dyDescent="0.25">
      <c r="A31" s="413" t="s">
        <v>504</v>
      </c>
      <c r="B31" s="392" t="s">
        <v>310</v>
      </c>
    </row>
    <row r="32" spans="1:4" ht="21" customHeight="1" x14ac:dyDescent="0.25">
      <c r="A32" s="404" t="s">
        <v>107</v>
      </c>
      <c r="B32" s="392" t="s">
        <v>307</v>
      </c>
    </row>
    <row r="33" spans="1:2" ht="21" customHeight="1" x14ac:dyDescent="0.25">
      <c r="A33" s="405" t="s">
        <v>69</v>
      </c>
      <c r="B33" s="392" t="s">
        <v>311</v>
      </c>
    </row>
  </sheetData>
  <customSheetViews>
    <customSheetView guid="{038F7421-093D-47DD-9CD5-8B18793407C7}">
      <selection activeCell="C15" sqref="C15"/>
      <pageMargins left="0.7" right="0.7" top="0.75" bottom="0.75" header="0.3" footer="0.3"/>
    </customSheetView>
    <customSheetView guid="{BDC19292-67D0-4AF6-AD75-122837AE8A2E}">
      <pageMargins left="0.7" right="0.7" top="0.75" bottom="0.75" header="0.3" footer="0.3"/>
    </customSheetView>
  </customSheetViews>
  <mergeCells count="1">
    <mergeCell ref="B24:D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workbookViewId="0"/>
  </sheetViews>
  <sheetFormatPr defaultRowHeight="12.5" x14ac:dyDescent="0.25"/>
  <cols>
    <col min="1" max="1" width="5.7265625" customWidth="1"/>
    <col min="2" max="2" width="22.1796875" customWidth="1"/>
    <col min="3" max="4" width="9.54296875" bestFit="1" customWidth="1"/>
  </cols>
  <sheetData>
    <row r="1" spans="1:12" ht="18" x14ac:dyDescent="0.4">
      <c r="A1" s="406" t="s">
        <v>464</v>
      </c>
    </row>
    <row r="2" spans="1:12" x14ac:dyDescent="0.25">
      <c r="A2" s="14"/>
    </row>
    <row r="3" spans="1:12" x14ac:dyDescent="0.25">
      <c r="A3" s="14" t="s">
        <v>465</v>
      </c>
      <c r="C3" s="496" t="s">
        <v>466</v>
      </c>
      <c r="D3" s="497" t="s">
        <v>467</v>
      </c>
      <c r="E3" s="14"/>
      <c r="J3" s="14"/>
    </row>
    <row r="4" spans="1:12" ht="16" x14ac:dyDescent="0.4">
      <c r="A4">
        <v>1</v>
      </c>
      <c r="B4" s="14" t="s">
        <v>468</v>
      </c>
      <c r="C4" s="514">
        <f>+B11*B16*C9*(B23-B25)</f>
        <v>6.2523456497928344E-3</v>
      </c>
      <c r="D4" s="513">
        <f>+D11*D16*C9*(D23-B25)</f>
        <v>8.1594679726477298E-3</v>
      </c>
      <c r="E4" s="14" t="s">
        <v>469</v>
      </c>
      <c r="F4">
        <f>+D4-C4</f>
        <v>1.9071223228548954E-3</v>
      </c>
      <c r="G4" s="14" t="s">
        <v>470</v>
      </c>
      <c r="H4" s="14"/>
    </row>
    <row r="5" spans="1:12" ht="15.5" x14ac:dyDescent="0.4">
      <c r="A5">
        <v>2</v>
      </c>
      <c r="B5" s="14" t="s">
        <v>471</v>
      </c>
      <c r="C5" s="498">
        <f>+C9*((B11*B12*B17)/B18)*(B21-B19)</f>
        <v>5.3873258776067899E-4</v>
      </c>
      <c r="D5" s="499">
        <f>+C9*((D11*B12*B17)/B18)*(D21-B19)</f>
        <v>1.0771460467796123E-3</v>
      </c>
      <c r="E5" s="14" t="s">
        <v>472</v>
      </c>
      <c r="F5">
        <f>+D5-C5</f>
        <v>5.3841345901893328E-4</v>
      </c>
      <c r="G5" s="14" t="s">
        <v>473</v>
      </c>
      <c r="H5" s="14"/>
    </row>
    <row r="6" spans="1:12" ht="15.5" x14ac:dyDescent="0.4">
      <c r="A6">
        <v>3</v>
      </c>
      <c r="B6" s="14" t="s">
        <v>474</v>
      </c>
      <c r="C6" s="498">
        <f>+B13*B14*((B21+273)^4)/C7</f>
        <v>1.0935601066812406E-2</v>
      </c>
      <c r="D6" s="499">
        <f>+B13*B14*((D21+273)^4)/C7</f>
        <v>1.1081164470362812E-2</v>
      </c>
      <c r="E6" s="14" t="s">
        <v>475</v>
      </c>
      <c r="F6">
        <f>+D6-C6</f>
        <v>1.4556340355040623E-4</v>
      </c>
      <c r="G6" s="14" t="s">
        <v>476</v>
      </c>
      <c r="H6" s="14"/>
    </row>
    <row r="7" spans="1:12" x14ac:dyDescent="0.25">
      <c r="B7" s="14" t="s">
        <v>477</v>
      </c>
      <c r="C7" s="14">
        <f>24*3600</f>
        <v>86400</v>
      </c>
      <c r="F7">
        <f>+SUM(D4:D6)-SUM(C4:C6)</f>
        <v>2.5910991854242345E-3</v>
      </c>
      <c r="G7" s="14" t="s">
        <v>478</v>
      </c>
      <c r="J7" s="14"/>
    </row>
    <row r="8" spans="1:12" ht="15.5" x14ac:dyDescent="0.35">
      <c r="B8" s="14"/>
      <c r="F8" s="500">
        <f>+F4/F7</f>
        <v>0.73602829779078749</v>
      </c>
      <c r="G8" s="416" t="s">
        <v>479</v>
      </c>
      <c r="J8" s="14"/>
    </row>
    <row r="9" spans="1:12" ht="13" x14ac:dyDescent="0.3">
      <c r="A9">
        <v>14</v>
      </c>
      <c r="B9" s="14" t="s">
        <v>480</v>
      </c>
      <c r="C9" s="14">
        <v>1.4000000000000001E-6</v>
      </c>
      <c r="E9" s="14"/>
    </row>
    <row r="10" spans="1:12" ht="13" x14ac:dyDescent="0.3">
      <c r="B10" s="14" t="s">
        <v>481</v>
      </c>
      <c r="C10">
        <v>1</v>
      </c>
    </row>
    <row r="11" spans="1:12" ht="15.5" x14ac:dyDescent="0.35">
      <c r="A11" s="429" t="s">
        <v>367</v>
      </c>
      <c r="B11" s="438">
        <v>0.996</v>
      </c>
      <c r="C11" s="14" t="s">
        <v>370</v>
      </c>
      <c r="D11" s="501">
        <v>0.99570500000000006</v>
      </c>
    </row>
    <row r="12" spans="1:12" ht="15.5" x14ac:dyDescent="0.35">
      <c r="A12" s="416" t="s">
        <v>0</v>
      </c>
      <c r="B12" s="14">
        <f>+'[1]altitude vs. air pressure'!B13</f>
        <v>1001.3018430482116</v>
      </c>
      <c r="C12" s="14" t="s">
        <v>352</v>
      </c>
    </row>
    <row r="13" spans="1:12" ht="17.5" x14ac:dyDescent="0.45">
      <c r="A13" s="429" t="s">
        <v>17</v>
      </c>
      <c r="B13">
        <v>0.97</v>
      </c>
      <c r="C13" s="515" t="s">
        <v>19</v>
      </c>
      <c r="I13" s="502">
        <f t="shared" ref="I13:J15" si="0">+C4</f>
        <v>6.2523456497928344E-3</v>
      </c>
      <c r="J13" s="503">
        <f t="shared" si="0"/>
        <v>8.1594679726477298E-3</v>
      </c>
      <c r="K13">
        <f>+J13-I13</f>
        <v>1.9071223228548954E-3</v>
      </c>
      <c r="L13" s="14" t="s">
        <v>470</v>
      </c>
    </row>
    <row r="14" spans="1:12" ht="15.5" x14ac:dyDescent="0.35">
      <c r="A14" s="429" t="s">
        <v>15</v>
      </c>
      <c r="B14" s="430">
        <v>1.171E-7</v>
      </c>
      <c r="C14" s="14" t="s">
        <v>506</v>
      </c>
      <c r="I14" s="502">
        <f t="shared" si="0"/>
        <v>5.3873258776067899E-4</v>
      </c>
      <c r="J14" s="503">
        <f t="shared" si="0"/>
        <v>1.0771460467796123E-3</v>
      </c>
      <c r="K14">
        <f>+J14-I14</f>
        <v>5.3841345901893328E-4</v>
      </c>
      <c r="L14" s="14" t="s">
        <v>473</v>
      </c>
    </row>
    <row r="15" spans="1:12" ht="17.5" x14ac:dyDescent="0.45">
      <c r="A15" s="416" t="s">
        <v>378</v>
      </c>
      <c r="B15">
        <v>0.11</v>
      </c>
      <c r="C15" s="14" t="s">
        <v>509</v>
      </c>
      <c r="I15" s="502">
        <f t="shared" si="0"/>
        <v>1.0935601066812406E-2</v>
      </c>
      <c r="J15" s="503">
        <f t="shared" si="0"/>
        <v>1.1081164470362812E-2</v>
      </c>
      <c r="K15">
        <f>+J15-I15</f>
        <v>1.4556340355040623E-4</v>
      </c>
      <c r="L15" s="14" t="s">
        <v>476</v>
      </c>
    </row>
    <row r="16" spans="1:12" ht="15.5" x14ac:dyDescent="0.35">
      <c r="A16" s="416" t="s">
        <v>381</v>
      </c>
      <c r="B16" s="24">
        <v>580</v>
      </c>
      <c r="C16" s="14" t="s">
        <v>384</v>
      </c>
      <c r="D16" s="26">
        <v>579.54999999999995</v>
      </c>
      <c r="I16" s="502"/>
      <c r="J16" s="503"/>
      <c r="K16">
        <f>+SUM(J13:J15)-SUM(I13:I15)</f>
        <v>2.5910991854242345E-3</v>
      </c>
      <c r="L16" s="14" t="s">
        <v>478</v>
      </c>
    </row>
    <row r="17" spans="1:12" ht="16.5" x14ac:dyDescent="0.4">
      <c r="A17" s="416" t="s">
        <v>18</v>
      </c>
      <c r="B17" s="14">
        <v>0.24</v>
      </c>
      <c r="C17" s="14" t="s">
        <v>507</v>
      </c>
      <c r="I17" s="502"/>
      <c r="J17" s="503"/>
      <c r="K17" s="504">
        <f>+K13/K16</f>
        <v>0.73602829779078749</v>
      </c>
      <c r="L17" s="416" t="s">
        <v>482</v>
      </c>
    </row>
    <row r="18" spans="1:12" ht="15.5" x14ac:dyDescent="0.35">
      <c r="A18" s="429" t="s">
        <v>16</v>
      </c>
      <c r="B18" s="14">
        <v>0.622</v>
      </c>
      <c r="I18" s="425">
        <f>+C5/C4</f>
        <v>8.6164876021934164E-2</v>
      </c>
      <c r="J18" s="16">
        <f>+D5/D4</f>
        <v>0.13201179910141625</v>
      </c>
      <c r="K18" s="14" t="s">
        <v>483</v>
      </c>
    </row>
    <row r="19" spans="1:12" ht="13" x14ac:dyDescent="0.3">
      <c r="A19" s="14" t="s">
        <v>394</v>
      </c>
      <c r="B19" s="422">
        <v>28</v>
      </c>
      <c r="C19" s="14" t="s">
        <v>484</v>
      </c>
      <c r="I19" s="505"/>
      <c r="J19" s="505"/>
      <c r="K19" s="14"/>
    </row>
    <row r="20" spans="1:12" ht="13" x14ac:dyDescent="0.3">
      <c r="A20" s="14" t="s">
        <v>397</v>
      </c>
      <c r="B20" s="422">
        <v>26</v>
      </c>
      <c r="C20" s="14" t="s">
        <v>485</v>
      </c>
      <c r="I20" s="505"/>
    </row>
    <row r="21" spans="1:12" ht="13" x14ac:dyDescent="0.3">
      <c r="A21" s="7" t="s">
        <v>399</v>
      </c>
      <c r="B21" s="422">
        <v>29</v>
      </c>
      <c r="C21" s="425" t="s">
        <v>486</v>
      </c>
      <c r="D21" s="422">
        <v>30</v>
      </c>
      <c r="E21" s="16" t="s">
        <v>487</v>
      </c>
    </row>
    <row r="22" spans="1:12" ht="13" x14ac:dyDescent="0.3">
      <c r="A22" s="14" t="s">
        <v>401</v>
      </c>
      <c r="B22" s="422">
        <v>20</v>
      </c>
      <c r="C22" s="14" t="s">
        <v>488</v>
      </c>
    </row>
    <row r="23" spans="1:12" ht="14.5" x14ac:dyDescent="0.35">
      <c r="A23" s="14" t="s">
        <v>404</v>
      </c>
      <c r="B23" s="506">
        <f>6.1078*EXP(((595.9-273.15*-0.545)/0.11)*((1/273.15)-(1/(B21+273.15)))+(-0.545/0.11)*LN((B21+273.15)/273.15))</f>
        <v>39.992059584828816</v>
      </c>
      <c r="C23" s="420" t="s">
        <v>406</v>
      </c>
      <c r="D23" s="507">
        <f>6.1078*EXP(((595.9-273.15*-0.545)/0.11)*((1/273.15)-(1/(D21+273.15)))+(-0.545/0.11)*LN((D21+273.15)/273.15))</f>
        <v>42.360989940490818</v>
      </c>
      <c r="E23" s="420" t="s">
        <v>406</v>
      </c>
      <c r="F23" s="133"/>
      <c r="G23" s="133"/>
      <c r="H23" s="133"/>
    </row>
    <row r="24" spans="1:12" ht="15.5" x14ac:dyDescent="0.35">
      <c r="A24" s="511" t="s">
        <v>408</v>
      </c>
      <c r="B24" s="512">
        <f>6.1078*EXP(((595.9-273*-0.545)/0.11)*((1/273)-(1/(B20+273)))+(-0.545/0.11)*LN((B20+273)/273))</f>
        <v>33.622440906577687</v>
      </c>
      <c r="C24" s="420" t="s">
        <v>406</v>
      </c>
      <c r="D24" s="507"/>
      <c r="E24" s="420"/>
      <c r="F24" s="133"/>
      <c r="G24" s="133"/>
      <c r="H24" s="133"/>
    </row>
    <row r="25" spans="1:12" ht="16" x14ac:dyDescent="0.4">
      <c r="A25" s="511" t="s">
        <v>508</v>
      </c>
      <c r="B25" s="512">
        <f>B24-B12*(B19-B20)*0.00066*(1+0.00115*B20)</f>
        <v>32.261203092612618</v>
      </c>
      <c r="C25" s="420" t="s">
        <v>406</v>
      </c>
      <c r="D25" s="507"/>
      <c r="E25" s="420"/>
      <c r="F25" s="133"/>
      <c r="G25" s="133"/>
      <c r="H25" s="133"/>
    </row>
    <row r="26" spans="1:12" ht="14.5" x14ac:dyDescent="0.35">
      <c r="A26" s="14"/>
      <c r="B26" s="506"/>
      <c r="C26" s="420"/>
      <c r="D26" s="507"/>
      <c r="E26" s="420"/>
      <c r="F26" s="133"/>
      <c r="G26" s="133"/>
      <c r="H26" s="133"/>
    </row>
    <row r="27" spans="1:12" x14ac:dyDescent="0.25">
      <c r="A27" s="14"/>
      <c r="B27" s="12"/>
      <c r="C27" s="14"/>
      <c r="H27" s="508"/>
    </row>
    <row r="28" spans="1:12" ht="14" x14ac:dyDescent="0.35">
      <c r="B28" s="445" t="s">
        <v>489</v>
      </c>
    </row>
    <row r="29" spans="1:12" ht="13" x14ac:dyDescent="0.3">
      <c r="B29" s="509" t="s">
        <v>490</v>
      </c>
    </row>
    <row r="30" spans="1:12" ht="13" x14ac:dyDescent="0.3">
      <c r="B30" s="509" t="s">
        <v>491</v>
      </c>
    </row>
    <row r="31" spans="1:12" ht="14" x14ac:dyDescent="0.35">
      <c r="B31" s="510" t="s">
        <v>50</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9"/>
  <sheetViews>
    <sheetView workbookViewId="0"/>
  </sheetViews>
  <sheetFormatPr defaultRowHeight="12.5" x14ac:dyDescent="0.25"/>
  <cols>
    <col min="5" max="5" width="10.54296875" bestFit="1" customWidth="1"/>
    <col min="12" max="12" width="10.54296875" bestFit="1" customWidth="1"/>
    <col min="13" max="13" width="10.81640625" customWidth="1"/>
  </cols>
  <sheetData>
    <row r="1" spans="1:32" x14ac:dyDescent="0.25">
      <c r="A1" s="14" t="s">
        <v>360</v>
      </c>
    </row>
    <row r="2" spans="1:32" ht="13" x14ac:dyDescent="0.3">
      <c r="B2" s="7" t="s">
        <v>334</v>
      </c>
      <c r="AF2" s="417"/>
    </row>
    <row r="3" spans="1:32" x14ac:dyDescent="0.25">
      <c r="B3" t="s">
        <v>497</v>
      </c>
      <c r="AF3" s="417"/>
    </row>
    <row r="4" spans="1:32" x14ac:dyDescent="0.25">
      <c r="B4" s="14" t="s">
        <v>337</v>
      </c>
      <c r="AF4" s="417"/>
    </row>
    <row r="5" spans="1:32" x14ac:dyDescent="0.25">
      <c r="B5" s="14" t="s">
        <v>339</v>
      </c>
      <c r="AF5" s="417"/>
    </row>
    <row r="6" spans="1:32" x14ac:dyDescent="0.25">
      <c r="B6" s="14" t="s">
        <v>341</v>
      </c>
      <c r="AF6" s="417"/>
    </row>
    <row r="7" spans="1:32" ht="14.5" x14ac:dyDescent="0.35">
      <c r="B7" s="420" t="s">
        <v>343</v>
      </c>
      <c r="C7" s="133"/>
      <c r="D7" s="133"/>
      <c r="E7" s="133"/>
      <c r="F7" s="133"/>
      <c r="G7" s="133"/>
      <c r="H7" s="133"/>
      <c r="I7" s="133"/>
      <c r="J7" s="25"/>
      <c r="AF7" s="417"/>
    </row>
    <row r="8" spans="1:32" x14ac:dyDescent="0.25">
      <c r="C8" s="25"/>
      <c r="D8" s="25"/>
      <c r="E8" s="25"/>
      <c r="F8" s="25"/>
      <c r="G8" s="25"/>
      <c r="H8" s="25"/>
      <c r="I8" s="25"/>
      <c r="J8" s="25"/>
      <c r="AF8" s="417"/>
    </row>
    <row r="9" spans="1:32" ht="14.5" x14ac:dyDescent="0.35">
      <c r="B9" s="14" t="s">
        <v>346</v>
      </c>
      <c r="C9" s="25"/>
      <c r="D9" s="25"/>
      <c r="E9" s="25"/>
      <c r="F9" s="25"/>
      <c r="G9" s="421" t="s">
        <v>347</v>
      </c>
      <c r="H9" s="420"/>
      <c r="I9" s="25"/>
      <c r="J9" s="25"/>
      <c r="AF9" s="417"/>
    </row>
    <row r="10" spans="1:32" ht="14.5" x14ac:dyDescent="0.35">
      <c r="C10" s="25"/>
      <c r="D10" s="25"/>
      <c r="E10" s="25"/>
      <c r="F10" s="25"/>
      <c r="G10" s="421" t="s">
        <v>348</v>
      </c>
      <c r="H10" s="420"/>
      <c r="I10" s="133"/>
      <c r="J10" s="25"/>
      <c r="AF10" s="417"/>
    </row>
    <row r="11" spans="1:32" ht="14.5" x14ac:dyDescent="0.35">
      <c r="C11" s="25"/>
      <c r="D11" s="25"/>
      <c r="E11" s="25"/>
      <c r="F11" s="25"/>
      <c r="I11" s="133"/>
      <c r="J11" s="25"/>
    </row>
    <row r="12" spans="1:32" ht="13" x14ac:dyDescent="0.3">
      <c r="B12" t="s">
        <v>359</v>
      </c>
      <c r="C12" s="422">
        <v>100</v>
      </c>
      <c r="D12" s="122" t="s">
        <v>350</v>
      </c>
      <c r="E12" s="25"/>
      <c r="F12" s="25"/>
      <c r="G12" s="25"/>
      <c r="H12" s="25"/>
      <c r="I12" s="25"/>
      <c r="J12" s="25"/>
    </row>
    <row r="13" spans="1:32" x14ac:dyDescent="0.25">
      <c r="C13" s="25"/>
      <c r="D13" s="25"/>
      <c r="E13" s="25"/>
      <c r="F13" s="25"/>
      <c r="G13" s="25"/>
      <c r="H13" s="25"/>
      <c r="I13" s="25"/>
      <c r="J13" s="25"/>
    </row>
    <row r="14" spans="1:32" ht="15.5" x14ac:dyDescent="0.35">
      <c r="B14" s="423" t="s">
        <v>0</v>
      </c>
      <c r="C14" s="126">
        <f>((44331.514-C12)/11880.516)^(1/0.190263)</f>
        <v>1001.3018430482116</v>
      </c>
      <c r="D14" s="27" t="s">
        <v>352</v>
      </c>
      <c r="E14" s="28"/>
      <c r="F14" s="25"/>
      <c r="G14" s="25"/>
      <c r="H14" s="25"/>
      <c r="I14" s="25"/>
      <c r="J14" s="25"/>
    </row>
    <row r="15" spans="1:32" ht="14.5" x14ac:dyDescent="0.35">
      <c r="C15" s="133"/>
      <c r="D15" s="133"/>
      <c r="E15" s="133"/>
      <c r="F15" s="25"/>
      <c r="G15" s="25"/>
      <c r="H15" s="25"/>
      <c r="I15" s="25"/>
      <c r="J15" s="25"/>
    </row>
    <row r="16" spans="1:32" x14ac:dyDescent="0.25">
      <c r="A16" t="s">
        <v>361</v>
      </c>
      <c r="H16" s="25"/>
      <c r="I16" s="25"/>
      <c r="J16" s="25"/>
      <c r="M16" s="417"/>
      <c r="N16" s="417"/>
      <c r="O16" s="417"/>
      <c r="P16" s="417"/>
    </row>
    <row r="17" spans="1:16" ht="13" x14ac:dyDescent="0.3">
      <c r="B17" s="7" t="s">
        <v>335</v>
      </c>
      <c r="C17" s="417"/>
      <c r="D17" s="417"/>
      <c r="E17" s="417"/>
      <c r="O17" s="417"/>
      <c r="P17" s="417"/>
    </row>
    <row r="18" spans="1:16" x14ac:dyDescent="0.25">
      <c r="B18" s="417" t="s">
        <v>180</v>
      </c>
      <c r="C18" s="417"/>
      <c r="D18" s="417"/>
      <c r="E18" s="417"/>
      <c r="O18" s="417"/>
      <c r="P18" s="417"/>
    </row>
    <row r="19" spans="1:16" x14ac:dyDescent="0.25">
      <c r="B19" s="418" t="s">
        <v>338</v>
      </c>
      <c r="C19" s="417"/>
      <c r="D19" s="417"/>
      <c r="E19" s="417"/>
      <c r="O19" s="417"/>
      <c r="P19" s="417"/>
    </row>
    <row r="20" spans="1:16" ht="14" x14ac:dyDescent="0.25">
      <c r="B20" s="419" t="s">
        <v>340</v>
      </c>
      <c r="C20" s="417"/>
      <c r="D20" s="417"/>
      <c r="E20" s="417"/>
      <c r="O20" s="417"/>
      <c r="P20" s="417"/>
    </row>
    <row r="21" spans="1:16" x14ac:dyDescent="0.25">
      <c r="B21" s="419" t="s">
        <v>342</v>
      </c>
      <c r="C21" s="417"/>
      <c r="D21" s="417"/>
      <c r="E21" s="417"/>
      <c r="O21" s="417"/>
      <c r="P21" s="417"/>
    </row>
    <row r="22" spans="1:16" x14ac:dyDescent="0.25">
      <c r="B22" s="419" t="s">
        <v>344</v>
      </c>
      <c r="C22" s="417"/>
      <c r="D22" s="417"/>
      <c r="E22" s="417"/>
      <c r="O22" s="417"/>
      <c r="P22" s="417"/>
    </row>
    <row r="23" spans="1:16" x14ac:dyDescent="0.25">
      <c r="B23" s="419" t="s">
        <v>345</v>
      </c>
      <c r="C23" s="417"/>
      <c r="D23" s="417"/>
      <c r="E23" s="417"/>
      <c r="O23" s="417"/>
      <c r="P23" s="417"/>
    </row>
    <row r="24" spans="1:16" x14ac:dyDescent="0.25">
      <c r="B24" s="417"/>
      <c r="C24" s="417"/>
      <c r="D24" s="417"/>
      <c r="E24" s="417"/>
      <c r="O24" s="417"/>
      <c r="P24" s="417"/>
    </row>
    <row r="25" spans="1:16" x14ac:dyDescent="0.25">
      <c r="B25" s="417">
        <f>101325*(1-0.0000225577*C12)^5.25588</f>
        <v>100129.43746672753</v>
      </c>
      <c r="C25" s="417" t="s">
        <v>349</v>
      </c>
      <c r="D25" s="417"/>
      <c r="E25" s="417"/>
    </row>
    <row r="26" spans="1:16" x14ac:dyDescent="0.25">
      <c r="B26" s="417"/>
      <c r="C26" s="417"/>
      <c r="D26" s="417"/>
      <c r="E26" s="417"/>
    </row>
    <row r="27" spans="1:16" x14ac:dyDescent="0.25">
      <c r="B27" s="417" t="s">
        <v>351</v>
      </c>
      <c r="C27" s="417"/>
      <c r="D27" s="417"/>
      <c r="E27" s="417"/>
    </row>
    <row r="28" spans="1:16" x14ac:dyDescent="0.25">
      <c r="B28" s="428">
        <f>+(B29-C14)/C14</f>
        <v>-7.4586709174195698E-6</v>
      </c>
      <c r="D28" s="417"/>
      <c r="E28" s="417"/>
    </row>
    <row r="29" spans="1:16" x14ac:dyDescent="0.25">
      <c r="B29" s="417">
        <f>+B25/100</f>
        <v>1001.2943746672753</v>
      </c>
      <c r="C29" s="417"/>
      <c r="D29" s="417"/>
      <c r="E29" s="417"/>
    </row>
    <row r="31" spans="1:16" x14ac:dyDescent="0.25">
      <c r="A31" s="14" t="s">
        <v>362</v>
      </c>
    </row>
    <row r="32" spans="1:16" x14ac:dyDescent="0.25">
      <c r="B32" s="425" t="s">
        <v>353</v>
      </c>
      <c r="C32" s="425"/>
      <c r="D32" s="425"/>
      <c r="E32" s="425"/>
      <c r="F32" s="425" t="s">
        <v>354</v>
      </c>
      <c r="H32" s="425"/>
      <c r="M32" s="417"/>
    </row>
    <row r="33" spans="2:13" x14ac:dyDescent="0.25">
      <c r="B33" s="425"/>
      <c r="C33" s="425"/>
      <c r="D33" s="425"/>
      <c r="E33" s="425"/>
      <c r="F33" s="425"/>
      <c r="G33" s="425"/>
      <c r="H33" s="425"/>
      <c r="M33" s="417"/>
    </row>
    <row r="34" spans="2:13" ht="13" x14ac:dyDescent="0.3">
      <c r="B34" s="425" t="s">
        <v>355</v>
      </c>
      <c r="C34" s="425"/>
      <c r="D34" s="425"/>
      <c r="E34" s="425"/>
      <c r="F34" s="426" t="s">
        <v>356</v>
      </c>
      <c r="G34" s="425"/>
      <c r="H34" s="425"/>
      <c r="M34" s="417"/>
    </row>
    <row r="35" spans="2:13" x14ac:dyDescent="0.25">
      <c r="B35" s="425"/>
      <c r="C35" s="425"/>
      <c r="D35" s="425"/>
      <c r="E35" s="425"/>
      <c r="F35" s="425"/>
      <c r="G35" s="425"/>
      <c r="H35" s="425"/>
      <c r="M35" s="417"/>
    </row>
    <row r="36" spans="2:13" x14ac:dyDescent="0.25">
      <c r="B36" s="425" t="s">
        <v>357</v>
      </c>
      <c r="C36" s="425"/>
      <c r="D36" s="425"/>
      <c r="E36" s="425"/>
      <c r="F36" s="425"/>
      <c r="G36" s="425"/>
      <c r="H36" s="425"/>
      <c r="M36" s="417"/>
    </row>
    <row r="37" spans="2:13" x14ac:dyDescent="0.25">
      <c r="B37" s="425"/>
      <c r="C37" s="425"/>
      <c r="D37" s="425"/>
      <c r="E37" s="425"/>
      <c r="F37" s="425"/>
      <c r="G37" s="425"/>
      <c r="H37" s="425"/>
      <c r="M37" s="417"/>
    </row>
    <row r="38" spans="2:13" x14ac:dyDescent="0.25">
      <c r="B38" s="425"/>
      <c r="C38" s="425">
        <f xml:space="preserve"> ((44330.8-C12)/4946.54)^(1/0.1902632)</f>
        <v>100129.90256621511</v>
      </c>
      <c r="D38" s="425" t="s">
        <v>349</v>
      </c>
      <c r="E38" s="425"/>
      <c r="F38" s="425"/>
      <c r="G38" s="425"/>
      <c r="H38" s="425"/>
      <c r="M38" s="417"/>
    </row>
    <row r="39" spans="2:13" x14ac:dyDescent="0.25">
      <c r="B39" s="425"/>
      <c r="C39" s="425">
        <f>+C38/100</f>
        <v>1001.2990256621511</v>
      </c>
      <c r="D39" s="425" t="s">
        <v>47</v>
      </c>
      <c r="E39" s="427">
        <f>+(C39-C14)/C14</f>
        <v>-2.813723034769641E-6</v>
      </c>
      <c r="F39" s="425" t="s">
        <v>351</v>
      </c>
      <c r="G39" s="425"/>
      <c r="H39" s="425"/>
      <c r="L39" s="427">
        <f>+(C39-B29)/B29</f>
        <v>4.6449825280460224E-6</v>
      </c>
      <c r="M39" s="425" t="s">
        <v>358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7"/>
  <sheetViews>
    <sheetView workbookViewId="0"/>
  </sheetViews>
  <sheetFormatPr defaultRowHeight="12.5" x14ac:dyDescent="0.25"/>
  <cols>
    <col min="2" max="2" width="15.26953125" bestFit="1" customWidth="1"/>
    <col min="5" max="5" width="12.1796875" customWidth="1"/>
    <col min="8" max="9" width="13" customWidth="1"/>
  </cols>
  <sheetData>
    <row r="1" spans="1:33" ht="13" x14ac:dyDescent="0.3">
      <c r="A1" s="453" t="s">
        <v>433</v>
      </c>
    </row>
    <row r="2" spans="1:33" ht="13" x14ac:dyDescent="0.3">
      <c r="B2" s="454"/>
      <c r="C2" s="14" t="s">
        <v>463</v>
      </c>
      <c r="D2" s="440"/>
      <c r="E2" s="441"/>
      <c r="F2" s="441"/>
      <c r="G2" s="441"/>
      <c r="H2" s="441"/>
      <c r="I2" s="441"/>
      <c r="J2" s="441"/>
      <c r="K2" s="441"/>
      <c r="L2" s="455"/>
      <c r="M2" s="456" t="s">
        <v>140</v>
      </c>
      <c r="N2" s="457"/>
      <c r="O2" s="457"/>
      <c r="P2" s="7"/>
      <c r="Q2" s="7"/>
      <c r="R2" s="7"/>
      <c r="S2" s="7"/>
      <c r="T2" s="7"/>
      <c r="U2" s="457"/>
      <c r="V2" s="457"/>
      <c r="W2" s="7"/>
      <c r="X2" s="7"/>
      <c r="Y2" s="7"/>
      <c r="Z2" s="7"/>
      <c r="AA2" s="7"/>
      <c r="AB2" s="7"/>
      <c r="AC2" s="7"/>
      <c r="AD2" s="7"/>
      <c r="AE2" s="7"/>
      <c r="AF2" s="7"/>
      <c r="AG2" s="7"/>
    </row>
    <row r="3" spans="1:33" ht="15.5" x14ac:dyDescent="0.35">
      <c r="A3" s="453" t="s">
        <v>498</v>
      </c>
      <c r="B3" s="454"/>
      <c r="C3" s="443"/>
      <c r="D3" s="444"/>
      <c r="E3" s="441"/>
      <c r="F3" s="441"/>
      <c r="G3" s="14" t="s">
        <v>499</v>
      </c>
      <c r="J3" s="441"/>
      <c r="K3" s="441"/>
      <c r="L3" s="455"/>
      <c r="M3" s="457" t="s">
        <v>434</v>
      </c>
      <c r="N3" s="457" t="s">
        <v>435</v>
      </c>
      <c r="O3" s="457" t="s">
        <v>406</v>
      </c>
      <c r="X3" s="459">
        <v>-296.90121212367455</v>
      </c>
      <c r="Y3" s="459" t="s">
        <v>436</v>
      </c>
      <c r="AB3">
        <v>-303.62829115744086</v>
      </c>
      <c r="AC3">
        <v>-303.96089437879755</v>
      </c>
      <c r="AD3">
        <v>-301.5851501188946</v>
      </c>
      <c r="AE3">
        <v>-296.90121212367455</v>
      </c>
    </row>
    <row r="4" spans="1:33" ht="15.5" x14ac:dyDescent="0.35">
      <c r="A4" s="458" t="s">
        <v>437</v>
      </c>
      <c r="B4" s="458" t="s">
        <v>48</v>
      </c>
      <c r="G4" s="461" t="s">
        <v>423</v>
      </c>
      <c r="H4" s="417"/>
      <c r="L4" s="431"/>
      <c r="M4" s="457">
        <v>0</v>
      </c>
      <c r="N4" s="457">
        <v>4.5999999999999996</v>
      </c>
      <c r="O4" s="457">
        <f t="shared" ref="O4:O67" si="0">+N4*O$104/N$104</f>
        <v>6.132828947368421</v>
      </c>
      <c r="T4" s="457"/>
      <c r="U4" s="457"/>
      <c r="V4" s="457"/>
      <c r="X4" s="459">
        <v>16.901596700154599</v>
      </c>
      <c r="Y4" s="459" t="s">
        <v>438</v>
      </c>
      <c r="AB4">
        <v>17.1781415500683</v>
      </c>
      <c r="AC4">
        <v>17.195503658565791</v>
      </c>
      <c r="AD4">
        <v>17.10095474986441</v>
      </c>
      <c r="AE4">
        <v>16.901596700154613</v>
      </c>
    </row>
    <row r="5" spans="1:33" ht="13" x14ac:dyDescent="0.3">
      <c r="A5" s="458">
        <v>0</v>
      </c>
      <c r="B5" s="460">
        <v>6.1077999609999996</v>
      </c>
      <c r="G5" s="463" t="s">
        <v>48</v>
      </c>
      <c r="H5" s="463">
        <v>595.9</v>
      </c>
      <c r="L5" s="431"/>
      <c r="M5" s="457">
        <v>1</v>
      </c>
      <c r="N5" s="457">
        <v>4.9000000000000004</v>
      </c>
      <c r="O5" s="457">
        <f t="shared" si="0"/>
        <v>6.5327960526315794</v>
      </c>
      <c r="T5" s="457"/>
      <c r="U5" s="457"/>
      <c r="V5" s="457"/>
      <c r="X5" s="459">
        <v>-0.30224210038042171</v>
      </c>
      <c r="Y5" s="459" t="s">
        <v>439</v>
      </c>
      <c r="AB5">
        <v>-0.30593513102874526</v>
      </c>
      <c r="AC5">
        <v>-0.30621653580937908</v>
      </c>
      <c r="AD5">
        <v>-0.30499544248670679</v>
      </c>
      <c r="AE5">
        <v>-0.30224210038042171</v>
      </c>
    </row>
    <row r="6" spans="1:33" ht="13" x14ac:dyDescent="0.3">
      <c r="A6" s="458">
        <v>1</v>
      </c>
      <c r="B6" s="462">
        <v>0.44365185210000002</v>
      </c>
      <c r="G6" s="463" t="s">
        <v>49</v>
      </c>
      <c r="H6" s="464">
        <v>-0.54500000000000004</v>
      </c>
      <c r="L6" s="431"/>
      <c r="M6" s="457">
        <v>2</v>
      </c>
      <c r="N6" s="457">
        <v>5.3</v>
      </c>
      <c r="O6" s="457">
        <f t="shared" si="0"/>
        <v>7.0660855263157885</v>
      </c>
      <c r="T6" s="457"/>
      <c r="U6" s="457"/>
      <c r="V6" s="457"/>
      <c r="X6" s="459">
        <v>2.6412377653537255E-3</v>
      </c>
      <c r="Y6" s="459" t="s">
        <v>440</v>
      </c>
      <c r="AB6">
        <v>2.6573049085941757E-3</v>
      </c>
      <c r="AC6">
        <v>2.6587380596964135E-3</v>
      </c>
      <c r="AD6">
        <v>2.6535995241805856E-3</v>
      </c>
      <c r="AE6">
        <v>2.6412377653537255E-3</v>
      </c>
    </row>
    <row r="7" spans="1:33" ht="17.5" x14ac:dyDescent="0.45">
      <c r="A7" s="458">
        <v>2</v>
      </c>
      <c r="B7" s="462">
        <v>1.428945805E-2</v>
      </c>
      <c r="G7" s="466" t="s">
        <v>441</v>
      </c>
      <c r="H7" s="464">
        <v>0.11</v>
      </c>
      <c r="L7" s="431"/>
      <c r="M7" s="457">
        <v>3</v>
      </c>
      <c r="N7" s="457">
        <v>5.7</v>
      </c>
      <c r="O7" s="457">
        <f t="shared" si="0"/>
        <v>7.5993750000000011</v>
      </c>
      <c r="T7" s="457"/>
      <c r="U7" s="457"/>
      <c r="V7" s="457"/>
      <c r="X7" s="465" t="s">
        <v>64</v>
      </c>
      <c r="AB7" t="s">
        <v>64</v>
      </c>
      <c r="AC7" t="s">
        <v>64</v>
      </c>
      <c r="AD7" t="s">
        <v>64</v>
      </c>
      <c r="AE7" s="14" t="s">
        <v>64</v>
      </c>
    </row>
    <row r="8" spans="1:33" x14ac:dyDescent="0.25">
      <c r="A8" s="458">
        <v>3</v>
      </c>
      <c r="B8" s="462">
        <v>2.6506484709999998E-4</v>
      </c>
      <c r="G8" s="467" t="s">
        <v>399</v>
      </c>
      <c r="H8" s="468">
        <v>29</v>
      </c>
      <c r="L8" s="431"/>
      <c r="M8" s="457">
        <v>4</v>
      </c>
      <c r="N8" s="457">
        <v>6.1</v>
      </c>
      <c r="O8" s="457">
        <f t="shared" si="0"/>
        <v>8.1326644736842102</v>
      </c>
      <c r="X8" s="465">
        <f>SQRT(AVERAGE(Y16:Y90))</f>
        <v>0.44680874659262659</v>
      </c>
      <c r="Z8" s="459"/>
      <c r="AA8" s="458"/>
      <c r="AB8">
        <v>0.44765694336508022</v>
      </c>
      <c r="AC8">
        <v>0.44793609760578057</v>
      </c>
      <c r="AD8">
        <v>0.4473843565364039</v>
      </c>
      <c r="AE8">
        <v>0.44680874659262204</v>
      </c>
    </row>
    <row r="9" spans="1:33" ht="15.5" x14ac:dyDescent="0.35">
      <c r="A9" s="458">
        <v>4</v>
      </c>
      <c r="B9" s="462">
        <v>3.0312403959999999E-6</v>
      </c>
      <c r="G9" s="463" t="s">
        <v>404</v>
      </c>
      <c r="H9" s="469">
        <f>6.1078*EXP((($H$5-273*$H$6)/$H$7)*((1/273)-(1/(H8+273)))+($H$6/$H$7)*LN((H8+273)/273))</f>
        <v>40.070792240813901</v>
      </c>
      <c r="L9" s="431"/>
      <c r="M9" s="457">
        <v>5</v>
      </c>
      <c r="N9" s="457">
        <v>6.5</v>
      </c>
      <c r="O9" s="457">
        <f t="shared" si="0"/>
        <v>8.6659539473684202</v>
      </c>
      <c r="X9" s="465" t="s">
        <v>442</v>
      </c>
      <c r="Z9" s="459"/>
      <c r="AA9" s="458"/>
    </row>
    <row r="10" spans="1:33" x14ac:dyDescent="0.25">
      <c r="A10" s="458">
        <v>5</v>
      </c>
      <c r="B10" s="462">
        <v>2.0340809480000001E-8</v>
      </c>
      <c r="L10" s="431"/>
      <c r="M10" s="457">
        <v>6</v>
      </c>
      <c r="N10" s="457">
        <v>7</v>
      </c>
      <c r="O10" s="457">
        <f t="shared" si="0"/>
        <v>9.3325657894736835</v>
      </c>
      <c r="T10" s="573" t="s">
        <v>500</v>
      </c>
      <c r="U10" s="573"/>
      <c r="V10" s="573"/>
      <c r="W10" s="573"/>
      <c r="X10" s="573"/>
      <c r="Y10" s="573"/>
      <c r="Z10" s="573"/>
      <c r="AA10" s="573"/>
      <c r="AB10" s="573"/>
      <c r="AC10" s="573"/>
      <c r="AD10" s="573"/>
    </row>
    <row r="11" spans="1:33" x14ac:dyDescent="0.25">
      <c r="A11" s="458">
        <v>6</v>
      </c>
      <c r="B11" s="462">
        <v>6.1368209289999995E-11</v>
      </c>
      <c r="L11" s="431"/>
      <c r="M11" s="457">
        <v>7</v>
      </c>
      <c r="N11" s="457">
        <v>7.5</v>
      </c>
      <c r="O11" s="457">
        <f t="shared" si="0"/>
        <v>9.9991776315789469</v>
      </c>
      <c r="T11" s="573"/>
      <c r="U11" s="573"/>
      <c r="V11" s="573"/>
      <c r="W11" s="573"/>
      <c r="X11" s="573"/>
      <c r="Y11" s="573"/>
      <c r="Z11" s="573"/>
      <c r="AA11" s="573"/>
      <c r="AB11" s="573"/>
      <c r="AC11" s="573"/>
      <c r="AD11" s="573"/>
    </row>
    <row r="12" spans="1:33" ht="13" x14ac:dyDescent="0.3">
      <c r="A12" s="458">
        <v>33</v>
      </c>
      <c r="C12" s="470">
        <f>+B$5+A12*(0.4436518521+A12*(0.01428945805+A12*(0.0002650648471+A12*(0.000003031240396+A12*(0.00000002034080948+A12*6.136820929E-11)))))</f>
        <v>50.305278598198264</v>
      </c>
      <c r="L12" s="431"/>
      <c r="M12" s="457">
        <v>8</v>
      </c>
      <c r="N12" s="457">
        <v>8</v>
      </c>
      <c r="O12" s="457">
        <f t="shared" si="0"/>
        <v>10.66578947368421</v>
      </c>
      <c r="T12" s="456" t="s">
        <v>140</v>
      </c>
      <c r="Z12" s="459"/>
      <c r="AA12" s="458"/>
    </row>
    <row r="13" spans="1:33" ht="62.5" x14ac:dyDescent="0.25">
      <c r="A13" s="471" t="s">
        <v>443</v>
      </c>
      <c r="B13" s="30" t="s">
        <v>444</v>
      </c>
      <c r="C13" s="471" t="s">
        <v>445</v>
      </c>
      <c r="D13" s="14" t="s">
        <v>446</v>
      </c>
      <c r="E13" s="471" t="s">
        <v>447</v>
      </c>
      <c r="F13" s="471" t="s">
        <v>448</v>
      </c>
      <c r="G13" s="472" t="s">
        <v>75</v>
      </c>
      <c r="H13" s="472" t="s">
        <v>449</v>
      </c>
      <c r="I13" s="472" t="s">
        <v>450</v>
      </c>
      <c r="J13" s="31"/>
      <c r="K13" s="31"/>
      <c r="L13" s="432"/>
      <c r="M13" s="457">
        <v>9</v>
      </c>
      <c r="N13" s="457">
        <v>8.6</v>
      </c>
      <c r="O13" s="457">
        <f t="shared" si="0"/>
        <v>11.465723684210525</v>
      </c>
      <c r="P13" s="31"/>
      <c r="Q13" s="31"/>
      <c r="R13" s="31"/>
      <c r="S13" s="31"/>
      <c r="T13" s="457" t="s">
        <v>434</v>
      </c>
      <c r="U13" s="457" t="s">
        <v>435</v>
      </c>
      <c r="V13" s="457" t="s">
        <v>406</v>
      </c>
      <c r="W13" s="31"/>
      <c r="X13" s="473" t="s">
        <v>451</v>
      </c>
      <c r="Y13" s="474" t="s">
        <v>452</v>
      </c>
      <c r="Z13" s="459" t="s">
        <v>453</v>
      </c>
      <c r="AA13" s="458" t="s">
        <v>454</v>
      </c>
      <c r="AB13" s="30" t="s">
        <v>455</v>
      </c>
      <c r="AC13" s="30" t="s">
        <v>456</v>
      </c>
      <c r="AD13" s="31"/>
      <c r="AE13" s="31"/>
      <c r="AF13" s="31"/>
      <c r="AG13" s="31"/>
    </row>
    <row r="14" spans="1:33" x14ac:dyDescent="0.25">
      <c r="A14" s="458">
        <v>0</v>
      </c>
      <c r="B14">
        <v>6.1078000000000001</v>
      </c>
      <c r="C14" s="475">
        <f>6.107799961+A14*(0.4436518521+A14*(0.01428945805+A14*(0.0002650648471+A14*(0.000003031240396+A14*(0.00000002034080948+A14*6.136820929E-11)))))</f>
        <v>6.1077999609999996</v>
      </c>
      <c r="D14" s="37">
        <v>6.1077999609999996</v>
      </c>
      <c r="E14" s="476">
        <f t="shared" ref="E14:E23" si="1">(C14-B14)/B14</f>
        <v>-6.3852779335176676E-9</v>
      </c>
      <c r="F14" s="477" t="s">
        <v>457</v>
      </c>
      <c r="G14" s="478">
        <f t="shared" ref="G14:G24" si="2">6.1078*EXP((($H$5-273*$H$6)/$H$7)*((1/273)-(1/(A14+273)))+($H$6/$H$7)*LN((A14+273)/273))</f>
        <v>6.1078000000000001</v>
      </c>
      <c r="H14" s="424">
        <f t="shared" ref="H14:H23" si="3">(+G14-C14)/C14</f>
        <v>6.3852779742894422E-9</v>
      </c>
      <c r="I14" s="424">
        <v>0</v>
      </c>
      <c r="L14" s="431"/>
      <c r="M14" s="457">
        <v>10</v>
      </c>
      <c r="N14" s="457">
        <v>9.1999999999999993</v>
      </c>
      <c r="O14" s="457">
        <f t="shared" si="0"/>
        <v>12.265657894736842</v>
      </c>
      <c r="X14" s="459"/>
      <c r="Y14" s="465"/>
      <c r="Z14" s="459"/>
      <c r="AA14" s="458"/>
    </row>
    <row r="15" spans="1:33" x14ac:dyDescent="0.25">
      <c r="A15" s="458">
        <f>+A14+5</f>
        <v>5</v>
      </c>
      <c r="B15">
        <v>8.71922</v>
      </c>
      <c r="C15" s="479">
        <f t="shared" ref="C15:C24" si="4">6.107799961+A15*(0.4436518521+A15*(0.01428945805+A15*(0.0002650648471+A15*(0.000003031240396+A15*(0.00000002034080948+A15*6.136820929E-11)))))</f>
        <v>8.7183878277928955</v>
      </c>
      <c r="D15" s="480">
        <v>8.7183878277928955</v>
      </c>
      <c r="E15" s="481">
        <f t="shared" si="1"/>
        <v>-9.5441129723131213E-5</v>
      </c>
      <c r="F15" s="482">
        <f t="shared" ref="F15:F23" si="5">+E15/I15</f>
        <v>-0.77549229175413059</v>
      </c>
      <c r="G15" s="483">
        <f t="shared" si="2"/>
        <v>8.7202930889474377</v>
      </c>
      <c r="H15" s="484">
        <f t="shared" si="3"/>
        <v>2.1853365463607577E-4</v>
      </c>
      <c r="I15" s="484">
        <f t="shared" ref="I15:I23" si="6">(+G15-B15)/B15</f>
        <v>1.2307166781406356E-4</v>
      </c>
      <c r="L15" s="431"/>
      <c r="M15" s="457">
        <v>11</v>
      </c>
      <c r="N15" s="457">
        <v>9.8000000000000007</v>
      </c>
      <c r="O15" s="457">
        <f t="shared" si="0"/>
        <v>13.065592105263159</v>
      </c>
      <c r="W15" s="14"/>
      <c r="X15" s="459"/>
      <c r="Y15" s="465"/>
      <c r="Z15" s="459"/>
      <c r="AA15" s="458"/>
    </row>
    <row r="16" spans="1:33" x14ac:dyDescent="0.25">
      <c r="A16" s="458">
        <f t="shared" ref="A16:A24" si="7">+A15+5</f>
        <v>10</v>
      </c>
      <c r="B16">
        <v>12.2723</v>
      </c>
      <c r="C16" s="475">
        <f t="shared" si="4"/>
        <v>12.27073698721729</v>
      </c>
      <c r="D16" s="37">
        <v>12.27073698721729</v>
      </c>
      <c r="E16" s="481">
        <f t="shared" si="1"/>
        <v>-1.2736103116034439E-4</v>
      </c>
      <c r="F16" s="482">
        <f t="shared" si="5"/>
        <v>-0.53656263251754244</v>
      </c>
      <c r="G16" s="478">
        <f t="shared" si="2"/>
        <v>12.27521301087326</v>
      </c>
      <c r="H16" s="484">
        <f t="shared" si="3"/>
        <v>3.6477219425636563E-4</v>
      </c>
      <c r="I16" s="484">
        <f t="shared" si="6"/>
        <v>2.3736470533322211E-4</v>
      </c>
      <c r="L16" s="431"/>
      <c r="M16" s="457">
        <v>12</v>
      </c>
      <c r="N16" s="457">
        <v>10.5</v>
      </c>
      <c r="O16" s="457">
        <f t="shared" si="0"/>
        <v>13.998848684210527</v>
      </c>
      <c r="T16" s="457">
        <v>40</v>
      </c>
      <c r="U16" s="457">
        <v>55.3</v>
      </c>
      <c r="V16" s="457">
        <f t="shared" ref="V16:V37" si="8">+U16*V$90/U$90</f>
        <v>73.727269736842103</v>
      </c>
      <c r="X16" s="459">
        <f t="shared" ref="X16:X79" si="9">+X$3+X$4*T16+X$5*T16^2+X$6*T16^3</f>
        <v>64.61451225647312</v>
      </c>
      <c r="Y16" s="465"/>
      <c r="Z16" s="485">
        <f t="shared" ref="Z16:Z25" si="10">+(X16-V16)/V16</f>
        <v>-0.12360090795299404</v>
      </c>
      <c r="AA16" s="486">
        <f t="shared" ref="AA16:AA24" si="11">+E15</f>
        <v>-9.5441129723131213E-5</v>
      </c>
      <c r="AC16" s="15">
        <f>IF(T16&lt;62.276,6.107799961+T16*(0.4436518521+T16*(0.01428945805+T16*(0.0002650648471+T16*(0.000003031240396+T16*(0.00000002034080948+T16*6.136820929E-11))))),-296.901212123675+16.9015967001546*T16-0.302242100380422*T16^2+0.00264123776535373*T16^3)</f>
        <v>73.775395629163839</v>
      </c>
    </row>
    <row r="17" spans="1:30" x14ac:dyDescent="0.25">
      <c r="A17" s="458">
        <f t="shared" si="7"/>
        <v>15</v>
      </c>
      <c r="B17">
        <v>17.043800000000001</v>
      </c>
      <c r="C17" s="475">
        <f t="shared" si="4"/>
        <v>17.041901532217821</v>
      </c>
      <c r="D17" s="37">
        <v>17.041901532217821</v>
      </c>
      <c r="E17" s="481">
        <f t="shared" si="1"/>
        <v>-1.1138758857648151E-4</v>
      </c>
      <c r="F17" s="482">
        <f t="shared" si="5"/>
        <v>-0.33508650504644211</v>
      </c>
      <c r="G17" s="478">
        <f t="shared" si="2"/>
        <v>17.049465605011211</v>
      </c>
      <c r="H17" s="484">
        <f t="shared" si="3"/>
        <v>4.4385145513776828E-4</v>
      </c>
      <c r="I17" s="484">
        <f t="shared" si="6"/>
        <v>3.3241442701801281E-4</v>
      </c>
      <c r="L17" s="431"/>
      <c r="M17" s="457">
        <v>13</v>
      </c>
      <c r="N17" s="457">
        <v>11.2</v>
      </c>
      <c r="O17" s="457">
        <f t="shared" si="0"/>
        <v>14.932105263157894</v>
      </c>
      <c r="T17" s="457">
        <v>41</v>
      </c>
      <c r="U17" s="457">
        <v>58.3</v>
      </c>
      <c r="V17" s="457">
        <f t="shared" si="8"/>
        <v>77.726940789473687</v>
      </c>
      <c r="W17" s="15"/>
      <c r="X17" s="459">
        <f t="shared" si="9"/>
        <v>70.032029869119242</v>
      </c>
      <c r="Y17" s="465"/>
      <c r="Z17" s="485">
        <f t="shared" si="10"/>
        <v>-9.8999276726925323E-2</v>
      </c>
      <c r="AA17" s="486">
        <f t="shared" si="11"/>
        <v>-1.2736103116034439E-4</v>
      </c>
      <c r="AC17" s="15">
        <f t="shared" ref="AC17:AC80" si="12">IF(T17&lt;62.276,6.107799961+T17*(0.4436518521+T17*(0.01428945805+T17*(0.0002650648471+T17*(0.000003031240396+T17*(0.00000002034080948+T17*6.136820929E-11))))),-296.901212123675+16.9015967001546*T17-0.302242100380422*T17^2+0.00264123776535373*T17^3)</f>
        <v>77.800314401599039</v>
      </c>
    </row>
    <row r="18" spans="1:30" x14ac:dyDescent="0.25">
      <c r="A18" s="458">
        <f t="shared" si="7"/>
        <v>20</v>
      </c>
      <c r="B18">
        <v>23.373000000000001</v>
      </c>
      <c r="C18" s="475">
        <f t="shared" si="4"/>
        <v>23.371155618890562</v>
      </c>
      <c r="D18" s="37">
        <v>23.371155618890562</v>
      </c>
      <c r="E18" s="487">
        <f t="shared" si="1"/>
        <v>-7.8910756404368152E-5</v>
      </c>
      <c r="F18" s="482">
        <f t="shared" si="5"/>
        <v>-0.20055108735417757</v>
      </c>
      <c r="G18" s="478">
        <f t="shared" si="2"/>
        <v>23.382196564993848</v>
      </c>
      <c r="H18" s="484">
        <f t="shared" si="3"/>
        <v>4.7241763665129341E-4</v>
      </c>
      <c r="I18" s="484">
        <f t="shared" si="6"/>
        <v>3.9346960141387836E-4</v>
      </c>
      <c r="L18" s="431"/>
      <c r="M18" s="457">
        <v>14</v>
      </c>
      <c r="N18" s="457">
        <v>12</v>
      </c>
      <c r="O18" s="457">
        <f t="shared" si="0"/>
        <v>15.998684210526315</v>
      </c>
      <c r="T18" s="457">
        <v>42</v>
      </c>
      <c r="U18" s="457">
        <v>61.5</v>
      </c>
      <c r="V18" s="457">
        <f t="shared" si="8"/>
        <v>81.993256578947367</v>
      </c>
      <c r="W18" s="15"/>
      <c r="X18" s="459">
        <f t="shared" si="9"/>
        <v>75.494807771281529</v>
      </c>
      <c r="Y18" s="465"/>
      <c r="Z18" s="485">
        <f t="shared" si="10"/>
        <v>-7.9255893457638116E-2</v>
      </c>
      <c r="AA18" s="486">
        <f t="shared" si="11"/>
        <v>-1.1138758857648151E-4</v>
      </c>
      <c r="AC18" s="15">
        <f t="shared" si="12"/>
        <v>82.013422256300132</v>
      </c>
    </row>
    <row r="19" spans="1:30" x14ac:dyDescent="0.25">
      <c r="A19" s="458">
        <f t="shared" si="7"/>
        <v>25</v>
      </c>
      <c r="B19">
        <v>31.6709</v>
      </c>
      <c r="C19" s="475">
        <f t="shared" si="4"/>
        <v>31.669347250924311</v>
      </c>
      <c r="D19" s="37">
        <v>31.669347250924311</v>
      </c>
      <c r="E19" s="487">
        <f t="shared" si="1"/>
        <v>-4.9027627117916085E-5</v>
      </c>
      <c r="F19" s="482">
        <f t="shared" si="5"/>
        <v>-0.11817103101331232</v>
      </c>
      <c r="G19" s="478">
        <f t="shared" si="2"/>
        <v>31.684039845378127</v>
      </c>
      <c r="H19" s="484">
        <f t="shared" si="3"/>
        <v>4.6393739464861488E-4</v>
      </c>
      <c r="I19" s="484">
        <f t="shared" si="6"/>
        <v>4.1488702178110791E-4</v>
      </c>
      <c r="L19" s="431"/>
      <c r="M19" s="457">
        <v>15</v>
      </c>
      <c r="N19" s="457">
        <v>12.8</v>
      </c>
      <c r="O19" s="457">
        <f t="shared" si="0"/>
        <v>17.065263157894737</v>
      </c>
      <c r="T19" s="457">
        <v>43</v>
      </c>
      <c r="U19" s="457">
        <v>64.8</v>
      </c>
      <c r="V19" s="457">
        <f t="shared" si="8"/>
        <v>86.392894736842095</v>
      </c>
      <c r="W19" s="15"/>
      <c r="X19" s="459">
        <f t="shared" si="9"/>
        <v>81.018693389552169</v>
      </c>
      <c r="Y19" s="465"/>
      <c r="Z19" s="485">
        <f t="shared" si="10"/>
        <v>-6.2206520150297817E-2</v>
      </c>
      <c r="AA19" s="486">
        <f t="shared" si="11"/>
        <v>-7.8910756404368152E-5</v>
      </c>
      <c r="AC19" s="15">
        <f t="shared" si="12"/>
        <v>86.42195749281845</v>
      </c>
    </row>
    <row r="20" spans="1:30" x14ac:dyDescent="0.25">
      <c r="A20" s="458">
        <f t="shared" si="7"/>
        <v>30</v>
      </c>
      <c r="B20">
        <v>42.430399999999999</v>
      </c>
      <c r="C20" s="475">
        <f t="shared" si="4"/>
        <v>42.428942456396413</v>
      </c>
      <c r="D20" s="37">
        <v>42.428942456396413</v>
      </c>
      <c r="E20" s="487">
        <f t="shared" si="1"/>
        <v>-3.4351399081449165E-5</v>
      </c>
      <c r="F20" s="482">
        <f t="shared" si="5"/>
        <v>-8.8823898731893794E-2</v>
      </c>
      <c r="G20" s="478">
        <f t="shared" si="2"/>
        <v>42.44680936307001</v>
      </c>
      <c r="H20" s="484">
        <f t="shared" si="3"/>
        <v>4.2110186205932221E-4</v>
      </c>
      <c r="I20" s="484">
        <f t="shared" si="6"/>
        <v>3.8673599753975547E-4</v>
      </c>
      <c r="L20" s="431"/>
      <c r="M20" s="457">
        <v>16</v>
      </c>
      <c r="N20" s="457">
        <v>13.6</v>
      </c>
      <c r="O20" s="457">
        <f t="shared" si="0"/>
        <v>18.131842105263157</v>
      </c>
      <c r="T20" s="457">
        <v>44</v>
      </c>
      <c r="U20" s="457">
        <v>68.3</v>
      </c>
      <c r="V20" s="457">
        <f t="shared" si="8"/>
        <v>91.059177631578933</v>
      </c>
      <c r="W20" s="15"/>
      <c r="X20" s="459">
        <f t="shared" si="9"/>
        <v>86.619534150523151</v>
      </c>
      <c r="Y20" s="465"/>
      <c r="Z20" s="485">
        <f t="shared" si="10"/>
        <v>-4.8755585065992653E-2</v>
      </c>
      <c r="AA20" s="486">
        <f t="shared" si="11"/>
        <v>-4.9027627117916085E-5</v>
      </c>
      <c r="AC20" s="15">
        <f t="shared" si="12"/>
        <v>91.033372656786355</v>
      </c>
    </row>
    <row r="21" spans="1:30" x14ac:dyDescent="0.25">
      <c r="A21" s="458">
        <f t="shared" si="7"/>
        <v>35</v>
      </c>
      <c r="B21">
        <v>56.236600000000003</v>
      </c>
      <c r="C21" s="475">
        <f t="shared" si="4"/>
        <v>56.234759856922992</v>
      </c>
      <c r="D21" s="37">
        <v>56.234759856922992</v>
      </c>
      <c r="E21" s="487">
        <f t="shared" si="1"/>
        <v>-3.2721449678878017E-5</v>
      </c>
      <c r="F21" s="482">
        <f t="shared" si="5"/>
        <v>-0.10885177302290482</v>
      </c>
      <c r="G21" s="478">
        <f t="shared" si="2"/>
        <v>56.253505035406491</v>
      </c>
      <c r="H21" s="484">
        <f t="shared" si="3"/>
        <v>3.3333793068899198E-4</v>
      </c>
      <c r="I21" s="484">
        <f t="shared" si="6"/>
        <v>3.0060557370978884E-4</v>
      </c>
      <c r="L21" s="431"/>
      <c r="M21" s="457">
        <v>17</v>
      </c>
      <c r="N21" s="457">
        <v>14.5</v>
      </c>
      <c r="O21" s="457">
        <f t="shared" si="0"/>
        <v>19.331743421052632</v>
      </c>
      <c r="T21" s="457">
        <v>45</v>
      </c>
      <c r="U21" s="457">
        <v>71.900000000000006</v>
      </c>
      <c r="V21" s="457">
        <f t="shared" si="8"/>
        <v>95.858782894736848</v>
      </c>
      <c r="W21" s="15"/>
      <c r="X21" s="459">
        <f t="shared" si="9"/>
        <v>92.313177480786607</v>
      </c>
      <c r="Y21" s="465"/>
      <c r="Z21" s="485">
        <f t="shared" si="10"/>
        <v>-3.6987799207128406E-2</v>
      </c>
      <c r="AA21" s="486">
        <f t="shared" si="11"/>
        <v>-3.4351399081449165E-5</v>
      </c>
      <c r="AC21" s="15">
        <f t="shared" si="12"/>
        <v>95.855338858681733</v>
      </c>
    </row>
    <row r="22" spans="1:30" x14ac:dyDescent="0.25">
      <c r="A22" s="458">
        <f t="shared" si="7"/>
        <v>40</v>
      </c>
      <c r="B22">
        <v>73.777500000000003</v>
      </c>
      <c r="C22" s="475">
        <f t="shared" si="4"/>
        <v>73.775395629163839</v>
      </c>
      <c r="D22" s="37">
        <v>73.775395629163839</v>
      </c>
      <c r="E22" s="487">
        <f t="shared" si="1"/>
        <v>-2.8523206074542353E-5</v>
      </c>
      <c r="F22" s="482">
        <f t="shared" si="5"/>
        <v>-0.19152487360865139</v>
      </c>
      <c r="G22" s="478">
        <f t="shared" si="2"/>
        <v>73.788487454509252</v>
      </c>
      <c r="H22" s="484">
        <f t="shared" si="3"/>
        <v>1.7745516962348041E-4</v>
      </c>
      <c r="I22" s="484">
        <f t="shared" si="6"/>
        <v>1.489269019585659E-4</v>
      </c>
      <c r="L22" s="431"/>
      <c r="M22" s="457">
        <v>18</v>
      </c>
      <c r="N22" s="457">
        <v>15.5</v>
      </c>
      <c r="O22" s="457">
        <f t="shared" si="0"/>
        <v>20.664967105263159</v>
      </c>
      <c r="T22" s="457">
        <v>46</v>
      </c>
      <c r="U22" s="457">
        <v>75.7</v>
      </c>
      <c r="V22" s="457">
        <f t="shared" si="8"/>
        <v>100.92503289473686</v>
      </c>
      <c r="W22" s="15"/>
      <c r="X22" s="459">
        <f t="shared" si="9"/>
        <v>98.115470806934866</v>
      </c>
      <c r="Y22" s="465"/>
      <c r="Z22" s="485">
        <f t="shared" si="10"/>
        <v>-2.7838109210549574E-2</v>
      </c>
      <c r="AA22" s="486">
        <f t="shared" si="11"/>
        <v>-3.2721449678878017E-5</v>
      </c>
      <c r="AC22" s="15">
        <f t="shared" si="12"/>
        <v>100.89575013677731</v>
      </c>
    </row>
    <row r="23" spans="1:30" x14ac:dyDescent="0.25">
      <c r="A23" s="458">
        <f t="shared" si="7"/>
        <v>45</v>
      </c>
      <c r="B23">
        <v>95.854799999999997</v>
      </c>
      <c r="C23" s="475">
        <f t="shared" si="4"/>
        <v>95.855338858681733</v>
      </c>
      <c r="D23" s="37">
        <v>95.855338858681733</v>
      </c>
      <c r="E23" s="487">
        <f t="shared" si="1"/>
        <v>5.6216139591975306E-6</v>
      </c>
      <c r="F23" s="482">
        <f t="shared" si="5"/>
        <v>-7.5493767994184696E-2</v>
      </c>
      <c r="G23" s="478">
        <f t="shared" si="2"/>
        <v>95.847662209741898</v>
      </c>
      <c r="H23" s="488">
        <f t="shared" si="3"/>
        <v>-8.0085773325081045E-5</v>
      </c>
      <c r="I23" s="484">
        <f t="shared" si="6"/>
        <v>-7.4464609577184774E-5</v>
      </c>
      <c r="L23" s="431"/>
      <c r="M23" s="457">
        <v>19</v>
      </c>
      <c r="N23" s="457">
        <v>16.5</v>
      </c>
      <c r="O23" s="457">
        <f t="shared" si="0"/>
        <v>21.998190789473686</v>
      </c>
      <c r="T23" s="457">
        <v>47</v>
      </c>
      <c r="U23" s="457">
        <v>79.599999999999994</v>
      </c>
      <c r="V23" s="457">
        <f t="shared" si="8"/>
        <v>106.12460526315789</v>
      </c>
      <c r="W23" s="15"/>
      <c r="X23" s="459">
        <f t="shared" si="9"/>
        <v>104.04226155555989</v>
      </c>
      <c r="Y23" s="465"/>
      <c r="Z23" s="485">
        <f t="shared" si="10"/>
        <v>-1.9621686247354213E-2</v>
      </c>
      <c r="AA23" s="486">
        <f t="shared" si="11"/>
        <v>-2.8523206074542353E-5</v>
      </c>
      <c r="AC23" s="15">
        <f t="shared" si="12"/>
        <v>106.16272786427528</v>
      </c>
    </row>
    <row r="24" spans="1:30" x14ac:dyDescent="0.25">
      <c r="A24" s="458">
        <f t="shared" si="7"/>
        <v>50</v>
      </c>
      <c r="B24">
        <v>123.4</v>
      </c>
      <c r="C24" s="475">
        <f t="shared" si="4"/>
        <v>123.40777728615625</v>
      </c>
      <c r="D24" s="438">
        <v>123.40777728615625</v>
      </c>
      <c r="E24" s="487">
        <f>(C24-B24)/B24</f>
        <v>6.3025009369861007E-5</v>
      </c>
      <c r="F24" s="482">
        <f>+E24/I24</f>
        <v>-0.15103127485611409</v>
      </c>
      <c r="G24" s="478">
        <f t="shared" si="2"/>
        <v>123.3485054591266</v>
      </c>
      <c r="H24" s="488">
        <f>(+G24-C24)/C24</f>
        <v>-4.8029247696608772E-4</v>
      </c>
      <c r="I24" s="484">
        <f>(+G24-B24)/B24</f>
        <v>-4.172977380340878E-4</v>
      </c>
      <c r="L24" s="431"/>
      <c r="M24" s="457">
        <v>20</v>
      </c>
      <c r="N24" s="457">
        <v>17.5</v>
      </c>
      <c r="O24" s="457">
        <f t="shared" si="0"/>
        <v>23.331414473684209</v>
      </c>
      <c r="Q24" s="470"/>
      <c r="T24" s="457">
        <v>48</v>
      </c>
      <c r="U24" s="457">
        <v>83.7</v>
      </c>
      <c r="V24" s="457">
        <f t="shared" si="8"/>
        <v>111.59082236842106</v>
      </c>
      <c r="W24" s="15"/>
      <c r="X24" s="459">
        <f t="shared" si="9"/>
        <v>110.10939715325372</v>
      </c>
      <c r="Y24" s="465"/>
      <c r="Z24" s="485">
        <f t="shared" si="10"/>
        <v>-1.3275511226867353E-2</v>
      </c>
      <c r="AA24" s="486">
        <f t="shared" si="11"/>
        <v>5.6216139591975306E-6</v>
      </c>
      <c r="AC24" s="15">
        <f t="shared" si="12"/>
        <v>111.66462520062699</v>
      </c>
    </row>
    <row r="25" spans="1:30" ht="52" x14ac:dyDescent="0.3">
      <c r="B25" s="489" t="s">
        <v>140</v>
      </c>
      <c r="C25" s="471" t="s">
        <v>458</v>
      </c>
      <c r="E25" s="30" t="s">
        <v>459</v>
      </c>
      <c r="L25" s="431"/>
      <c r="M25" s="457">
        <v>21</v>
      </c>
      <c r="N25" s="457">
        <v>18.7</v>
      </c>
      <c r="O25" s="457">
        <f t="shared" si="0"/>
        <v>24.931282894736839</v>
      </c>
      <c r="T25" s="457">
        <v>49</v>
      </c>
      <c r="U25" s="457">
        <v>88</v>
      </c>
      <c r="V25" s="457">
        <f t="shared" si="8"/>
        <v>117.32368421052631</v>
      </c>
      <c r="X25" s="459">
        <f t="shared" si="9"/>
        <v>116.33272502660878</v>
      </c>
      <c r="Y25" s="465">
        <f>(X25-V25)^2</f>
        <v>0.982000104190487</v>
      </c>
      <c r="Z25" s="485">
        <f t="shared" si="10"/>
        <v>-8.4463694656855635E-3</v>
      </c>
      <c r="AA25" s="486">
        <f>+E24</f>
        <v>6.3025009369861007E-5</v>
      </c>
      <c r="AC25" s="15">
        <f t="shared" si="12"/>
        <v>117.41003158703761</v>
      </c>
    </row>
    <row r="26" spans="1:30" x14ac:dyDescent="0.25">
      <c r="A26" s="458">
        <v>51</v>
      </c>
      <c r="B26" s="490">
        <f>VLOOKUP(A26,M$4:O$104,3,0)</f>
        <v>129.58934210526317</v>
      </c>
      <c r="C26" s="475">
        <f>6.107799961+A26*(0.4436518521+A26*(0.01428945805+A26*(0.0002650648471+A26*(0.000003031240396+A26*(0.00000002034080948+A26*6.136820929E-11)))))</f>
        <v>129.66693796595072</v>
      </c>
      <c r="E26" s="487">
        <f>(C26-B26)/B26</f>
        <v>5.9878273496073622E-4</v>
      </c>
      <c r="F26" s="482"/>
      <c r="G26" s="478">
        <f t="shared" ref="G26:G57" si="13">6.1078*EXP((($H$5-273*$H$6)/$H$7)*((1/273)-(1/(A26+273)))+($H$6/$H$7)*LN((A26+273)/273))</f>
        <v>129.59154765910668</v>
      </c>
      <c r="H26" s="488">
        <f>(+G26-C26)/C26</f>
        <v>-5.8141503167013174E-4</v>
      </c>
      <c r="I26" s="484"/>
      <c r="L26" s="431"/>
      <c r="M26" s="457">
        <v>22</v>
      </c>
      <c r="N26" s="457">
        <v>19.8</v>
      </c>
      <c r="O26" s="457">
        <f t="shared" si="0"/>
        <v>26.397828947368424</v>
      </c>
      <c r="Q26" s="470"/>
      <c r="R26" s="470"/>
      <c r="T26" s="457">
        <v>50</v>
      </c>
      <c r="U26" s="457">
        <v>92.5</v>
      </c>
      <c r="V26" s="457">
        <f t="shared" si="8"/>
        <v>123.32319078947368</v>
      </c>
      <c r="X26" s="459">
        <f t="shared" si="9"/>
        <v>122.7280926022168</v>
      </c>
      <c r="Y26" s="465">
        <f>(X26-V26)^2</f>
        <v>0.35414185247642505</v>
      </c>
      <c r="Z26" s="485">
        <f>+(X26-V26)/V26</f>
        <v>-4.8255172725199654E-3</v>
      </c>
      <c r="AA26" s="486">
        <f t="shared" ref="AA26:AA37" si="14">+E26</f>
        <v>5.9878273496073622E-4</v>
      </c>
      <c r="AC26" s="15">
        <f t="shared" si="12"/>
        <v>123.40777728615625</v>
      </c>
      <c r="AD26" s="470"/>
    </row>
    <row r="27" spans="1:30" x14ac:dyDescent="0.25">
      <c r="A27" s="458">
        <f>+A26+1</f>
        <v>52</v>
      </c>
      <c r="B27" s="490">
        <f>VLOOKUP(A27,M$4:O$104,3,0)</f>
        <v>136.12213815789474</v>
      </c>
      <c r="C27" s="475">
        <f>6.107799961+A27*(0.4436518521+A27*(0.01428945805+A27*(0.0002650648471+A27*(0.000003031240396+A27*(0.00000002034080948+A27*6.136820929E-11)))))</f>
        <v>136.1968393277678</v>
      </c>
      <c r="D27" s="438"/>
      <c r="E27" s="487">
        <f>(C27-B27)/B27</f>
        <v>5.4878046204663946E-4</v>
      </c>
      <c r="F27" s="482"/>
      <c r="G27" s="478">
        <f t="shared" si="13"/>
        <v>136.1028035722903</v>
      </c>
      <c r="H27" s="488">
        <f>(+G27-C27)/C27</f>
        <v>-6.904400714557125E-4</v>
      </c>
      <c r="I27" s="484"/>
      <c r="L27" s="431"/>
      <c r="M27" s="457">
        <v>23</v>
      </c>
      <c r="N27" s="457">
        <v>21.1</v>
      </c>
      <c r="O27" s="457">
        <f t="shared" si="0"/>
        <v>28.131019736842106</v>
      </c>
      <c r="Q27" s="470"/>
      <c r="R27" s="470"/>
      <c r="T27" s="457">
        <v>51</v>
      </c>
      <c r="U27" s="457">
        <v>97.2</v>
      </c>
      <c r="V27" s="457">
        <f t="shared" si="8"/>
        <v>129.58934210526317</v>
      </c>
      <c r="X27" s="459">
        <f t="shared" si="9"/>
        <v>129.31134730667014</v>
      </c>
      <c r="Y27" s="465">
        <f t="shared" ref="Y27:Y37" si="15">(X27-V27)^2</f>
        <v>7.7281108044778085E-2</v>
      </c>
      <c r="Z27" s="485">
        <f t="shared" ref="Z27:Z37" si="16">+(X27-V27)/V27</f>
        <v>-2.1451980083919049E-3</v>
      </c>
      <c r="AA27" s="486">
        <f t="shared" si="14"/>
        <v>5.4878046204663946E-4</v>
      </c>
      <c r="AC27" s="15">
        <f t="shared" si="12"/>
        <v>129.66693796595072</v>
      </c>
      <c r="AD27" s="470"/>
    </row>
    <row r="28" spans="1:30" x14ac:dyDescent="0.25">
      <c r="A28" s="458">
        <f t="shared" ref="A28:A75" si="17">+A27+1</f>
        <v>53</v>
      </c>
      <c r="B28" s="490">
        <f t="shared" ref="B28:B75" si="18">VLOOKUP(A28,M$4:O$104,3,0)</f>
        <v>142.92157894736843</v>
      </c>
      <c r="C28" s="475">
        <f t="shared" ref="C28:C75" si="19">6.107799961+A28*(0.4436518521+A28*(0.01428945805+A28*(0.0002650648471+A28*(0.000003031240396+A28*(0.00000002034080948+A28*6.136820929E-11)))))</f>
        <v>143.00706177857847</v>
      </c>
      <c r="D28" s="438"/>
      <c r="E28" s="487">
        <f t="shared" ref="E28:E75" si="20">(C28-B28)/B28</f>
        <v>5.9811003936307769E-4</v>
      </c>
      <c r="F28" s="482"/>
      <c r="G28" s="478">
        <f t="shared" si="13"/>
        <v>142.89154802354764</v>
      </c>
      <c r="H28" s="488">
        <f t="shared" ref="H28:H75" si="21">(+G28-C28)/C28</f>
        <v>-8.0774860761551363E-4</v>
      </c>
      <c r="I28" s="484"/>
      <c r="L28" s="431"/>
      <c r="M28" s="457">
        <v>24</v>
      </c>
      <c r="N28" s="457">
        <v>22.4</v>
      </c>
      <c r="O28" s="457">
        <f t="shared" si="0"/>
        <v>29.864210526315787</v>
      </c>
      <c r="Q28" s="470"/>
      <c r="R28" s="470"/>
      <c r="T28" s="457">
        <v>52</v>
      </c>
      <c r="U28" s="457">
        <v>102.1</v>
      </c>
      <c r="V28" s="457">
        <f t="shared" si="8"/>
        <v>136.12213815789474</v>
      </c>
      <c r="X28" s="459">
        <f t="shared" si="9"/>
        <v>136.09833656656082</v>
      </c>
      <c r="Y28" s="465">
        <f t="shared" si="15"/>
        <v>5.6651575002698916E-4</v>
      </c>
      <c r="Z28" s="485">
        <f t="shared" si="16"/>
        <v>-1.7485466843249621E-4</v>
      </c>
      <c r="AA28" s="486">
        <f t="shared" si="14"/>
        <v>5.9811003936307769E-4</v>
      </c>
      <c r="AC28" s="15">
        <f t="shared" si="12"/>
        <v>136.1968393277678</v>
      </c>
      <c r="AD28" s="470"/>
    </row>
    <row r="29" spans="1:30" x14ac:dyDescent="0.25">
      <c r="A29" s="458">
        <f t="shared" si="17"/>
        <v>54</v>
      </c>
      <c r="B29" s="490">
        <f t="shared" si="18"/>
        <v>149.98766447368422</v>
      </c>
      <c r="C29" s="475">
        <f t="shared" si="19"/>
        <v>150.1074451474081</v>
      </c>
      <c r="D29" s="438"/>
      <c r="E29" s="487">
        <f t="shared" si="20"/>
        <v>7.9860349945576066E-4</v>
      </c>
      <c r="F29" s="482"/>
      <c r="G29" s="478">
        <f t="shared" si="13"/>
        <v>149.96728633860539</v>
      </c>
      <c r="H29" s="488">
        <f t="shared" si="21"/>
        <v>-9.3372323181619224E-4</v>
      </c>
      <c r="I29" s="484"/>
      <c r="L29" s="431"/>
      <c r="M29" s="457">
        <v>25</v>
      </c>
      <c r="N29" s="457">
        <v>23.8</v>
      </c>
      <c r="O29" s="457">
        <f t="shared" si="0"/>
        <v>31.730723684210528</v>
      </c>
      <c r="Q29" s="470"/>
      <c r="R29" s="470"/>
      <c r="T29" s="457">
        <v>53</v>
      </c>
      <c r="U29" s="457">
        <v>107.2</v>
      </c>
      <c r="V29" s="457">
        <f t="shared" si="8"/>
        <v>142.92157894736843</v>
      </c>
      <c r="X29" s="459">
        <f t="shared" si="9"/>
        <v>143.10490780848119</v>
      </c>
      <c r="Y29" s="465">
        <f t="shared" si="15"/>
        <v>3.3609471316900071E-2</v>
      </c>
      <c r="Z29" s="485">
        <f t="shared" si="16"/>
        <v>1.2827234520006768E-3</v>
      </c>
      <c r="AA29" s="486">
        <f t="shared" si="14"/>
        <v>7.9860349945576066E-4</v>
      </c>
      <c r="AC29" s="15">
        <f t="shared" si="12"/>
        <v>143.00706177857847</v>
      </c>
      <c r="AD29" s="470"/>
    </row>
    <row r="30" spans="1:30" x14ac:dyDescent="0.25">
      <c r="A30" s="458">
        <f t="shared" si="17"/>
        <v>55</v>
      </c>
      <c r="B30" s="490">
        <f t="shared" si="18"/>
        <v>157.3203947368421</v>
      </c>
      <c r="C30" s="475">
        <f t="shared" si="19"/>
        <v>157.50809344595217</v>
      </c>
      <c r="D30" s="438"/>
      <c r="E30" s="487">
        <f t="shared" si="20"/>
        <v>1.1930983864109875E-3</v>
      </c>
      <c r="F30" s="482"/>
      <c r="G30" s="478">
        <f t="shared" si="13"/>
        <v>157.33975707695751</v>
      </c>
      <c r="H30" s="488">
        <f t="shared" si="21"/>
        <v>-1.0687474231438293E-3</v>
      </c>
      <c r="I30" s="484"/>
      <c r="L30" s="431"/>
      <c r="M30" s="457">
        <v>26</v>
      </c>
      <c r="N30" s="457">
        <v>25.2</v>
      </c>
      <c r="O30" s="457">
        <f t="shared" si="0"/>
        <v>33.597236842105261</v>
      </c>
      <c r="Q30" s="470"/>
      <c r="R30" s="470"/>
      <c r="T30" s="457">
        <v>54</v>
      </c>
      <c r="U30" s="457">
        <v>112.5</v>
      </c>
      <c r="V30" s="457">
        <f t="shared" si="8"/>
        <v>149.98766447368422</v>
      </c>
      <c r="X30" s="459">
        <f t="shared" si="9"/>
        <v>150.3469084590231</v>
      </c>
      <c r="Y30" s="465">
        <f t="shared" si="15"/>
        <v>0.12905624100216018</v>
      </c>
      <c r="Z30" s="485">
        <f t="shared" si="16"/>
        <v>2.3951568723967207E-3</v>
      </c>
      <c r="AA30" s="486">
        <f t="shared" si="14"/>
        <v>1.1930983864109875E-3</v>
      </c>
      <c r="AC30" s="15">
        <f t="shared" si="12"/>
        <v>150.1074451474081</v>
      </c>
      <c r="AD30" s="470"/>
    </row>
    <row r="31" spans="1:30" x14ac:dyDescent="0.25">
      <c r="A31" s="458">
        <f t="shared" si="17"/>
        <v>56</v>
      </c>
      <c r="B31" s="490">
        <f t="shared" si="18"/>
        <v>165.05309210526315</v>
      </c>
      <c r="C31" s="475">
        <f t="shared" si="19"/>
        <v>165.21937967337647</v>
      </c>
      <c r="D31" s="438"/>
      <c r="E31" s="487">
        <f t="shared" si="20"/>
        <v>1.0074792661701137E-3</v>
      </c>
      <c r="F31" s="482"/>
      <c r="G31" s="478">
        <f t="shared" si="13"/>
        <v>165.01893471480858</v>
      </c>
      <c r="H31" s="488">
        <f t="shared" si="21"/>
        <v>-1.2132048853115587E-3</v>
      </c>
      <c r="I31" s="484"/>
      <c r="L31" s="431"/>
      <c r="M31" s="457">
        <v>27</v>
      </c>
      <c r="N31" s="457">
        <v>26.7</v>
      </c>
      <c r="O31" s="457">
        <f t="shared" si="0"/>
        <v>35.597072368421053</v>
      </c>
      <c r="Q31" s="470"/>
      <c r="R31" s="470"/>
      <c r="T31" s="457">
        <v>55</v>
      </c>
      <c r="U31" s="457">
        <v>118</v>
      </c>
      <c r="V31" s="457">
        <f t="shared" si="8"/>
        <v>157.3203947368421</v>
      </c>
      <c r="W31" s="31"/>
      <c r="X31" s="459">
        <f t="shared" si="9"/>
        <v>157.84018594477874</v>
      </c>
      <c r="Y31" s="465">
        <f t="shared" si="15"/>
        <v>0.2701828998482258</v>
      </c>
      <c r="Z31" s="485">
        <f t="shared" si="16"/>
        <v>3.3040293905066544E-3</v>
      </c>
      <c r="AA31" s="486">
        <f t="shared" si="14"/>
        <v>1.0074792661701137E-3</v>
      </c>
      <c r="AC31" s="15">
        <f t="shared" si="12"/>
        <v>157.50809344595217</v>
      </c>
      <c r="AD31" s="470"/>
    </row>
    <row r="32" spans="1:30" x14ac:dyDescent="0.25">
      <c r="A32" s="458">
        <f t="shared" si="17"/>
        <v>57</v>
      </c>
      <c r="B32" s="490">
        <f t="shared" si="18"/>
        <v>173.05243421052631</v>
      </c>
      <c r="C32" s="475">
        <f t="shared" si="19"/>
        <v>173.2519506653031</v>
      </c>
      <c r="D32" s="438"/>
      <c r="E32" s="487">
        <f t="shared" si="20"/>
        <v>1.1529248674656794E-3</v>
      </c>
      <c r="F32" s="482"/>
      <c r="G32" s="478">
        <f t="shared" si="13"/>
        <v>173.01503227595597</v>
      </c>
      <c r="H32" s="488">
        <f t="shared" si="21"/>
        <v>-1.3674789140170518E-3</v>
      </c>
      <c r="I32" s="484"/>
      <c r="L32" s="431"/>
      <c r="M32" s="457">
        <v>28</v>
      </c>
      <c r="N32" s="457">
        <v>28.3</v>
      </c>
      <c r="O32" s="457">
        <f t="shared" si="0"/>
        <v>37.7302302631579</v>
      </c>
      <c r="Q32" s="470"/>
      <c r="R32" s="470"/>
      <c r="T32" s="457">
        <v>56</v>
      </c>
      <c r="U32" s="457">
        <v>123.8</v>
      </c>
      <c r="V32" s="457">
        <f t="shared" si="8"/>
        <v>165.05309210526315</v>
      </c>
      <c r="X32" s="459">
        <f t="shared" si="9"/>
        <v>165.60058769234041</v>
      </c>
      <c r="Y32" s="465">
        <f t="shared" si="15"/>
        <v>0.29975141786907866</v>
      </c>
      <c r="Z32" s="485">
        <f t="shared" si="16"/>
        <v>3.3170877327647853E-3</v>
      </c>
      <c r="AA32" s="486">
        <f t="shared" si="14"/>
        <v>1.1529248674656794E-3</v>
      </c>
      <c r="AC32" s="15">
        <f t="shared" si="12"/>
        <v>165.21937967337647</v>
      </c>
      <c r="AD32" s="470"/>
    </row>
    <row r="33" spans="1:31" x14ac:dyDescent="0.25">
      <c r="A33" s="458">
        <f t="shared" si="17"/>
        <v>58</v>
      </c>
      <c r="B33" s="490">
        <f t="shared" si="18"/>
        <v>181.45174342105261</v>
      </c>
      <c r="C33" s="475">
        <f t="shared" si="19"/>
        <v>181.61673198698099</v>
      </c>
      <c r="D33" s="438"/>
      <c r="E33" s="487">
        <f t="shared" si="20"/>
        <v>9.0926966485812232E-4</v>
      </c>
      <c r="F33" s="482"/>
      <c r="G33" s="478">
        <f t="shared" si="13"/>
        <v>181.33850390854718</v>
      </c>
      <c r="H33" s="488">
        <f t="shared" si="21"/>
        <v>-1.5319517942529502E-3</v>
      </c>
      <c r="I33" s="484"/>
      <c r="L33" s="431"/>
      <c r="M33" s="457">
        <v>29</v>
      </c>
      <c r="N33" s="457">
        <v>30</v>
      </c>
      <c r="O33" s="457">
        <f t="shared" si="0"/>
        <v>39.996710526315788</v>
      </c>
      <c r="Q33" s="470"/>
      <c r="R33" s="470"/>
      <c r="T33" s="457">
        <v>57</v>
      </c>
      <c r="U33" s="457">
        <v>129.80000000000001</v>
      </c>
      <c r="V33" s="457">
        <f t="shared" si="8"/>
        <v>173.05243421052631</v>
      </c>
      <c r="X33" s="459">
        <f t="shared" si="9"/>
        <v>173.64396112830002</v>
      </c>
      <c r="Y33" s="465">
        <f t="shared" si="15"/>
        <v>0.34990409445086063</v>
      </c>
      <c r="Z33" s="485">
        <f t="shared" si="16"/>
        <v>3.4181947250397299E-3</v>
      </c>
      <c r="AA33" s="486">
        <f t="shared" si="14"/>
        <v>9.0926966485812232E-4</v>
      </c>
      <c r="AC33" s="15">
        <f t="shared" si="12"/>
        <v>173.2519506653031</v>
      </c>
      <c r="AD33" s="470"/>
    </row>
    <row r="34" spans="1:31" x14ac:dyDescent="0.25">
      <c r="A34" s="458">
        <f t="shared" si="17"/>
        <v>59</v>
      </c>
      <c r="B34" s="490">
        <f t="shared" si="18"/>
        <v>190.11769736842103</v>
      </c>
      <c r="C34" s="475">
        <f t="shared" si="19"/>
        <v>190.32493287064219</v>
      </c>
      <c r="D34" s="438"/>
      <c r="E34" s="487">
        <f t="shared" si="20"/>
        <v>1.0900379348670502E-3</v>
      </c>
      <c r="F34" s="482"/>
      <c r="G34" s="478">
        <f t="shared" si="13"/>
        <v>190.00004740566627</v>
      </c>
      <c r="H34" s="488">
        <f t="shared" si="21"/>
        <v>-1.7070042273270381E-3</v>
      </c>
      <c r="I34" s="484"/>
      <c r="L34" s="431"/>
      <c r="M34" s="457">
        <v>30</v>
      </c>
      <c r="N34" s="457">
        <v>31.8</v>
      </c>
      <c r="O34" s="457">
        <f t="shared" si="0"/>
        <v>42.396513157894738</v>
      </c>
      <c r="Q34" s="470"/>
      <c r="R34" s="470"/>
      <c r="T34" s="457">
        <v>58</v>
      </c>
      <c r="U34" s="457">
        <v>136.1</v>
      </c>
      <c r="V34" s="457">
        <f t="shared" si="8"/>
        <v>181.45174342105261</v>
      </c>
      <c r="X34" s="459">
        <f t="shared" si="9"/>
        <v>181.98615367924958</v>
      </c>
      <c r="Y34" s="465">
        <f t="shared" si="15"/>
        <v>0.28559432406615293</v>
      </c>
      <c r="Z34" s="485">
        <f t="shared" si="16"/>
        <v>2.9451921933695059E-3</v>
      </c>
      <c r="AA34" s="486">
        <f t="shared" si="14"/>
        <v>1.0900379348670502E-3</v>
      </c>
      <c r="AC34" s="15">
        <f t="shared" si="12"/>
        <v>181.61673198698099</v>
      </c>
      <c r="AD34" s="470"/>
    </row>
    <row r="35" spans="1:31" x14ac:dyDescent="0.25">
      <c r="A35" s="458">
        <f t="shared" si="17"/>
        <v>60</v>
      </c>
      <c r="B35" s="490">
        <f t="shared" si="18"/>
        <v>199.18361842105264</v>
      </c>
      <c r="C35" s="475">
        <f t="shared" si="19"/>
        <v>199.38805119704224</v>
      </c>
      <c r="D35" s="438"/>
      <c r="E35" s="487">
        <f t="shared" si="20"/>
        <v>1.0263533598302912E-3</v>
      </c>
      <c r="F35" s="482"/>
      <c r="G35" s="478">
        <f t="shared" si="13"/>
        <v>199.01060666774779</v>
      </c>
      <c r="H35" s="488">
        <f t="shared" si="21"/>
        <v>-1.8930147871371024E-3</v>
      </c>
      <c r="I35" s="484"/>
      <c r="L35" s="431"/>
      <c r="M35" s="457">
        <v>31</v>
      </c>
      <c r="N35" s="457">
        <v>33.700000000000003</v>
      </c>
      <c r="O35" s="457">
        <f t="shared" si="0"/>
        <v>44.929638157894736</v>
      </c>
      <c r="Q35" s="470"/>
      <c r="R35" s="470"/>
      <c r="T35" s="457">
        <v>59</v>
      </c>
      <c r="U35" s="457">
        <v>142.6</v>
      </c>
      <c r="V35" s="457">
        <f t="shared" si="8"/>
        <v>190.11769736842103</v>
      </c>
      <c r="W35" s="475">
        <f>6.107799961+T35*(0.4436518521+T35*(0.01428945805+T35*(0.0002650648471+T35*(0.000003031240396+T35*(0.00000002034080948+T35*6.136820929E-11)))))</f>
        <v>190.32493287064219</v>
      </c>
      <c r="X35" s="459">
        <f t="shared" si="9"/>
        <v>190.64301277178163</v>
      </c>
      <c r="Y35" s="465">
        <f t="shared" si="15"/>
        <v>0.27595627300790337</v>
      </c>
      <c r="Z35" s="485">
        <f t="shared" si="16"/>
        <v>2.7631062790677888E-3</v>
      </c>
      <c r="AA35" s="486">
        <f t="shared" si="14"/>
        <v>1.0263533598302912E-3</v>
      </c>
      <c r="AB35" s="10">
        <f>+W35-X35</f>
        <v>-0.31807990113944129</v>
      </c>
      <c r="AC35" s="15">
        <f t="shared" si="12"/>
        <v>190.32493287064219</v>
      </c>
      <c r="AD35" s="491">
        <f>+AC35-W35</f>
        <v>0</v>
      </c>
      <c r="AE35" s="492">
        <f>+AC35-X35</f>
        <v>-0.31807990113944129</v>
      </c>
    </row>
    <row r="36" spans="1:31" x14ac:dyDescent="0.25">
      <c r="A36" s="458">
        <f t="shared" si="17"/>
        <v>61</v>
      </c>
      <c r="B36" s="490">
        <f t="shared" si="18"/>
        <v>208.51618421052635</v>
      </c>
      <c r="C36" s="475">
        <f t="shared" si="19"/>
        <v>208.81787852118686</v>
      </c>
      <c r="D36" s="438"/>
      <c r="E36" s="487">
        <f t="shared" si="20"/>
        <v>1.4468628025338579E-3</v>
      </c>
      <c r="F36" s="482"/>
      <c r="G36" s="478">
        <f t="shared" si="13"/>
        <v>208.38137410483114</v>
      </c>
      <c r="H36" s="488">
        <f t="shared" si="21"/>
        <v>-2.0903594052720399E-3</v>
      </c>
      <c r="L36" s="431"/>
      <c r="M36" s="457">
        <v>32</v>
      </c>
      <c r="N36" s="457">
        <v>35.700000000000003</v>
      </c>
      <c r="O36" s="457">
        <f t="shared" si="0"/>
        <v>47.59608552631579</v>
      </c>
      <c r="T36" s="457">
        <v>60</v>
      </c>
      <c r="U36" s="457">
        <v>149.4</v>
      </c>
      <c r="V36" s="457">
        <f t="shared" si="8"/>
        <v>199.18361842105264</v>
      </c>
      <c r="W36" s="475">
        <f>6.107799961+T36*(0.4436518521+T36*(0.01428945805+T36*(0.0002650648471+T36*(0.000003031240396+T36*(0.00000002034080948+T36*6.136820929E-11)))))</f>
        <v>199.38805119704224</v>
      </c>
      <c r="X36" s="459">
        <f t="shared" si="9"/>
        <v>199.63038583248806</v>
      </c>
      <c r="Y36" s="465">
        <f t="shared" si="15"/>
        <v>0.19960111992070295</v>
      </c>
      <c r="Z36" s="485">
        <f t="shared" si="16"/>
        <v>2.2429927469788139E-3</v>
      </c>
      <c r="AA36" s="486">
        <f t="shared" si="14"/>
        <v>1.4468628025338579E-3</v>
      </c>
      <c r="AB36" s="10">
        <f>+W36-X36</f>
        <v>-0.24233463544581468</v>
      </c>
      <c r="AC36" s="15">
        <f t="shared" si="12"/>
        <v>199.38805119704224</v>
      </c>
      <c r="AD36" s="491">
        <f t="shared" ref="AD36:AD53" si="22">+AC36-W36</f>
        <v>0</v>
      </c>
      <c r="AE36" s="492">
        <f t="shared" ref="AE36:AE53" si="23">+AC36-X36</f>
        <v>-0.24233463544581468</v>
      </c>
    </row>
    <row r="37" spans="1:31" x14ac:dyDescent="0.25">
      <c r="A37" s="458">
        <f t="shared" si="17"/>
        <v>62</v>
      </c>
      <c r="B37" s="490">
        <f t="shared" si="18"/>
        <v>218.38203947368422</v>
      </c>
      <c r="C37" s="475">
        <f t="shared" si="19"/>
        <v>218.62650514224291</v>
      </c>
      <c r="D37" s="438"/>
      <c r="E37" s="487">
        <f t="shared" si="20"/>
        <v>1.1194403585014058E-3</v>
      </c>
      <c r="F37" s="482"/>
      <c r="G37" s="478">
        <f t="shared" si="13"/>
        <v>218.12379297672072</v>
      </c>
      <c r="H37" s="488">
        <f t="shared" si="21"/>
        <v>-2.2994108843075018E-3</v>
      </c>
      <c r="L37" s="431"/>
      <c r="M37" s="457">
        <v>33</v>
      </c>
      <c r="N37" s="457">
        <v>37.700000000000003</v>
      </c>
      <c r="O37" s="457">
        <f t="shared" si="0"/>
        <v>50.262532894736843</v>
      </c>
      <c r="T37" s="457">
        <v>61</v>
      </c>
      <c r="U37" s="457">
        <v>156.4</v>
      </c>
      <c r="V37" s="457">
        <f t="shared" si="8"/>
        <v>208.51618421052635</v>
      </c>
      <c r="W37" s="475">
        <f>6.107799961+T37*(0.4436518521+T37*(0.01428945805+T37*(0.0002650648471+T37*(0.000003031240396+T37*(0.00000002034080948+T37*6.136820929E-11)))))</f>
        <v>208.81787852118686</v>
      </c>
      <c r="X37" s="459">
        <f t="shared" si="9"/>
        <v>208.9641202879609</v>
      </c>
      <c r="Y37" s="465">
        <f t="shared" si="15"/>
        <v>0.20064672946744938</v>
      </c>
      <c r="Z37" s="485">
        <f t="shared" si="16"/>
        <v>2.1482077236858205E-3</v>
      </c>
      <c r="AA37" s="486">
        <f t="shared" si="14"/>
        <v>1.1194403585014058E-3</v>
      </c>
      <c r="AB37" s="10">
        <f>+W37-X37</f>
        <v>-0.14624176677403966</v>
      </c>
      <c r="AC37" s="15">
        <f t="shared" si="12"/>
        <v>208.81787852118686</v>
      </c>
      <c r="AD37" s="491">
        <f t="shared" si="22"/>
        <v>0</v>
      </c>
      <c r="AE37" s="492">
        <f t="shared" si="23"/>
        <v>-0.14624176677403966</v>
      </c>
    </row>
    <row r="38" spans="1:31" x14ac:dyDescent="0.25">
      <c r="A38" s="458">
        <f t="shared" si="17"/>
        <v>63</v>
      </c>
      <c r="B38" s="490">
        <f t="shared" si="18"/>
        <v>228.51453947368424</v>
      </c>
      <c r="C38" s="475">
        <f t="shared" si="19"/>
        <v>228.8263252176348</v>
      </c>
      <c r="D38" s="438"/>
      <c r="E38" s="487">
        <f t="shared" si="20"/>
        <v>1.3644022155818705E-3</v>
      </c>
      <c r="F38" s="482"/>
      <c r="G38" s="478">
        <f t="shared" si="13"/>
        <v>228.24955966913089</v>
      </c>
      <c r="H38" s="488">
        <f t="shared" si="21"/>
        <v>-2.5205384387279625E-3</v>
      </c>
      <c r="L38" s="431"/>
      <c r="M38" s="457">
        <v>34</v>
      </c>
      <c r="N38" s="457">
        <v>39.9</v>
      </c>
      <c r="O38" s="457">
        <f t="shared" si="0"/>
        <v>53.195624999999993</v>
      </c>
      <c r="T38">
        <v>62.27</v>
      </c>
      <c r="W38" s="475">
        <f>6.107799961+T38*(0.4436518521+T38*(0.01428945805+T38*(0.0002650648471+T38*(0.000003031240396+T38*(0.00000002034080948+T38*6.136820929E-11)))))</f>
        <v>221.34138009585755</v>
      </c>
      <c r="X38" s="459">
        <f t="shared" si="9"/>
        <v>221.34212484653426</v>
      </c>
      <c r="Y38" s="465"/>
      <c r="Z38" s="459"/>
      <c r="AA38" s="458"/>
      <c r="AB38" s="10">
        <f>+W38-X38</f>
        <v>-7.4475067671642137E-4</v>
      </c>
      <c r="AC38" s="15">
        <f t="shared" si="12"/>
        <v>221.34138009585755</v>
      </c>
      <c r="AD38" s="491">
        <f t="shared" si="22"/>
        <v>0</v>
      </c>
      <c r="AE38" s="492">
        <f t="shared" si="23"/>
        <v>-7.4475067671642137E-4</v>
      </c>
    </row>
    <row r="39" spans="1:31" x14ac:dyDescent="0.25">
      <c r="A39" s="458">
        <f t="shared" si="17"/>
        <v>64</v>
      </c>
      <c r="B39" s="490">
        <f t="shared" si="18"/>
        <v>239.04700657894739</v>
      </c>
      <c r="C39" s="475">
        <f t="shared" si="19"/>
        <v>239.43004192132577</v>
      </c>
      <c r="D39" s="438"/>
      <c r="E39" s="487">
        <f t="shared" si="20"/>
        <v>1.6023431870579683E-3</v>
      </c>
      <c r="F39" s="482"/>
      <c r="G39" s="478">
        <f t="shared" si="13"/>
        <v>238.77062590395093</v>
      </c>
      <c r="H39" s="488">
        <f t="shared" si="21"/>
        <v>-2.7541072627448944E-3</v>
      </c>
      <c r="L39" s="431"/>
      <c r="M39" s="457">
        <v>35</v>
      </c>
      <c r="N39" s="457">
        <v>42.2</v>
      </c>
      <c r="O39" s="457">
        <f t="shared" si="0"/>
        <v>56.262039473684212</v>
      </c>
      <c r="T39">
        <f>+T38+0.001</f>
        <v>62.271000000000001</v>
      </c>
      <c r="W39" s="475">
        <f t="shared" ref="W39:W53" si="24">6.107799961+T39*(0.4436518521+T39*(0.01428945805+T39*(0.0002650648471+T39*(0.000003031240396+T39*(0.00000002034080948+T39*6.136820929E-11)))))</f>
        <v>221.35148849886608</v>
      </c>
      <c r="X39" s="459">
        <f t="shared" si="9"/>
        <v>221.35211002069286</v>
      </c>
      <c r="Y39" s="465"/>
      <c r="Z39" s="459"/>
      <c r="AA39" s="458"/>
      <c r="AB39" s="10">
        <f t="shared" ref="AB39:AB53" si="25">+W39-X39</f>
        <v>-6.2152182678687495E-4</v>
      </c>
      <c r="AC39" s="15">
        <f t="shared" si="12"/>
        <v>221.35148849886608</v>
      </c>
      <c r="AD39" s="491">
        <f t="shared" si="22"/>
        <v>0</v>
      </c>
      <c r="AE39" s="492">
        <f t="shared" si="23"/>
        <v>-6.2152182678687495E-4</v>
      </c>
    </row>
    <row r="40" spans="1:31" x14ac:dyDescent="0.25">
      <c r="A40" s="458">
        <f t="shared" si="17"/>
        <v>65</v>
      </c>
      <c r="B40" s="490">
        <f t="shared" si="18"/>
        <v>249.97944078947367</v>
      </c>
      <c r="C40" s="475">
        <f t="shared" si="19"/>
        <v>250.45067264628477</v>
      </c>
      <c r="D40" s="438"/>
      <c r="E40" s="487">
        <f t="shared" si="20"/>
        <v>1.8850824504722413E-3</v>
      </c>
      <c r="F40" s="482"/>
      <c r="G40" s="478">
        <f t="shared" si="13"/>
        <v>249.69920088179299</v>
      </c>
      <c r="H40" s="488">
        <f t="shared" si="21"/>
        <v>-3.0004781243015352E-3</v>
      </c>
      <c r="L40" s="431"/>
      <c r="M40" s="457">
        <v>36</v>
      </c>
      <c r="N40" s="457">
        <v>44.6</v>
      </c>
      <c r="O40" s="457">
        <f t="shared" si="0"/>
        <v>59.461776315789479</v>
      </c>
      <c r="T40">
        <f t="shared" ref="T40:T51" si="26">+T39+0.001</f>
        <v>62.271999999999998</v>
      </c>
      <c r="W40" s="475">
        <f t="shared" si="24"/>
        <v>221.36159729645402</v>
      </c>
      <c r="X40" s="459">
        <f t="shared" si="9"/>
        <v>221.36209557720281</v>
      </c>
      <c r="Y40" s="465"/>
      <c r="Z40" s="459"/>
      <c r="AA40" s="458"/>
      <c r="AB40" s="10">
        <f t="shared" si="25"/>
        <v>-4.9828074878632833E-4</v>
      </c>
      <c r="AC40" s="15">
        <f t="shared" si="12"/>
        <v>221.36159729645402</v>
      </c>
      <c r="AD40" s="491">
        <f t="shared" si="22"/>
        <v>0</v>
      </c>
      <c r="AE40" s="492">
        <f t="shared" si="23"/>
        <v>-4.9828074878632833E-4</v>
      </c>
    </row>
    <row r="41" spans="1:31" x14ac:dyDescent="0.25">
      <c r="A41" s="458">
        <f t="shared" si="17"/>
        <v>66</v>
      </c>
      <c r="B41" s="490">
        <f t="shared" si="18"/>
        <v>261.4451644736842</v>
      </c>
      <c r="C41" s="475">
        <f t="shared" si="19"/>
        <v>261.90155425113772</v>
      </c>
      <c r="D41" s="438"/>
      <c r="E41" s="487">
        <f t="shared" si="20"/>
        <v>1.7456424500039336E-3</v>
      </c>
      <c r="F41" s="482"/>
      <c r="G41" s="478">
        <f t="shared" si="13"/>
        <v>261.04775335501728</v>
      </c>
      <c r="H41" s="488">
        <f t="shared" si="21"/>
        <v>-3.2600069845394506E-3</v>
      </c>
      <c r="L41" s="431"/>
      <c r="M41" s="457">
        <v>37</v>
      </c>
      <c r="N41" s="457">
        <v>47.1</v>
      </c>
      <c r="O41" s="457">
        <f t="shared" si="0"/>
        <v>62.794835526315794</v>
      </c>
      <c r="T41">
        <f t="shared" si="26"/>
        <v>62.272999999999996</v>
      </c>
      <c r="W41" s="475">
        <f t="shared" si="24"/>
        <v>221.371706488634</v>
      </c>
      <c r="X41" s="459">
        <f t="shared" si="9"/>
        <v>221.37208151607922</v>
      </c>
      <c r="Y41" s="465"/>
      <c r="Z41" s="459"/>
      <c r="AA41" s="458"/>
      <c r="AB41" s="10">
        <f t="shared" si="25"/>
        <v>-3.7502744521589193E-4</v>
      </c>
      <c r="AC41" s="15">
        <f t="shared" si="12"/>
        <v>221.371706488634</v>
      </c>
      <c r="AD41" s="491">
        <f t="shared" si="22"/>
        <v>0</v>
      </c>
      <c r="AE41" s="492">
        <f t="shared" si="23"/>
        <v>-3.7502744521589193E-4</v>
      </c>
    </row>
    <row r="42" spans="1:31" x14ac:dyDescent="0.25">
      <c r="A42" s="458">
        <f t="shared" si="17"/>
        <v>67</v>
      </c>
      <c r="B42" s="490">
        <f t="shared" si="18"/>
        <v>273.31085526315792</v>
      </c>
      <c r="C42" s="475">
        <f t="shared" si="19"/>
        <v>273.79634835100484</v>
      </c>
      <c r="D42" s="438"/>
      <c r="E42" s="487">
        <f t="shared" si="20"/>
        <v>1.7763403044473334E-3</v>
      </c>
      <c r="F42" s="482"/>
      <c r="G42" s="478">
        <f t="shared" si="13"/>
        <v>272.82901362949701</v>
      </c>
      <c r="H42" s="488">
        <f t="shared" si="21"/>
        <v>-3.5330446418799909E-3</v>
      </c>
      <c r="L42" s="431"/>
      <c r="M42" s="457">
        <v>38</v>
      </c>
      <c r="N42" s="457">
        <v>49.7</v>
      </c>
      <c r="O42" s="457">
        <f t="shared" si="0"/>
        <v>66.261217105263157</v>
      </c>
      <c r="T42">
        <f t="shared" si="26"/>
        <v>62.273999999999994</v>
      </c>
      <c r="W42" s="475">
        <f t="shared" si="24"/>
        <v>221.38181607541861</v>
      </c>
      <c r="X42" s="459">
        <f t="shared" si="9"/>
        <v>221.38206783733835</v>
      </c>
      <c r="Y42" s="465"/>
      <c r="Z42" s="459"/>
      <c r="AA42" s="458"/>
      <c r="AB42" s="10">
        <f t="shared" si="25"/>
        <v>-2.5176191974196627E-4</v>
      </c>
      <c r="AC42" s="15">
        <f t="shared" si="12"/>
        <v>221.38181607541861</v>
      </c>
      <c r="AD42" s="491">
        <f t="shared" si="22"/>
        <v>0</v>
      </c>
      <c r="AE42" s="492">
        <f t="shared" si="23"/>
        <v>-2.5176191974196627E-4</v>
      </c>
    </row>
    <row r="43" spans="1:31" x14ac:dyDescent="0.25">
      <c r="A43" s="458">
        <f t="shared" si="17"/>
        <v>68</v>
      </c>
      <c r="B43" s="490">
        <f t="shared" si="18"/>
        <v>285.57651315789474</v>
      </c>
      <c r="C43" s="475">
        <f t="shared" si="19"/>
        <v>286.14904665252186</v>
      </c>
      <c r="D43" s="438"/>
      <c r="E43" s="487">
        <f t="shared" si="20"/>
        <v>2.0048339700491071E-3</v>
      </c>
      <c r="F43" s="482"/>
      <c r="G43" s="478">
        <f t="shared" si="13"/>
        <v>285.05597549339075</v>
      </c>
      <c r="H43" s="488">
        <f t="shared" si="21"/>
        <v>-3.819936399992477E-3</v>
      </c>
      <c r="L43" s="431"/>
      <c r="M43" s="457">
        <v>39</v>
      </c>
      <c r="N43" s="457">
        <v>52.4</v>
      </c>
      <c r="O43" s="457">
        <f t="shared" si="0"/>
        <v>69.860921052631568</v>
      </c>
      <c r="T43">
        <f t="shared" si="26"/>
        <v>62.274999999999991</v>
      </c>
      <c r="W43" s="475">
        <f t="shared" si="24"/>
        <v>221.39192605682058</v>
      </c>
      <c r="X43" s="459">
        <f t="shared" si="9"/>
        <v>221.39205454099579</v>
      </c>
      <c r="Y43" s="465"/>
      <c r="Z43" s="459"/>
      <c r="AA43" s="458"/>
      <c r="AB43" s="10">
        <f t="shared" si="25"/>
        <v>-1.2848417520672228E-4</v>
      </c>
      <c r="AC43" s="15">
        <f t="shared" si="12"/>
        <v>221.39192605682058</v>
      </c>
      <c r="AD43" s="491">
        <f t="shared" si="22"/>
        <v>0</v>
      </c>
      <c r="AE43" s="492">
        <f t="shared" si="23"/>
        <v>-1.2848417520672228E-4</v>
      </c>
    </row>
    <row r="44" spans="1:31" x14ac:dyDescent="0.25">
      <c r="A44" s="458">
        <f t="shared" si="17"/>
        <v>69</v>
      </c>
      <c r="B44" s="490">
        <f t="shared" si="18"/>
        <v>298.24213815789471</v>
      </c>
      <c r="C44" s="475">
        <f t="shared" si="19"/>
        <v>298.9739763330474</v>
      </c>
      <c r="D44" s="438"/>
      <c r="E44" s="487">
        <f t="shared" si="20"/>
        <v>2.453838950032072E-3</v>
      </c>
      <c r="F44" s="482"/>
      <c r="G44" s="478">
        <f t="shared" si="13"/>
        <v>297.74189807126868</v>
      </c>
      <c r="H44" s="488">
        <f t="shared" si="21"/>
        <v>-4.1210217587842124E-3</v>
      </c>
      <c r="L44" s="431"/>
      <c r="M44" s="457">
        <v>40</v>
      </c>
      <c r="N44" s="457">
        <v>55.3</v>
      </c>
      <c r="O44" s="457">
        <f t="shared" si="0"/>
        <v>73.727269736842103</v>
      </c>
      <c r="T44">
        <f t="shared" si="26"/>
        <v>62.275999999999989</v>
      </c>
      <c r="W44" s="475">
        <f t="shared" si="24"/>
        <v>221.40203643285247</v>
      </c>
      <c r="X44" s="459">
        <f t="shared" si="9"/>
        <v>221.40204162706755</v>
      </c>
      <c r="Y44" s="465"/>
      <c r="Z44" s="459"/>
      <c r="AA44" s="458"/>
      <c r="AB44" s="10">
        <f t="shared" si="25"/>
        <v>-5.1942150776085327E-6</v>
      </c>
      <c r="AC44" s="15">
        <f t="shared" si="12"/>
        <v>221.40204162706698</v>
      </c>
      <c r="AD44" s="491">
        <f t="shared" si="22"/>
        <v>5.1942145091743441E-6</v>
      </c>
      <c r="AE44" s="492">
        <f t="shared" si="23"/>
        <v>-5.6843418860808015E-13</v>
      </c>
    </row>
    <row r="45" spans="1:31" x14ac:dyDescent="0.25">
      <c r="A45" s="458">
        <f t="shared" si="17"/>
        <v>70</v>
      </c>
      <c r="B45" s="490">
        <f t="shared" si="18"/>
        <v>311.57437499999997</v>
      </c>
      <c r="C45" s="475">
        <f t="shared" si="19"/>
        <v>312.28580546405522</v>
      </c>
      <c r="D45" s="438"/>
      <c r="E45" s="487">
        <f t="shared" si="20"/>
        <v>2.2833407402493883E-3</v>
      </c>
      <c r="F45" s="482"/>
      <c r="G45" s="478">
        <f t="shared" si="13"/>
        <v>310.90030760195708</v>
      </c>
      <c r="H45" s="488">
        <f t="shared" si="21"/>
        <v>-4.436634127636032E-3</v>
      </c>
      <c r="L45" s="431"/>
      <c r="M45" s="457">
        <v>41</v>
      </c>
      <c r="N45" s="457">
        <v>58.3</v>
      </c>
      <c r="O45" s="457">
        <f t="shared" si="0"/>
        <v>77.726940789473687</v>
      </c>
      <c r="T45">
        <f t="shared" si="26"/>
        <v>62.276999999999987</v>
      </c>
      <c r="W45" s="475">
        <f t="shared" si="24"/>
        <v>221.4121472035269</v>
      </c>
      <c r="X45" s="459">
        <f t="shared" si="9"/>
        <v>221.41202909556944</v>
      </c>
      <c r="Y45" s="465"/>
      <c r="Z45" s="459"/>
      <c r="AA45" s="458"/>
      <c r="AB45" s="10">
        <f t="shared" si="25"/>
        <v>1.1810795746214353E-4</v>
      </c>
      <c r="AC45" s="15">
        <f t="shared" si="12"/>
        <v>221.41202909556887</v>
      </c>
      <c r="AD45" s="491">
        <f t="shared" si="22"/>
        <v>-1.1810795803057772E-4</v>
      </c>
      <c r="AE45" s="492">
        <f t="shared" si="23"/>
        <v>-5.6843418860808015E-13</v>
      </c>
    </row>
    <row r="46" spans="1:31" x14ac:dyDescent="0.25">
      <c r="A46" s="458">
        <f t="shared" si="17"/>
        <v>71</v>
      </c>
      <c r="B46" s="490">
        <f t="shared" si="18"/>
        <v>325.17325657894742</v>
      </c>
      <c r="C46" s="475">
        <f t="shared" si="19"/>
        <v>326.09954847871126</v>
      </c>
      <c r="D46" s="438"/>
      <c r="E46" s="487">
        <f t="shared" si="20"/>
        <v>2.848610336253003E-3</v>
      </c>
      <c r="F46" s="482"/>
      <c r="G46" s="478">
        <f t="shared" si="13"/>
        <v>324.54499913853073</v>
      </c>
      <c r="H46" s="488">
        <f t="shared" si="21"/>
        <v>-4.7671005600365447E-3</v>
      </c>
      <c r="L46" s="431"/>
      <c r="M46" s="457">
        <v>42</v>
      </c>
      <c r="N46" s="457">
        <v>61.5</v>
      </c>
      <c r="O46" s="457">
        <f t="shared" si="0"/>
        <v>81.993256578947367</v>
      </c>
      <c r="T46">
        <f t="shared" si="26"/>
        <v>62.277999999999984</v>
      </c>
      <c r="W46" s="475">
        <f t="shared" si="24"/>
        <v>221.42225836885652</v>
      </c>
      <c r="X46" s="459">
        <f t="shared" si="9"/>
        <v>221.42201694651749</v>
      </c>
      <c r="Y46" s="465"/>
      <c r="Z46" s="459"/>
      <c r="AA46" s="458"/>
      <c r="AB46" s="10">
        <f t="shared" si="25"/>
        <v>2.4142233903035049E-4</v>
      </c>
      <c r="AC46" s="15">
        <f t="shared" si="12"/>
        <v>221.42201694651703</v>
      </c>
      <c r="AD46" s="491">
        <f t="shared" si="22"/>
        <v>-2.4142233948509784E-4</v>
      </c>
      <c r="AE46" s="492">
        <f t="shared" si="23"/>
        <v>-4.5474735088646412E-13</v>
      </c>
    </row>
    <row r="47" spans="1:31" x14ac:dyDescent="0.25">
      <c r="A47" s="458">
        <f t="shared" si="17"/>
        <v>72</v>
      </c>
      <c r="B47" s="490">
        <f t="shared" si="18"/>
        <v>339.43874999999997</v>
      </c>
      <c r="C47" s="475">
        <f t="shared" si="19"/>
        <v>340.43057168363561</v>
      </c>
      <c r="D47" s="438"/>
      <c r="E47" s="487">
        <f t="shared" si="20"/>
        <v>2.921945958249125E-3</v>
      </c>
      <c r="F47" s="482"/>
      <c r="G47" s="478">
        <f t="shared" si="13"/>
        <v>338.69003816891382</v>
      </c>
      <c r="H47" s="488">
        <f t="shared" si="21"/>
        <v>-5.1127415088304089E-3</v>
      </c>
      <c r="L47" s="431"/>
      <c r="M47" s="457">
        <v>43</v>
      </c>
      <c r="N47" s="457">
        <v>64.8</v>
      </c>
      <c r="O47" s="457">
        <f t="shared" si="0"/>
        <v>86.392894736842095</v>
      </c>
      <c r="T47">
        <f t="shared" si="26"/>
        <v>62.278999999999982</v>
      </c>
      <c r="W47" s="475">
        <f t="shared" si="24"/>
        <v>221.43236992885397</v>
      </c>
      <c r="X47" s="459">
        <f t="shared" si="9"/>
        <v>221.43200517992716</v>
      </c>
      <c r="Y47" s="465"/>
      <c r="Z47" s="459"/>
      <c r="AA47" s="458"/>
      <c r="AB47" s="10">
        <f t="shared" si="25"/>
        <v>3.647489268132631E-4</v>
      </c>
      <c r="AC47" s="15">
        <f t="shared" si="12"/>
        <v>221.43200517992659</v>
      </c>
      <c r="AD47" s="491">
        <f t="shared" si="22"/>
        <v>-3.6474892738169729E-4</v>
      </c>
      <c r="AE47" s="492">
        <f t="shared" si="23"/>
        <v>-5.6843418860808015E-13</v>
      </c>
    </row>
    <row r="48" spans="1:31" x14ac:dyDescent="0.25">
      <c r="A48" s="458">
        <f t="shared" si="17"/>
        <v>73</v>
      </c>
      <c r="B48" s="490">
        <f t="shared" si="18"/>
        <v>354.23753289473677</v>
      </c>
      <c r="C48" s="475">
        <f t="shared" si="19"/>
        <v>355.29459881485087</v>
      </c>
      <c r="D48" s="438"/>
      <c r="E48" s="487">
        <f t="shared" si="20"/>
        <v>2.984059626533731E-3</v>
      </c>
      <c r="F48" s="482"/>
      <c r="G48" s="478">
        <f t="shared" si="13"/>
        <v>353.34976215561716</v>
      </c>
      <c r="H48" s="488">
        <f t="shared" si="21"/>
        <v>-5.473870601244905E-3</v>
      </c>
      <c r="L48" s="431"/>
      <c r="M48" s="457">
        <v>44</v>
      </c>
      <c r="N48" s="457">
        <v>68.3</v>
      </c>
      <c r="O48" s="457">
        <f t="shared" si="0"/>
        <v>91.059177631578933</v>
      </c>
      <c r="T48">
        <f t="shared" si="26"/>
        <v>62.27999999999998</v>
      </c>
      <c r="W48" s="475">
        <f t="shared" si="24"/>
        <v>221.44248188353197</v>
      </c>
      <c r="X48" s="459">
        <f t="shared" si="9"/>
        <v>221.4419937958146</v>
      </c>
      <c r="Y48" s="465"/>
      <c r="Z48" s="459"/>
      <c r="AA48" s="458"/>
      <c r="AB48" s="10">
        <f t="shared" si="25"/>
        <v>4.8808771737185452E-4</v>
      </c>
      <c r="AC48" s="15">
        <f t="shared" si="12"/>
        <v>221.44199379581426</v>
      </c>
      <c r="AD48" s="491">
        <f t="shared" si="22"/>
        <v>-4.8808771771291504E-4</v>
      </c>
      <c r="AE48" s="492">
        <f t="shared" si="23"/>
        <v>-3.4106051316484809E-13</v>
      </c>
    </row>
    <row r="49" spans="1:31" x14ac:dyDescent="0.25">
      <c r="A49" s="458">
        <f t="shared" si="17"/>
        <v>74</v>
      </c>
      <c r="B49" s="490">
        <f t="shared" si="18"/>
        <v>369.56960526315783</v>
      </c>
      <c r="C49" s="475">
        <f t="shared" si="19"/>
        <v>370.70771663791362</v>
      </c>
      <c r="D49" s="438"/>
      <c r="E49" s="487">
        <f t="shared" si="20"/>
        <v>3.0795589208300416E-3</v>
      </c>
      <c r="F49" s="482"/>
      <c r="G49" s="478">
        <f t="shared" si="13"/>
        <v>368.53878199316352</v>
      </c>
      <c r="H49" s="488">
        <f t="shared" si="21"/>
        <v>-5.8507944329321531E-3</v>
      </c>
      <c r="L49" s="431"/>
      <c r="M49" s="457">
        <v>45</v>
      </c>
      <c r="N49" s="457">
        <v>71.900000000000006</v>
      </c>
      <c r="O49" s="457">
        <f t="shared" si="0"/>
        <v>95.858782894736848</v>
      </c>
      <c r="T49">
        <f t="shared" si="26"/>
        <v>62.280999999999977</v>
      </c>
      <c r="W49" s="475">
        <f t="shared" si="24"/>
        <v>221.45259423290295</v>
      </c>
      <c r="X49" s="459">
        <f t="shared" si="9"/>
        <v>221.45198279419571</v>
      </c>
      <c r="Y49" s="465"/>
      <c r="Z49" s="459"/>
      <c r="AA49" s="458"/>
      <c r="AB49" s="10">
        <f t="shared" si="25"/>
        <v>6.1143870723867622E-4</v>
      </c>
      <c r="AC49" s="15">
        <f t="shared" si="12"/>
        <v>221.45198279419515</v>
      </c>
      <c r="AD49" s="491">
        <f t="shared" si="22"/>
        <v>-6.114387078071104E-4</v>
      </c>
      <c r="AE49" s="492">
        <f t="shared" si="23"/>
        <v>-5.6843418860808015E-13</v>
      </c>
    </row>
    <row r="50" spans="1:31" x14ac:dyDescent="0.25">
      <c r="A50" s="458">
        <f t="shared" si="17"/>
        <v>75</v>
      </c>
      <c r="B50" s="490">
        <f t="shared" si="18"/>
        <v>385.43496710526318</v>
      </c>
      <c r="C50" s="475">
        <f t="shared" si="19"/>
        <v>386.68638059223292</v>
      </c>
      <c r="D50" s="438"/>
      <c r="E50" s="487">
        <f t="shared" si="20"/>
        <v>3.2467565056908151E-3</v>
      </c>
      <c r="F50" s="482"/>
      <c r="G50" s="478">
        <f t="shared" si="13"/>
        <v>384.27198338183479</v>
      </c>
      <c r="H50" s="488">
        <f t="shared" si="21"/>
        <v>-6.2438123802041959E-3</v>
      </c>
      <c r="L50" s="431"/>
      <c r="M50" s="457">
        <v>46</v>
      </c>
      <c r="N50" s="457">
        <v>75.7</v>
      </c>
      <c r="O50" s="457">
        <f t="shared" si="0"/>
        <v>100.92503289473686</v>
      </c>
      <c r="T50">
        <f t="shared" si="26"/>
        <v>62.281999999999975</v>
      </c>
      <c r="W50" s="475">
        <f t="shared" si="24"/>
        <v>221.46270697697975</v>
      </c>
      <c r="X50" s="459">
        <f t="shared" si="9"/>
        <v>221.46197217508586</v>
      </c>
      <c r="Y50" s="465"/>
      <c r="Z50" s="459"/>
      <c r="AA50" s="458"/>
      <c r="AB50" s="10">
        <f t="shared" si="25"/>
        <v>7.3480189388419603E-4</v>
      </c>
      <c r="AC50" s="15">
        <f t="shared" si="12"/>
        <v>221.46197217508563</v>
      </c>
      <c r="AD50" s="491">
        <f t="shared" si="22"/>
        <v>-7.3480189411156971E-4</v>
      </c>
      <c r="AE50" s="492">
        <f t="shared" si="23"/>
        <v>-2.2737367544323206E-13</v>
      </c>
    </row>
    <row r="51" spans="1:31" x14ac:dyDescent="0.25">
      <c r="A51" s="458">
        <f t="shared" si="17"/>
        <v>76</v>
      </c>
      <c r="B51" s="490">
        <f t="shared" si="18"/>
        <v>401.83361842105262</v>
      </c>
      <c r="C51" s="475">
        <f t="shared" si="19"/>
        <v>403.24742047957267</v>
      </c>
      <c r="D51" s="438"/>
      <c r="E51" s="487">
        <f t="shared" si="20"/>
        <v>3.5183767452692974E-3</v>
      </c>
      <c r="F51" s="482"/>
      <c r="G51" s="478">
        <f t="shared" si="13"/>
        <v>400.56452811639667</v>
      </c>
      <c r="H51" s="488">
        <f t="shared" si="21"/>
        <v>-6.6532164297177501E-3</v>
      </c>
      <c r="L51" s="431"/>
      <c r="M51" s="457">
        <v>47</v>
      </c>
      <c r="N51" s="457">
        <v>79.599999999999994</v>
      </c>
      <c r="O51" s="457">
        <f t="shared" si="0"/>
        <v>106.12460526315789</v>
      </c>
      <c r="T51">
        <f t="shared" si="26"/>
        <v>62.282999999999973</v>
      </c>
      <c r="W51" s="475">
        <f t="shared" si="24"/>
        <v>221.47282011577485</v>
      </c>
      <c r="X51" s="459">
        <f t="shared" si="9"/>
        <v>221.47196193850141</v>
      </c>
      <c r="Y51" s="465"/>
      <c r="Z51" s="459"/>
      <c r="AA51" s="458"/>
      <c r="AB51" s="10">
        <f t="shared" si="25"/>
        <v>8.5817727344306149E-4</v>
      </c>
      <c r="AC51" s="15">
        <f t="shared" si="12"/>
        <v>221.47196193850118</v>
      </c>
      <c r="AD51" s="491">
        <f t="shared" si="22"/>
        <v>-8.5817727367043517E-4</v>
      </c>
      <c r="AE51" s="492">
        <f t="shared" si="23"/>
        <v>-2.2737367544323206E-13</v>
      </c>
    </row>
    <row r="52" spans="1:31" x14ac:dyDescent="0.25">
      <c r="A52" s="458">
        <f t="shared" si="17"/>
        <v>77</v>
      </c>
      <c r="B52" s="490">
        <f t="shared" si="18"/>
        <v>418.76555921052631</v>
      </c>
      <c r="C52" s="475">
        <f t="shared" si="19"/>
        <v>420.40804619673963</v>
      </c>
      <c r="D52" s="438"/>
      <c r="E52" s="487">
        <f t="shared" si="20"/>
        <v>3.9222112470514775E-3</v>
      </c>
      <c r="F52" s="482"/>
      <c r="G52" s="478">
        <f t="shared" si="13"/>
        <v>417.43185528852172</v>
      </c>
      <c r="H52" s="488">
        <f t="shared" si="21"/>
        <v>-7.0792910248562149E-3</v>
      </c>
      <c r="L52" s="431"/>
      <c r="M52" s="457">
        <v>48</v>
      </c>
      <c r="N52" s="457">
        <v>83.7</v>
      </c>
      <c r="O52" s="457">
        <f t="shared" si="0"/>
        <v>111.59082236842106</v>
      </c>
      <c r="T52" s="457">
        <v>62</v>
      </c>
      <c r="U52" s="457">
        <v>163.80000000000001</v>
      </c>
      <c r="V52" s="457">
        <f t="shared" ref="V52:V89" si="27">+U52*V$90/U$90</f>
        <v>218.38203947368422</v>
      </c>
      <c r="W52" s="475">
        <f t="shared" si="24"/>
        <v>218.62650514224291</v>
      </c>
      <c r="X52" s="459">
        <f t="shared" si="9"/>
        <v>218.66006356479204</v>
      </c>
      <c r="Y52" s="465">
        <f t="shared" ref="Y52:Y90" si="28">(X52-V52)^2</f>
        <v>7.7297395236331501E-2</v>
      </c>
      <c r="Z52" s="485">
        <f t="shared" ref="Z52:Z90" si="29">+(X52-V52)/V52</f>
        <v>1.2731087766094731E-3</v>
      </c>
      <c r="AA52" s="486">
        <f t="shared" ref="AA52:AA80" si="30">+E38</f>
        <v>1.3644022155818705E-3</v>
      </c>
      <c r="AB52" s="10">
        <f t="shared" si="25"/>
        <v>-3.3558422549134548E-2</v>
      </c>
      <c r="AC52" s="15">
        <f t="shared" si="12"/>
        <v>218.62650514224291</v>
      </c>
      <c r="AD52" s="491">
        <f t="shared" si="22"/>
        <v>0</v>
      </c>
      <c r="AE52" s="492">
        <f t="shared" si="23"/>
        <v>-3.3558422549134548E-2</v>
      </c>
    </row>
    <row r="53" spans="1:31" x14ac:dyDescent="0.25">
      <c r="A53" s="458">
        <f t="shared" si="17"/>
        <v>78</v>
      </c>
      <c r="B53" s="490">
        <f t="shared" si="18"/>
        <v>436.36411184210533</v>
      </c>
      <c r="C53" s="475">
        <f t="shared" si="19"/>
        <v>438.18585351245633</v>
      </c>
      <c r="D53" s="438"/>
      <c r="E53" s="487">
        <f t="shared" si="20"/>
        <v>4.1748201121777507E-3</v>
      </c>
      <c r="F53" s="482"/>
      <c r="G53" s="478">
        <f t="shared" si="13"/>
        <v>434.889682401698</v>
      </c>
      <c r="H53" s="488">
        <f t="shared" si="21"/>
        <v>-7.5223129280339411E-3</v>
      </c>
      <c r="L53" s="431"/>
      <c r="M53" s="457">
        <v>49</v>
      </c>
      <c r="N53" s="457">
        <v>88</v>
      </c>
      <c r="O53" s="457">
        <f t="shared" si="0"/>
        <v>117.32368421052631</v>
      </c>
      <c r="T53" s="457">
        <v>63</v>
      </c>
      <c r="U53" s="457">
        <v>171.4</v>
      </c>
      <c r="V53" s="457">
        <f t="shared" si="27"/>
        <v>228.51453947368424</v>
      </c>
      <c r="W53" s="475">
        <f t="shared" si="24"/>
        <v>228.8263252176348</v>
      </c>
      <c r="X53" s="459">
        <f t="shared" si="9"/>
        <v>228.73406308957442</v>
      </c>
      <c r="Y53" s="465">
        <f t="shared" si="28"/>
        <v>4.8190617933500213E-2</v>
      </c>
      <c r="Z53" s="485">
        <f t="shared" si="29"/>
        <v>9.6065491673216915E-4</v>
      </c>
      <c r="AA53" s="486">
        <f t="shared" si="30"/>
        <v>1.6023431870579683E-3</v>
      </c>
      <c r="AB53" s="10">
        <f t="shared" si="25"/>
        <v>9.2262128060383475E-2</v>
      </c>
      <c r="AC53" s="15">
        <f t="shared" si="12"/>
        <v>228.73406308957385</v>
      </c>
      <c r="AD53" s="491">
        <f t="shared" si="22"/>
        <v>-9.2262128060951909E-2</v>
      </c>
      <c r="AE53" s="492">
        <f t="shared" si="23"/>
        <v>-5.6843418860808015E-13</v>
      </c>
    </row>
    <row r="54" spans="1:31" x14ac:dyDescent="0.25">
      <c r="A54" s="458">
        <f t="shared" si="17"/>
        <v>79</v>
      </c>
      <c r="B54" s="490">
        <f t="shared" si="18"/>
        <v>454.62927631578947</v>
      </c>
      <c r="C54" s="475">
        <f t="shared" si="19"/>
        <v>456.59882988841917</v>
      </c>
      <c r="D54" s="438"/>
      <c r="E54" s="487">
        <f t="shared" si="20"/>
        <v>4.3322189644065898E-3</v>
      </c>
      <c r="F54" s="482"/>
      <c r="G54" s="478">
        <f t="shared" si="13"/>
        <v>452.95400639742525</v>
      </c>
      <c r="H54" s="488">
        <f t="shared" si="21"/>
        <v>-7.9825510982685349E-3</v>
      </c>
      <c r="L54" s="431"/>
      <c r="M54" s="457">
        <v>50</v>
      </c>
      <c r="N54" s="457">
        <v>92.5</v>
      </c>
      <c r="O54" s="457">
        <f t="shared" si="0"/>
        <v>123.32319078947368</v>
      </c>
      <c r="T54" s="457">
        <v>64</v>
      </c>
      <c r="U54" s="457">
        <v>179.3</v>
      </c>
      <c r="V54" s="457">
        <f t="shared" si="27"/>
        <v>239.04700657894739</v>
      </c>
      <c r="X54" s="459">
        <f t="shared" si="9"/>
        <v>239.20196628889948</v>
      </c>
      <c r="Y54" s="465">
        <f t="shared" si="28"/>
        <v>2.4012511708437465E-2</v>
      </c>
      <c r="Z54" s="485">
        <f t="shared" si="29"/>
        <v>6.4823949134421965E-4</v>
      </c>
      <c r="AA54" s="486">
        <f t="shared" si="30"/>
        <v>1.8850824504722413E-3</v>
      </c>
      <c r="AC54" s="15">
        <f t="shared" si="12"/>
        <v>239.20196628889903</v>
      </c>
      <c r="AD54" s="491"/>
    </row>
    <row r="55" spans="1:31" x14ac:dyDescent="0.25">
      <c r="A55" s="458">
        <f t="shared" si="17"/>
        <v>80</v>
      </c>
      <c r="B55" s="490">
        <f t="shared" si="18"/>
        <v>473.42773026315791</v>
      </c>
      <c r="C55" s="475">
        <f t="shared" si="19"/>
        <v>475.66536034454174</v>
      </c>
      <c r="D55" s="438"/>
      <c r="E55" s="487">
        <f t="shared" si="20"/>
        <v>4.7264449003441887E-3</v>
      </c>
      <c r="F55" s="482"/>
      <c r="G55" s="478">
        <f t="shared" si="13"/>
        <v>471.64110459160412</v>
      </c>
      <c r="H55" s="488">
        <f t="shared" si="21"/>
        <v>-8.4602665832607723E-3</v>
      </c>
      <c r="L55" s="431"/>
      <c r="M55" s="457">
        <v>51</v>
      </c>
      <c r="N55" s="457">
        <v>97.2</v>
      </c>
      <c r="O55" s="457">
        <f t="shared" si="0"/>
        <v>129.58934210526317</v>
      </c>
      <c r="T55" s="457">
        <v>65</v>
      </c>
      <c r="U55" s="457">
        <v>187.5</v>
      </c>
      <c r="V55" s="457">
        <f t="shared" si="27"/>
        <v>249.97944078947367</v>
      </c>
      <c r="X55" s="459">
        <f t="shared" si="9"/>
        <v>250.07962058935948</v>
      </c>
      <c r="Y55" s="465">
        <f t="shared" si="28"/>
        <v>1.0035992305160547E-2</v>
      </c>
      <c r="Z55" s="485">
        <f t="shared" si="29"/>
        <v>4.0075215613501967E-4</v>
      </c>
      <c r="AA55" s="486">
        <f t="shared" si="30"/>
        <v>1.7456424500039336E-3</v>
      </c>
      <c r="AC55" s="15">
        <f t="shared" si="12"/>
        <v>250.07962058935914</v>
      </c>
      <c r="AD55" s="491"/>
    </row>
    <row r="56" spans="1:31" x14ac:dyDescent="0.25">
      <c r="A56" s="458">
        <f t="shared" si="17"/>
        <v>81</v>
      </c>
      <c r="B56" s="490">
        <f t="shared" si="18"/>
        <v>492.89279605263152</v>
      </c>
      <c r="C56" s="475">
        <f t="shared" si="19"/>
        <v>495.40423336838325</v>
      </c>
      <c r="D56" s="438"/>
      <c r="E56" s="487">
        <f t="shared" si="20"/>
        <v>5.0953013228530681E-3</v>
      </c>
      <c r="F56" s="482"/>
      <c r="G56" s="478">
        <f t="shared" si="13"/>
        <v>490.96753552004276</v>
      </c>
      <c r="H56" s="488">
        <f t="shared" si="21"/>
        <v>-8.9557124253343869E-3</v>
      </c>
      <c r="L56" s="431"/>
      <c r="M56" s="457">
        <v>52</v>
      </c>
      <c r="N56" s="457">
        <v>102.1</v>
      </c>
      <c r="O56" s="457">
        <f t="shared" si="0"/>
        <v>136.12213815789474</v>
      </c>
      <c r="T56" s="457">
        <v>66</v>
      </c>
      <c r="U56" s="457">
        <v>196.1</v>
      </c>
      <c r="V56" s="457">
        <f t="shared" si="27"/>
        <v>261.4451644736842</v>
      </c>
      <c r="X56" s="459">
        <f t="shared" si="9"/>
        <v>261.38287341754688</v>
      </c>
      <c r="Y56" s="465">
        <f t="shared" si="28"/>
        <v>3.8801756747034984E-3</v>
      </c>
      <c r="Z56" s="485">
        <f t="shared" si="29"/>
        <v>-2.3825667712280794E-4</v>
      </c>
      <c r="AA56" s="486">
        <f t="shared" si="30"/>
        <v>1.7763403044473334E-3</v>
      </c>
      <c r="AC56" s="15">
        <f t="shared" si="12"/>
        <v>261.38287341754631</v>
      </c>
      <c r="AD56" s="491"/>
    </row>
    <row r="57" spans="1:31" x14ac:dyDescent="0.25">
      <c r="A57" s="458">
        <f t="shared" si="17"/>
        <v>82</v>
      </c>
      <c r="B57" s="490">
        <f t="shared" si="18"/>
        <v>513.15779605263151</v>
      </c>
      <c r="C57" s="475">
        <f t="shared" si="19"/>
        <v>515.83464686876152</v>
      </c>
      <c r="D57" s="438"/>
      <c r="E57" s="487">
        <f t="shared" si="20"/>
        <v>5.216428234592123E-3</v>
      </c>
      <c r="F57" s="482"/>
      <c r="G57" s="478">
        <f t="shared" si="13"/>
        <v>510.95013969207076</v>
      </c>
      <c r="H57" s="488">
        <f t="shared" si="21"/>
        <v>-9.4691335805783435E-3</v>
      </c>
      <c r="L57" s="431"/>
      <c r="M57" s="457">
        <v>53</v>
      </c>
      <c r="N57" s="457">
        <v>107.2</v>
      </c>
      <c r="O57" s="457">
        <f t="shared" si="0"/>
        <v>142.92157894736843</v>
      </c>
      <c r="T57" s="457">
        <v>67</v>
      </c>
      <c r="U57" s="457">
        <v>205</v>
      </c>
      <c r="V57" s="457">
        <f t="shared" si="27"/>
        <v>273.31085526315792</v>
      </c>
      <c r="X57" s="459">
        <f t="shared" si="9"/>
        <v>273.12757220005312</v>
      </c>
      <c r="Y57" s="465">
        <f t="shared" si="28"/>
        <v>3.3592681221076441E-2</v>
      </c>
      <c r="Z57" s="485">
        <f t="shared" si="29"/>
        <v>-6.7060294011491415E-4</v>
      </c>
      <c r="AA57" s="486">
        <f t="shared" si="30"/>
        <v>2.0048339700491071E-3</v>
      </c>
      <c r="AC57" s="15">
        <f t="shared" si="12"/>
        <v>273.12757220005255</v>
      </c>
      <c r="AD57" s="491"/>
    </row>
    <row r="58" spans="1:31" x14ac:dyDescent="0.25">
      <c r="A58" s="458">
        <f t="shared" si="17"/>
        <v>83</v>
      </c>
      <c r="B58" s="490">
        <f t="shared" si="18"/>
        <v>534.08940789473684</v>
      </c>
      <c r="C58" s="475">
        <f t="shared" si="19"/>
        <v>536.97621417355197</v>
      </c>
      <c r="D58" s="438"/>
      <c r="E58" s="487">
        <f t="shared" si="20"/>
        <v>5.4050992888892624E-3</v>
      </c>
      <c r="F58" s="482"/>
      <c r="G58" s="478">
        <f t="shared" ref="G58:G75" si="31">6.1078*EXP((($H$5-273*$H$6)/$H$7)*((1/273)-(1/(A58+273)))+($H$6/$H$7)*LN((A58+273)/273))</f>
        <v>531.60604025131988</v>
      </c>
      <c r="H58" s="488">
        <f t="shared" si="21"/>
        <v>-1.0000766850533962E-2</v>
      </c>
      <c r="L58" s="431"/>
      <c r="M58" s="457">
        <v>54</v>
      </c>
      <c r="N58" s="457">
        <v>112.5</v>
      </c>
      <c r="O58" s="457">
        <f t="shared" si="0"/>
        <v>149.98766447368422</v>
      </c>
      <c r="T58" s="457">
        <v>68</v>
      </c>
      <c r="U58" s="457">
        <v>214.2</v>
      </c>
      <c r="V58" s="457">
        <f t="shared" si="27"/>
        <v>285.57651315789474</v>
      </c>
      <c r="X58" s="459">
        <f t="shared" si="9"/>
        <v>285.32956436347081</v>
      </c>
      <c r="Y58" s="465">
        <f t="shared" si="28"/>
        <v>6.0983707067431961E-2</v>
      </c>
      <c r="Z58" s="485">
        <f t="shared" si="29"/>
        <v>-8.6473776044527681E-4</v>
      </c>
      <c r="AA58" s="486">
        <f t="shared" si="30"/>
        <v>2.453838950032072E-3</v>
      </c>
      <c r="AC58" s="15">
        <f t="shared" si="12"/>
        <v>285.32956436347035</v>
      </c>
      <c r="AD58" s="491"/>
    </row>
    <row r="59" spans="1:31" x14ac:dyDescent="0.25">
      <c r="A59" s="458">
        <f t="shared" si="17"/>
        <v>84</v>
      </c>
      <c r="B59" s="490">
        <f t="shared" si="18"/>
        <v>555.68763157894739</v>
      </c>
      <c r="C59" s="475">
        <f t="shared" si="19"/>
        <v>558.84897007167126</v>
      </c>
      <c r="D59" s="438"/>
      <c r="E59" s="487">
        <f t="shared" si="20"/>
        <v>5.6890567885075106E-3</v>
      </c>
      <c r="F59" s="482"/>
      <c r="G59" s="478">
        <f t="shared" si="31"/>
        <v>552.95264354275309</v>
      </c>
      <c r="H59" s="488">
        <f t="shared" si="21"/>
        <v>-1.0550840825853136E-2</v>
      </c>
      <c r="L59" s="431"/>
      <c r="M59" s="457">
        <v>55</v>
      </c>
      <c r="N59" s="457">
        <v>118</v>
      </c>
      <c r="O59" s="457">
        <f t="shared" si="0"/>
        <v>157.3203947368421</v>
      </c>
      <c r="T59" s="457">
        <v>69</v>
      </c>
      <c r="U59" s="457">
        <v>223.7</v>
      </c>
      <c r="V59" s="457">
        <f t="shared" si="27"/>
        <v>298.24213815789471</v>
      </c>
      <c r="X59" s="459">
        <f t="shared" si="9"/>
        <v>298.00469733439206</v>
      </c>
      <c r="Y59" s="465">
        <f t="shared" si="28"/>
        <v>5.6378144665617615E-2</v>
      </c>
      <c r="Z59" s="485">
        <f t="shared" si="29"/>
        <v>-7.96134392575159E-4</v>
      </c>
      <c r="AA59" s="486">
        <f t="shared" si="30"/>
        <v>2.2833407402493883E-3</v>
      </c>
      <c r="AC59" s="15">
        <f t="shared" si="12"/>
        <v>298.00469733439161</v>
      </c>
      <c r="AD59" s="491"/>
    </row>
    <row r="60" spans="1:31" x14ac:dyDescent="0.25">
      <c r="A60" s="458">
        <f t="shared" si="17"/>
        <v>85</v>
      </c>
      <c r="B60" s="490">
        <f t="shared" si="18"/>
        <v>578.08578947368426</v>
      </c>
      <c r="C60" s="475">
        <f t="shared" si="19"/>
        <v>581.47337689924575</v>
      </c>
      <c r="D60" s="438"/>
      <c r="E60" s="487">
        <f t="shared" si="20"/>
        <v>5.8600081289763347E-3</v>
      </c>
      <c r="F60" s="482"/>
      <c r="G60" s="478">
        <f t="shared" si="31"/>
        <v>575.00763958514119</v>
      </c>
      <c r="H60" s="488">
        <f t="shared" si="21"/>
        <v>-1.1119575841259716E-2</v>
      </c>
      <c r="L60" s="431"/>
      <c r="M60" s="457">
        <v>56</v>
      </c>
      <c r="N60" s="457">
        <v>123.8</v>
      </c>
      <c r="O60" s="457">
        <f t="shared" si="0"/>
        <v>165.05309210526315</v>
      </c>
      <c r="T60" s="457">
        <v>70</v>
      </c>
      <c r="U60" s="457">
        <v>233.7</v>
      </c>
      <c r="V60" s="457">
        <f t="shared" si="27"/>
        <v>311.57437499999997</v>
      </c>
      <c r="X60" s="459">
        <f t="shared" si="9"/>
        <v>311.16881853940902</v>
      </c>
      <c r="Y60" s="465">
        <f t="shared" si="28"/>
        <v>0.16447604272706531</v>
      </c>
      <c r="Z60" s="485">
        <f t="shared" si="29"/>
        <v>-1.3016361200787392E-3</v>
      </c>
      <c r="AA60" s="486">
        <f t="shared" si="30"/>
        <v>2.848610336253003E-3</v>
      </c>
      <c r="AC60" s="15">
        <f t="shared" si="12"/>
        <v>311.16881853940868</v>
      </c>
      <c r="AD60" s="491"/>
    </row>
    <row r="61" spans="1:31" x14ac:dyDescent="0.25">
      <c r="A61" s="458">
        <f t="shared" si="17"/>
        <v>86</v>
      </c>
      <c r="B61" s="490">
        <f t="shared" si="18"/>
        <v>601.15055921052635</v>
      </c>
      <c r="C61" s="475">
        <f t="shared" si="19"/>
        <v>604.87033066996548</v>
      </c>
      <c r="D61" s="438"/>
      <c r="E61" s="487">
        <f t="shared" si="20"/>
        <v>6.187753471150719E-3</v>
      </c>
      <c r="F61" s="482"/>
      <c r="G61" s="478">
        <f t="shared" si="31"/>
        <v>597.78900244816202</v>
      </c>
      <c r="H61" s="488">
        <f t="shared" si="21"/>
        <v>-1.1707183941325161E-2</v>
      </c>
      <c r="L61" s="431"/>
      <c r="M61" s="457">
        <v>57</v>
      </c>
      <c r="N61" s="457">
        <v>129.80000000000001</v>
      </c>
      <c r="O61" s="457">
        <f t="shared" si="0"/>
        <v>173.05243421052631</v>
      </c>
      <c r="T61" s="457">
        <v>71</v>
      </c>
      <c r="U61" s="457">
        <v>243.9</v>
      </c>
      <c r="V61" s="457">
        <f t="shared" si="27"/>
        <v>325.17325657894742</v>
      </c>
      <c r="X61" s="459">
        <f t="shared" si="9"/>
        <v>324.83777540511358</v>
      </c>
      <c r="Y61" s="465">
        <f t="shared" si="28"/>
        <v>0.112547617996932</v>
      </c>
      <c r="Z61" s="485">
        <f t="shared" si="29"/>
        <v>-1.0316997694193564E-3</v>
      </c>
      <c r="AA61" s="486">
        <f t="shared" si="30"/>
        <v>2.921945958249125E-3</v>
      </c>
      <c r="AC61" s="15">
        <f t="shared" si="12"/>
        <v>324.83777540511312</v>
      </c>
      <c r="AD61" s="491"/>
    </row>
    <row r="62" spans="1:31" x14ac:dyDescent="0.25">
      <c r="A62" s="458">
        <f t="shared" si="17"/>
        <v>87</v>
      </c>
      <c r="B62" s="490">
        <f t="shared" si="18"/>
        <v>624.88194078947367</v>
      </c>
      <c r="C62" s="475">
        <f t="shared" si="19"/>
        <v>629.0611672496234</v>
      </c>
      <c r="D62" s="438"/>
      <c r="E62" s="487">
        <f t="shared" si="20"/>
        <v>6.6880256690883093E-3</v>
      </c>
      <c r="F62" s="482"/>
      <c r="G62" s="478">
        <f t="shared" si="31"/>
        <v>621.31499053342372</v>
      </c>
      <c r="H62" s="488">
        <f t="shared" si="21"/>
        <v>-1.2313868856453893E-2</v>
      </c>
      <c r="L62" s="431"/>
      <c r="M62" s="457">
        <v>58</v>
      </c>
      <c r="N62" s="457">
        <v>136.1</v>
      </c>
      <c r="O62" s="457">
        <f t="shared" si="0"/>
        <v>181.45174342105261</v>
      </c>
      <c r="T62" s="457">
        <v>72</v>
      </c>
      <c r="U62" s="457">
        <v>254.6</v>
      </c>
      <c r="V62" s="457">
        <f t="shared" si="27"/>
        <v>339.43874999999997</v>
      </c>
      <c r="X62" s="459">
        <f t="shared" si="9"/>
        <v>339.02741535809776</v>
      </c>
      <c r="Y62" s="465">
        <f t="shared" si="28"/>
        <v>0.16919618762882346</v>
      </c>
      <c r="Z62" s="485">
        <f t="shared" si="29"/>
        <v>-1.2118081447749117E-3</v>
      </c>
      <c r="AA62" s="486">
        <f t="shared" si="30"/>
        <v>2.984059626533731E-3</v>
      </c>
      <c r="AC62" s="15">
        <f t="shared" si="12"/>
        <v>339.0274153580973</v>
      </c>
      <c r="AD62" s="491"/>
    </row>
    <row r="63" spans="1:31" x14ac:dyDescent="0.25">
      <c r="A63" s="458">
        <f t="shared" si="17"/>
        <v>88</v>
      </c>
      <c r="B63" s="490">
        <f t="shared" si="18"/>
        <v>649.41325657894743</v>
      </c>
      <c r="C63" s="475">
        <f t="shared" si="19"/>
        <v>654.06766857483933</v>
      </c>
      <c r="D63" s="438"/>
      <c r="E63" s="487">
        <f t="shared" si="20"/>
        <v>7.1671034564507402E-3</v>
      </c>
      <c r="F63" s="482"/>
      <c r="G63" s="478">
        <f t="shared" si="31"/>
        <v>645.60414675875609</v>
      </c>
      <c r="H63" s="488">
        <f t="shared" si="21"/>
        <v>-1.2939825988532005E-2</v>
      </c>
      <c r="L63" s="431"/>
      <c r="M63" s="457">
        <v>59</v>
      </c>
      <c r="N63" s="457">
        <v>142.6</v>
      </c>
      <c r="O63" s="457">
        <f t="shared" si="0"/>
        <v>190.11769736842103</v>
      </c>
      <c r="T63" s="457">
        <v>73</v>
      </c>
      <c r="U63" s="457">
        <v>265.7</v>
      </c>
      <c r="V63" s="457">
        <f t="shared" si="27"/>
        <v>354.23753289473677</v>
      </c>
      <c r="X63" s="459">
        <f t="shared" si="9"/>
        <v>353.75358582495403</v>
      </c>
      <c r="Y63" s="465">
        <f t="shared" si="28"/>
        <v>0.2342047663513038</v>
      </c>
      <c r="Z63" s="485">
        <f t="shared" si="29"/>
        <v>-1.3661654252954351E-3</v>
      </c>
      <c r="AA63" s="486">
        <f t="shared" si="30"/>
        <v>3.0795589208300416E-3</v>
      </c>
      <c r="AC63" s="15">
        <f t="shared" si="12"/>
        <v>353.7535858249538</v>
      </c>
      <c r="AD63" s="491"/>
    </row>
    <row r="64" spans="1:31" x14ac:dyDescent="0.25">
      <c r="A64" s="458">
        <f t="shared" si="17"/>
        <v>89</v>
      </c>
      <c r="B64" s="490">
        <f t="shared" si="18"/>
        <v>674.74450657894738</v>
      </c>
      <c r="C64" s="475">
        <f t="shared" si="19"/>
        <v>679.91206891596914</v>
      </c>
      <c r="D64" s="438"/>
      <c r="E64" s="487">
        <f t="shared" si="20"/>
        <v>7.6585467338178932E-3</v>
      </c>
      <c r="F64" s="482"/>
      <c r="G64" s="478">
        <f t="shared" si="31"/>
        <v>670.67529864512528</v>
      </c>
      <c r="H64" s="488">
        <f t="shared" si="21"/>
        <v>-1.3585242405787391E-2</v>
      </c>
      <c r="L64" s="431"/>
      <c r="M64" s="457">
        <v>60</v>
      </c>
      <c r="N64" s="457">
        <v>149.4</v>
      </c>
      <c r="O64" s="457">
        <f t="shared" si="0"/>
        <v>199.18361842105264</v>
      </c>
      <c r="T64" s="457">
        <v>74</v>
      </c>
      <c r="U64" s="457">
        <v>277.2</v>
      </c>
      <c r="V64" s="457">
        <f t="shared" si="27"/>
        <v>369.56960526315783</v>
      </c>
      <c r="X64" s="459">
        <f t="shared" si="9"/>
        <v>369.03213423227442</v>
      </c>
      <c r="Y64" s="465">
        <f t="shared" si="28"/>
        <v>0.28887510903887509</v>
      </c>
      <c r="Z64" s="485">
        <f t="shared" si="29"/>
        <v>-1.4543161104947876E-3</v>
      </c>
      <c r="AA64" s="486">
        <f t="shared" si="30"/>
        <v>3.2467565056908151E-3</v>
      </c>
      <c r="AC64" s="15">
        <f t="shared" si="12"/>
        <v>369.03213423227419</v>
      </c>
    </row>
    <row r="65" spans="1:29" x14ac:dyDescent="0.25">
      <c r="A65" s="458">
        <f t="shared" si="17"/>
        <v>90</v>
      </c>
      <c r="B65" s="490">
        <f t="shared" si="18"/>
        <v>701.00901315789474</v>
      </c>
      <c r="C65" s="475">
        <f t="shared" si="19"/>
        <v>706.61706118419886</v>
      </c>
      <c r="D65" s="438"/>
      <c r="E65" s="487">
        <f t="shared" si="20"/>
        <v>7.9999656509993633E-3</v>
      </c>
      <c r="F65" s="482"/>
      <c r="G65" s="478">
        <f t="shared" si="31"/>
        <v>696.54755830566148</v>
      </c>
      <c r="H65" s="488">
        <f t="shared" si="21"/>
        <v>-1.4250296846303417E-2</v>
      </c>
      <c r="L65" s="431"/>
      <c r="M65" s="457">
        <v>61</v>
      </c>
      <c r="N65" s="457">
        <v>156.4</v>
      </c>
      <c r="O65" s="457">
        <f t="shared" si="0"/>
        <v>208.51618421052635</v>
      </c>
      <c r="T65" s="457">
        <v>75</v>
      </c>
      <c r="U65" s="457">
        <v>289.10000000000002</v>
      </c>
      <c r="V65" s="457">
        <f t="shared" si="27"/>
        <v>385.43496710526318</v>
      </c>
      <c r="X65" s="459">
        <f t="shared" si="9"/>
        <v>384.87890800665116</v>
      </c>
      <c r="Y65" s="465">
        <f t="shared" si="28"/>
        <v>0.30920172114921735</v>
      </c>
      <c r="Z65" s="485">
        <f t="shared" si="29"/>
        <v>-1.4426794299131755E-3</v>
      </c>
      <c r="AA65" s="486">
        <f t="shared" si="30"/>
        <v>3.5183767452692974E-3</v>
      </c>
      <c r="AC65" s="15">
        <f t="shared" si="12"/>
        <v>384.87890800665093</v>
      </c>
    </row>
    <row r="66" spans="1:29" x14ac:dyDescent="0.25">
      <c r="A66" s="458">
        <f t="shared" si="17"/>
        <v>91</v>
      </c>
      <c r="B66" s="490">
        <f t="shared" si="18"/>
        <v>727.94013157894733</v>
      </c>
      <c r="C66" s="475">
        <f t="shared" si="19"/>
        <v>734.2058032828246</v>
      </c>
      <c r="D66" s="438"/>
      <c r="E66" s="487">
        <f t="shared" si="20"/>
        <v>8.6073997463041955E-3</v>
      </c>
      <c r="F66" s="482"/>
      <c r="G66" s="478">
        <f t="shared" si="31"/>
        <v>723.24032233628122</v>
      </c>
      <c r="H66" s="488">
        <f t="shared" si="21"/>
        <v>-1.4935159729756793E-2</v>
      </c>
      <c r="L66" s="431"/>
      <c r="M66" s="457">
        <v>62</v>
      </c>
      <c r="N66" s="457">
        <v>163.80000000000001</v>
      </c>
      <c r="O66" s="457">
        <f t="shared" si="0"/>
        <v>218.38203947368422</v>
      </c>
      <c r="T66" s="457">
        <v>76</v>
      </c>
      <c r="U66" s="457">
        <v>301.39999999999998</v>
      </c>
      <c r="V66" s="457">
        <f t="shared" si="27"/>
        <v>401.83361842105262</v>
      </c>
      <c r="X66" s="459">
        <f t="shared" si="9"/>
        <v>401.30975457467605</v>
      </c>
      <c r="Y66" s="465">
        <f t="shared" si="28"/>
        <v>0.27443332954045557</v>
      </c>
      <c r="Z66" s="485">
        <f t="shared" si="29"/>
        <v>-1.3036834708728916E-3</v>
      </c>
      <c r="AA66" s="486">
        <f t="shared" si="30"/>
        <v>3.9222112470514775E-3</v>
      </c>
      <c r="AC66" s="15">
        <f t="shared" si="12"/>
        <v>401.30975457467605</v>
      </c>
    </row>
    <row r="67" spans="1:29" x14ac:dyDescent="0.25">
      <c r="A67" s="458">
        <f t="shared" si="17"/>
        <v>92</v>
      </c>
      <c r="B67" s="490">
        <f t="shared" si="18"/>
        <v>755.93782894736842</v>
      </c>
      <c r="C67" s="475">
        <f t="shared" si="19"/>
        <v>762.70192450271668</v>
      </c>
      <c r="D67" s="438"/>
      <c r="E67" s="487">
        <f t="shared" si="20"/>
        <v>8.9479521943850327E-3</v>
      </c>
      <c r="F67" s="482"/>
      <c r="G67" s="478">
        <f t="shared" si="31"/>
        <v>750.77327160748575</v>
      </c>
      <c r="H67" s="488">
        <f t="shared" si="21"/>
        <v>-1.563999317689992E-2</v>
      </c>
      <c r="L67" s="431"/>
      <c r="M67" s="457">
        <v>63</v>
      </c>
      <c r="N67" s="457">
        <v>171.4</v>
      </c>
      <c r="O67" s="457">
        <f t="shared" si="0"/>
        <v>228.51453947368424</v>
      </c>
      <c r="T67" s="457">
        <v>77</v>
      </c>
      <c r="U67" s="457">
        <v>314.10000000000002</v>
      </c>
      <c r="V67" s="457">
        <f t="shared" si="27"/>
        <v>418.76555921052631</v>
      </c>
      <c r="X67" s="459">
        <f t="shared" si="9"/>
        <v>418.34052136294179</v>
      </c>
      <c r="Y67" s="465">
        <f t="shared" si="28"/>
        <v>0.18065717187928129</v>
      </c>
      <c r="Z67" s="485">
        <f t="shared" si="29"/>
        <v>-1.0149780425730761E-3</v>
      </c>
      <c r="AA67" s="486">
        <f t="shared" si="30"/>
        <v>4.1748201121777507E-3</v>
      </c>
      <c r="AC67" s="15">
        <f t="shared" si="12"/>
        <v>418.34052136294156</v>
      </c>
    </row>
    <row r="68" spans="1:29" x14ac:dyDescent="0.25">
      <c r="A68" s="458">
        <f t="shared" si="17"/>
        <v>93</v>
      </c>
      <c r="B68" s="490">
        <f t="shared" si="18"/>
        <v>784.73546052631593</v>
      </c>
      <c r="C68" s="475">
        <f t="shared" si="19"/>
        <v>792.12953196196975</v>
      </c>
      <c r="D68" s="438"/>
      <c r="E68" s="487">
        <f t="shared" si="20"/>
        <v>9.4223745549801806E-3</v>
      </c>
      <c r="F68" s="482"/>
      <c r="G68" s="478">
        <f t="shared" si="31"/>
        <v>779.16637095694148</v>
      </c>
      <c r="H68" s="488">
        <f t="shared" si="21"/>
        <v>-1.6364951036380034E-2</v>
      </c>
      <c r="L68" s="431"/>
      <c r="M68" s="457">
        <v>64</v>
      </c>
      <c r="N68" s="457">
        <v>179.3</v>
      </c>
      <c r="O68" s="457">
        <f t="shared" ref="O68:O102" si="32">+N68*O$104/N$104</f>
        <v>239.04700657894739</v>
      </c>
      <c r="T68" s="457">
        <v>78</v>
      </c>
      <c r="U68" s="457">
        <v>327.3</v>
      </c>
      <c r="V68" s="457">
        <f t="shared" si="27"/>
        <v>436.36411184210533</v>
      </c>
      <c r="X68" s="459">
        <f t="shared" si="9"/>
        <v>435.98705579803948</v>
      </c>
      <c r="Y68" s="465">
        <f t="shared" si="28"/>
        <v>0.14217126036659034</v>
      </c>
      <c r="Z68" s="485">
        <f t="shared" si="29"/>
        <v>-8.6408582611002469E-4</v>
      </c>
      <c r="AA68" s="486">
        <f t="shared" si="30"/>
        <v>4.3322189644065898E-3</v>
      </c>
      <c r="AC68" s="15">
        <f t="shared" si="12"/>
        <v>435.98705579803948</v>
      </c>
    </row>
    <row r="69" spans="1:29" x14ac:dyDescent="0.25">
      <c r="A69" s="458">
        <f t="shared" si="17"/>
        <v>94</v>
      </c>
      <c r="B69" s="490">
        <f t="shared" si="18"/>
        <v>814.4663486842104</v>
      </c>
      <c r="C69" s="475">
        <f t="shared" si="19"/>
        <v>822.51321708973694</v>
      </c>
      <c r="D69" s="438"/>
      <c r="E69" s="487">
        <f t="shared" si="20"/>
        <v>9.8799274132399008E-3</v>
      </c>
      <c r="F69" s="482"/>
      <c r="G69" s="478">
        <f t="shared" si="31"/>
        <v>808.43986878255487</v>
      </c>
      <c r="H69" s="488">
        <f t="shared" si="21"/>
        <v>-1.7110178918433912E-2</v>
      </c>
      <c r="L69" s="431"/>
      <c r="M69" s="457">
        <v>65</v>
      </c>
      <c r="N69" s="457">
        <v>187.5</v>
      </c>
      <c r="O69" s="457">
        <f t="shared" si="32"/>
        <v>249.97944078947367</v>
      </c>
      <c r="T69" s="457">
        <v>79</v>
      </c>
      <c r="U69" s="457">
        <v>341</v>
      </c>
      <c r="V69" s="457">
        <f t="shared" si="27"/>
        <v>454.62927631578947</v>
      </c>
      <c r="X69" s="459">
        <f t="shared" si="9"/>
        <v>454.26520530656239</v>
      </c>
      <c r="Y69" s="465">
        <f t="shared" si="28"/>
        <v>0.13254769975962102</v>
      </c>
      <c r="Z69" s="485">
        <f t="shared" si="29"/>
        <v>-8.0080854488171643E-4</v>
      </c>
      <c r="AA69" s="486">
        <f t="shared" si="30"/>
        <v>4.7264449003441887E-3</v>
      </c>
      <c r="AC69" s="15">
        <f t="shared" si="12"/>
        <v>454.26520530656239</v>
      </c>
    </row>
    <row r="70" spans="1:29" x14ac:dyDescent="0.25">
      <c r="A70" s="458">
        <f t="shared" si="17"/>
        <v>95</v>
      </c>
      <c r="B70" s="490">
        <f t="shared" si="18"/>
        <v>845.13049342105251</v>
      </c>
      <c r="C70" s="475">
        <f t="shared" si="19"/>
        <v>853.87806215424962</v>
      </c>
      <c r="D70" s="438"/>
      <c r="E70" s="487">
        <f t="shared" si="20"/>
        <v>1.0350553910068165E-2</v>
      </c>
      <c r="F70" s="482"/>
      <c r="G70" s="478">
        <f t="shared" si="31"/>
        <v>838.61429653575237</v>
      </c>
      <c r="H70" s="488">
        <f t="shared" si="21"/>
        <v>-1.7875814235100828E-2</v>
      </c>
      <c r="L70" s="431"/>
      <c r="M70" s="457">
        <v>66</v>
      </c>
      <c r="N70" s="457">
        <v>196.1</v>
      </c>
      <c r="O70" s="457">
        <f t="shared" si="32"/>
        <v>261.4451644736842</v>
      </c>
      <c r="T70" s="457">
        <v>80</v>
      </c>
      <c r="U70" s="457">
        <v>355.1</v>
      </c>
      <c r="V70" s="457">
        <f t="shared" si="27"/>
        <v>473.42773026315791</v>
      </c>
      <c r="X70" s="459">
        <f t="shared" si="9"/>
        <v>473.19081731510209</v>
      </c>
      <c r="Y70" s="465">
        <f t="shared" si="28"/>
        <v>5.6127744956498339E-2</v>
      </c>
      <c r="Z70" s="485">
        <f t="shared" si="29"/>
        <v>-5.0042051386412791E-4</v>
      </c>
      <c r="AA70" s="486">
        <f t="shared" si="30"/>
        <v>5.0953013228530681E-3</v>
      </c>
      <c r="AC70" s="15">
        <f t="shared" si="12"/>
        <v>473.19081731510209</v>
      </c>
    </row>
    <row r="71" spans="1:29" x14ac:dyDescent="0.25">
      <c r="A71" s="458">
        <f t="shared" si="17"/>
        <v>96</v>
      </c>
      <c r="B71" s="490">
        <f t="shared" si="18"/>
        <v>876.72789473684225</v>
      </c>
      <c r="C71" s="475">
        <f t="shared" si="19"/>
        <v>886.24964683502367</v>
      </c>
      <c r="D71" s="438"/>
      <c r="E71" s="487">
        <f t="shared" si="20"/>
        <v>1.0860555658536978E-2</v>
      </c>
      <c r="F71" s="482"/>
      <c r="G71" s="478">
        <f t="shared" si="31"/>
        <v>869.71046811477288</v>
      </c>
      <c r="H71" s="488">
        <f t="shared" si="21"/>
        <v>-1.8661986246556524E-2</v>
      </c>
      <c r="L71" s="431"/>
      <c r="M71" s="457">
        <v>67</v>
      </c>
      <c r="N71" s="457">
        <v>205</v>
      </c>
      <c r="O71" s="457">
        <f t="shared" si="32"/>
        <v>273.31085526315792</v>
      </c>
      <c r="T71" s="457">
        <v>81</v>
      </c>
      <c r="U71" s="457">
        <v>369.7</v>
      </c>
      <c r="V71" s="457">
        <f t="shared" si="27"/>
        <v>492.89279605263152</v>
      </c>
      <c r="X71" s="459">
        <f t="shared" si="9"/>
        <v>492.77973925025049</v>
      </c>
      <c r="Y71" s="465">
        <f t="shared" si="28"/>
        <v>1.2781840564625153E-2</v>
      </c>
      <c r="Z71" s="485">
        <f t="shared" si="29"/>
        <v>-2.2937402065208114E-4</v>
      </c>
      <c r="AA71" s="486">
        <f t="shared" si="30"/>
        <v>5.216428234592123E-3</v>
      </c>
      <c r="AC71" s="15">
        <f t="shared" si="12"/>
        <v>492.77973925025049</v>
      </c>
    </row>
    <row r="72" spans="1:29" x14ac:dyDescent="0.25">
      <c r="A72" s="458">
        <f t="shared" si="17"/>
        <v>97</v>
      </c>
      <c r="B72" s="490">
        <f t="shared" si="18"/>
        <v>909.39187500000014</v>
      </c>
      <c r="C72" s="475">
        <f t="shared" si="19"/>
        <v>919.65405483924849</v>
      </c>
      <c r="D72" s="438"/>
      <c r="E72" s="487">
        <f t="shared" si="20"/>
        <v>1.1284661894794634E-2</v>
      </c>
      <c r="F72" s="482"/>
      <c r="G72" s="478">
        <f t="shared" si="31"/>
        <v>901.74947915784526</v>
      </c>
      <c r="H72" s="488">
        <f t="shared" si="21"/>
        <v>-1.9468816113177332E-2</v>
      </c>
      <c r="L72" s="431"/>
      <c r="M72" s="457">
        <v>68</v>
      </c>
      <c r="N72" s="457">
        <v>214.2</v>
      </c>
      <c r="O72" s="457">
        <f t="shared" si="32"/>
        <v>285.57651315789474</v>
      </c>
      <c r="T72" s="457">
        <v>82</v>
      </c>
      <c r="U72" s="457">
        <v>384.9</v>
      </c>
      <c r="V72" s="457">
        <f t="shared" si="27"/>
        <v>513.15779605263151</v>
      </c>
      <c r="X72" s="459">
        <f t="shared" si="9"/>
        <v>513.04781853860004</v>
      </c>
      <c r="Y72" s="465">
        <f t="shared" si="28"/>
        <v>1.2095053592542289E-2</v>
      </c>
      <c r="Z72" s="485">
        <f t="shared" si="29"/>
        <v>-2.1431519676296754E-4</v>
      </c>
      <c r="AA72" s="486">
        <f t="shared" si="30"/>
        <v>5.4050992888892624E-3</v>
      </c>
      <c r="AC72" s="15">
        <f t="shared" si="12"/>
        <v>513.04781853860004</v>
      </c>
    </row>
    <row r="73" spans="1:29" x14ac:dyDescent="0.25">
      <c r="A73" s="458">
        <f t="shared" si="17"/>
        <v>98</v>
      </c>
      <c r="B73" s="490">
        <f t="shared" si="18"/>
        <v>942.98911184210522</v>
      </c>
      <c r="C73" s="475">
        <f t="shared" si="19"/>
        <v>954.11788056236219</v>
      </c>
      <c r="D73" s="438"/>
      <c r="E73" s="487">
        <f t="shared" si="20"/>
        <v>1.1801587717717339E-2</v>
      </c>
      <c r="F73" s="482"/>
      <c r="G73" s="478">
        <f t="shared" si="31"/>
        <v>934.75270623613085</v>
      </c>
      <c r="H73" s="488">
        <f t="shared" si="21"/>
        <v>-2.0296416953026183E-2</v>
      </c>
      <c r="L73" s="431"/>
      <c r="M73" s="457">
        <v>69</v>
      </c>
      <c r="N73" s="457">
        <v>223.7</v>
      </c>
      <c r="O73" s="457">
        <f t="shared" si="32"/>
        <v>298.24213815789471</v>
      </c>
      <c r="T73" s="457">
        <v>83</v>
      </c>
      <c r="U73" s="457">
        <v>400.6</v>
      </c>
      <c r="V73" s="457">
        <f t="shared" si="27"/>
        <v>534.08940789473684</v>
      </c>
      <c r="X73" s="459">
        <f t="shared" si="9"/>
        <v>534.01090260674232</v>
      </c>
      <c r="Y73" s="465">
        <f t="shared" si="28"/>
        <v>6.1630802431020468E-3</v>
      </c>
      <c r="Z73" s="485">
        <f t="shared" si="29"/>
        <v>-1.4698903747963765E-4</v>
      </c>
      <c r="AA73" s="486">
        <f t="shared" si="30"/>
        <v>5.6890567885075106E-3</v>
      </c>
      <c r="AC73" s="15">
        <f t="shared" si="12"/>
        <v>534.01090260674255</v>
      </c>
    </row>
    <row r="74" spans="1:29" x14ac:dyDescent="0.25">
      <c r="A74" s="458">
        <f t="shared" si="17"/>
        <v>99</v>
      </c>
      <c r="B74" s="490">
        <f t="shared" si="18"/>
        <v>977.51960526315793</v>
      </c>
      <c r="C74" s="475">
        <f t="shared" si="19"/>
        <v>989.66823579281197</v>
      </c>
      <c r="D74" s="438"/>
      <c r="E74" s="487">
        <f t="shared" si="20"/>
        <v>1.2428017263534588E-2</v>
      </c>
      <c r="F74" s="482"/>
      <c r="G74" s="478">
        <f t="shared" si="31"/>
        <v>968.74180594642985</v>
      </c>
      <c r="H74" s="488">
        <f t="shared" si="21"/>
        <v>-2.1144893904388267E-2</v>
      </c>
      <c r="L74" s="431"/>
      <c r="M74" s="457">
        <v>70</v>
      </c>
      <c r="N74" s="457">
        <v>233.7</v>
      </c>
      <c r="O74" s="457">
        <f t="shared" si="32"/>
        <v>311.57437499999997</v>
      </c>
      <c r="T74" s="457">
        <v>84</v>
      </c>
      <c r="U74" s="457">
        <v>416.8</v>
      </c>
      <c r="V74" s="457">
        <f t="shared" si="27"/>
        <v>555.68763157894739</v>
      </c>
      <c r="X74" s="459">
        <f t="shared" si="9"/>
        <v>555.68483888127071</v>
      </c>
      <c r="Y74" s="465">
        <f t="shared" si="28"/>
        <v>7.7991603133456548E-6</v>
      </c>
      <c r="Z74" s="485">
        <f t="shared" si="29"/>
        <v>-5.0256610332442627E-6</v>
      </c>
      <c r="AA74" s="486">
        <f t="shared" si="30"/>
        <v>5.8600081289763347E-3</v>
      </c>
      <c r="AC74" s="15">
        <f t="shared" si="12"/>
        <v>555.68483888127048</v>
      </c>
    </row>
    <row r="75" spans="1:29" x14ac:dyDescent="0.25">
      <c r="A75" s="458">
        <f t="shared" si="17"/>
        <v>100</v>
      </c>
      <c r="B75" s="490">
        <f t="shared" si="18"/>
        <v>1013.25</v>
      </c>
      <c r="C75" s="475">
        <f t="shared" si="19"/>
        <v>1026.3327564609999</v>
      </c>
      <c r="D75" s="438"/>
      <c r="E75" s="487">
        <f t="shared" si="20"/>
        <v>1.2911676744140061E-2</v>
      </c>
      <c r="F75" s="482"/>
      <c r="G75" s="478">
        <f t="shared" si="31"/>
        <v>1003.7387139036661</v>
      </c>
      <c r="H75" s="488">
        <f t="shared" si="21"/>
        <v>-2.2014344193049661E-2</v>
      </c>
      <c r="L75" s="431"/>
      <c r="M75" s="457">
        <v>71</v>
      </c>
      <c r="N75" s="457">
        <v>243.9</v>
      </c>
      <c r="O75" s="457">
        <f t="shared" si="32"/>
        <v>325.17325657894742</v>
      </c>
      <c r="T75" s="457">
        <v>85</v>
      </c>
      <c r="U75" s="457">
        <v>433.6</v>
      </c>
      <c r="V75" s="457">
        <f t="shared" si="27"/>
        <v>578.08578947368426</v>
      </c>
      <c r="X75" s="459">
        <f t="shared" si="9"/>
        <v>578.08547478877608</v>
      </c>
      <c r="Y75" s="465">
        <f t="shared" si="28"/>
        <v>9.9026591433660357E-8</v>
      </c>
      <c r="Z75" s="485">
        <f t="shared" si="29"/>
        <v>-5.4435676141145228E-7</v>
      </c>
      <c r="AA75" s="486">
        <f t="shared" si="30"/>
        <v>6.187753471150719E-3</v>
      </c>
      <c r="AC75" s="15">
        <f t="shared" si="12"/>
        <v>578.08547478877631</v>
      </c>
    </row>
    <row r="76" spans="1:29" x14ac:dyDescent="0.25">
      <c r="A76" s="458"/>
      <c r="B76" s="490"/>
      <c r="C76" s="475"/>
      <c r="D76" s="438"/>
      <c r="E76" s="487"/>
      <c r="F76" s="482"/>
      <c r="G76" s="478"/>
      <c r="H76" s="488"/>
      <c r="L76" s="431"/>
      <c r="M76" s="457">
        <v>72</v>
      </c>
      <c r="N76" s="457">
        <v>254.6</v>
      </c>
      <c r="O76" s="457">
        <f t="shared" si="32"/>
        <v>339.43874999999997</v>
      </c>
      <c r="T76" s="457">
        <v>86</v>
      </c>
      <c r="U76" s="457">
        <v>450.9</v>
      </c>
      <c r="V76" s="457">
        <f t="shared" si="27"/>
        <v>601.15055921052635</v>
      </c>
      <c r="X76" s="459">
        <f t="shared" si="9"/>
        <v>601.22865775585137</v>
      </c>
      <c r="Y76" s="465">
        <f t="shared" si="28"/>
        <v>6.0993827818841386E-3</v>
      </c>
      <c r="Z76" s="485">
        <f t="shared" si="29"/>
        <v>1.2991511715065881E-4</v>
      </c>
      <c r="AA76" s="486">
        <f t="shared" si="30"/>
        <v>6.6880256690883093E-3</v>
      </c>
      <c r="AC76" s="15">
        <f t="shared" si="12"/>
        <v>601.22865775585137</v>
      </c>
    </row>
    <row r="77" spans="1:29" x14ac:dyDescent="0.25">
      <c r="A77" s="458"/>
      <c r="B77" s="490"/>
      <c r="C77" s="475"/>
      <c r="D77" s="438"/>
      <c r="E77" s="487"/>
      <c r="F77" s="482"/>
      <c r="G77" s="478"/>
      <c r="H77" s="488"/>
      <c r="L77" s="431"/>
      <c r="M77" s="457">
        <v>73</v>
      </c>
      <c r="N77" s="457">
        <v>265.7</v>
      </c>
      <c r="O77" s="457">
        <f t="shared" si="32"/>
        <v>354.23753289473677</v>
      </c>
      <c r="T77" s="457">
        <v>87</v>
      </c>
      <c r="U77" s="457">
        <v>468.7</v>
      </c>
      <c r="V77" s="457">
        <f t="shared" si="27"/>
        <v>624.88194078947367</v>
      </c>
      <c r="X77" s="459">
        <f t="shared" si="9"/>
        <v>625.13023520908769</v>
      </c>
      <c r="Y77" s="465">
        <f t="shared" si="28"/>
        <v>6.1650118811459285E-2</v>
      </c>
      <c r="Z77" s="485">
        <f t="shared" si="29"/>
        <v>3.973461279746989E-4</v>
      </c>
      <c r="AA77" s="486">
        <f t="shared" si="30"/>
        <v>7.1671034564507402E-3</v>
      </c>
      <c r="AC77" s="15">
        <f t="shared" si="12"/>
        <v>625.13023520908837</v>
      </c>
    </row>
    <row r="78" spans="1:29" x14ac:dyDescent="0.25">
      <c r="G78" s="478"/>
      <c r="L78" s="431"/>
      <c r="M78" s="457">
        <v>74</v>
      </c>
      <c r="N78" s="457">
        <v>277.2</v>
      </c>
      <c r="O78" s="457">
        <f t="shared" si="32"/>
        <v>369.56960526315783</v>
      </c>
      <c r="T78" s="457">
        <v>88</v>
      </c>
      <c r="U78" s="457">
        <v>487.1</v>
      </c>
      <c r="V78" s="457">
        <f t="shared" si="27"/>
        <v>649.41325657894743</v>
      </c>
      <c r="X78" s="459">
        <f t="shared" si="9"/>
        <v>649.80605457507841</v>
      </c>
      <c r="Y78" s="465">
        <f t="shared" si="28"/>
        <v>0.15429026576451355</v>
      </c>
      <c r="Z78" s="485">
        <f t="shared" si="29"/>
        <v>6.04850597291786E-4</v>
      </c>
      <c r="AA78" s="486">
        <f t="shared" si="30"/>
        <v>7.6585467338178932E-3</v>
      </c>
      <c r="AC78" s="15">
        <f t="shared" si="12"/>
        <v>649.80605457507909</v>
      </c>
    </row>
    <row r="79" spans="1:29" x14ac:dyDescent="0.25">
      <c r="G79" s="478"/>
      <c r="H79" s="488"/>
      <c r="L79" s="431"/>
      <c r="M79" s="457">
        <v>75</v>
      </c>
      <c r="N79" s="457">
        <v>289.10000000000002</v>
      </c>
      <c r="O79" s="457">
        <f t="shared" si="32"/>
        <v>385.43496710526318</v>
      </c>
      <c r="T79" s="457">
        <v>89</v>
      </c>
      <c r="U79" s="457">
        <v>506.1</v>
      </c>
      <c r="V79" s="457">
        <f t="shared" si="27"/>
        <v>674.74450657894738</v>
      </c>
      <c r="X79" s="459">
        <f t="shared" si="9"/>
        <v>675.27196328041487</v>
      </c>
      <c r="Y79" s="465">
        <f t="shared" si="28"/>
        <v>0.27821057192296045</v>
      </c>
      <c r="Z79" s="485">
        <f t="shared" si="29"/>
        <v>7.8171322081859969E-4</v>
      </c>
      <c r="AA79" s="486">
        <f t="shared" si="30"/>
        <v>7.9999656509993633E-3</v>
      </c>
      <c r="AC79" s="15">
        <f t="shared" si="12"/>
        <v>675.27196328041555</v>
      </c>
    </row>
    <row r="80" spans="1:29" x14ac:dyDescent="0.25">
      <c r="G80" s="478"/>
      <c r="L80" s="431"/>
      <c r="M80" s="457">
        <v>76</v>
      </c>
      <c r="N80" s="457">
        <v>301.39999999999998</v>
      </c>
      <c r="O80" s="457">
        <f t="shared" si="32"/>
        <v>401.83361842105262</v>
      </c>
      <c r="T80" s="457">
        <v>90</v>
      </c>
      <c r="U80" s="457">
        <v>525.79999999999995</v>
      </c>
      <c r="V80" s="457">
        <f t="shared" si="27"/>
        <v>701.00901315789474</v>
      </c>
      <c r="X80" s="459">
        <f t="shared" ref="X80:X90" si="33">+X$3+X$4*T80+X$5*T80^2+X$6*T80^3</f>
        <v>701.54380875168931</v>
      </c>
      <c r="Y80" s="465">
        <f t="shared" si="28"/>
        <v>0.28600632714208657</v>
      </c>
      <c r="Z80" s="485">
        <f t="shared" si="29"/>
        <v>7.6289403382337527E-4</v>
      </c>
      <c r="AA80" s="486">
        <f t="shared" si="30"/>
        <v>8.6073997463041955E-3</v>
      </c>
      <c r="AC80" s="15">
        <f t="shared" si="12"/>
        <v>701.54380875169022</v>
      </c>
    </row>
    <row r="81" spans="7:29" x14ac:dyDescent="0.25">
      <c r="G81" s="478"/>
      <c r="H81" s="488"/>
      <c r="L81" s="431"/>
      <c r="M81" s="457">
        <v>77</v>
      </c>
      <c r="N81" s="457">
        <v>314.10000000000002</v>
      </c>
      <c r="O81" s="457">
        <f t="shared" si="32"/>
        <v>418.76555921052631</v>
      </c>
      <c r="T81" s="457">
        <v>91</v>
      </c>
      <c r="U81" s="457">
        <v>546</v>
      </c>
      <c r="V81" s="457">
        <f t="shared" si="27"/>
        <v>727.94013157894733</v>
      </c>
      <c r="X81" s="459">
        <f t="shared" si="33"/>
        <v>728.63743841549422</v>
      </c>
      <c r="Y81" s="465">
        <f t="shared" si="28"/>
        <v>0.48623682429502585</v>
      </c>
      <c r="Z81" s="485">
        <f t="shared" si="29"/>
        <v>9.5791783732871599E-4</v>
      </c>
      <c r="AC81" s="15">
        <f t="shared" ref="AC81:AC90" si="34">IF(T81&lt;62.276,6.107799961+T81*(0.4436518521+T81*(0.01428945805+T81*(0.0002650648471+T81*(0.000003031240396+T81*(0.00000002034080948+T81*6.136820929E-11))))),-296.901212123675+16.9015967001546*T81-0.302242100380422*T81^2+0.00264123776535373*T81^3)</f>
        <v>728.6374384154949</v>
      </c>
    </row>
    <row r="82" spans="7:29" x14ac:dyDescent="0.25">
      <c r="G82" s="478"/>
      <c r="H82" s="488"/>
      <c r="L82" s="431"/>
      <c r="M82" s="457">
        <v>78</v>
      </c>
      <c r="N82" s="457">
        <v>327.3</v>
      </c>
      <c r="O82" s="457">
        <f t="shared" si="32"/>
        <v>436.36411184210533</v>
      </c>
      <c r="T82" s="457">
        <v>92</v>
      </c>
      <c r="U82" s="457">
        <v>567</v>
      </c>
      <c r="V82" s="457">
        <f t="shared" si="27"/>
        <v>755.93782894736842</v>
      </c>
      <c r="X82" s="459">
        <f t="shared" si="33"/>
        <v>756.56869969842091</v>
      </c>
      <c r="Y82" s="465">
        <f t="shared" si="28"/>
        <v>0.39799790453354322</v>
      </c>
      <c r="Z82" s="485">
        <f t="shared" si="29"/>
        <v>8.3455375150490337E-4</v>
      </c>
      <c r="AC82" s="15">
        <f t="shared" si="34"/>
        <v>756.56869969842182</v>
      </c>
    </row>
    <row r="83" spans="7:29" x14ac:dyDescent="0.25">
      <c r="G83" s="478"/>
      <c r="H83" s="488"/>
      <c r="L83" s="431"/>
      <c r="M83" s="457">
        <v>79</v>
      </c>
      <c r="N83" s="457">
        <v>341</v>
      </c>
      <c r="O83" s="457">
        <f t="shared" si="32"/>
        <v>454.62927631578947</v>
      </c>
      <c r="T83" s="457">
        <v>93</v>
      </c>
      <c r="U83" s="457">
        <v>588.6</v>
      </c>
      <c r="V83" s="457">
        <f t="shared" si="27"/>
        <v>784.73546052631593</v>
      </c>
      <c r="X83" s="459">
        <f t="shared" si="33"/>
        <v>785.35344002706279</v>
      </c>
      <c r="Y83" s="465">
        <f t="shared" si="28"/>
        <v>0.38189866334333289</v>
      </c>
      <c r="Z83" s="485">
        <f t="shared" si="29"/>
        <v>7.8750041489444303E-4</v>
      </c>
      <c r="AC83" s="15">
        <f t="shared" si="34"/>
        <v>785.35344002706324</v>
      </c>
    </row>
    <row r="84" spans="7:29" x14ac:dyDescent="0.25">
      <c r="G84" s="15"/>
      <c r="L84" s="431"/>
      <c r="M84" s="457">
        <v>80</v>
      </c>
      <c r="N84" s="457">
        <v>355.1</v>
      </c>
      <c r="O84" s="457">
        <f t="shared" si="32"/>
        <v>473.42773026315791</v>
      </c>
      <c r="T84" s="457">
        <v>94</v>
      </c>
      <c r="U84" s="457">
        <v>610.9</v>
      </c>
      <c r="V84" s="457">
        <f t="shared" si="27"/>
        <v>814.4663486842104</v>
      </c>
      <c r="X84" s="459">
        <f t="shared" si="33"/>
        <v>815.00750682801026</v>
      </c>
      <c r="Y84" s="465">
        <f t="shared" si="28"/>
        <v>0.29285213660091219</v>
      </c>
      <c r="Z84" s="485">
        <f t="shared" si="29"/>
        <v>6.6443278433064271E-4</v>
      </c>
      <c r="AC84" s="15">
        <f t="shared" si="34"/>
        <v>815.00750682801072</v>
      </c>
    </row>
    <row r="85" spans="7:29" x14ac:dyDescent="0.25">
      <c r="G85" s="478"/>
      <c r="H85" s="488"/>
      <c r="L85" s="431"/>
      <c r="M85" s="457">
        <v>81</v>
      </c>
      <c r="N85" s="457">
        <v>369.7</v>
      </c>
      <c r="O85" s="457">
        <f t="shared" si="32"/>
        <v>492.89279605263152</v>
      </c>
      <c r="T85" s="457">
        <v>95</v>
      </c>
      <c r="U85" s="457">
        <v>633.9</v>
      </c>
      <c r="V85" s="457">
        <f t="shared" si="27"/>
        <v>845.13049342105251</v>
      </c>
      <c r="X85" s="459">
        <f t="shared" si="33"/>
        <v>845.5467475278565</v>
      </c>
      <c r="Y85" s="465">
        <f t="shared" si="28"/>
        <v>0.1732674814311875</v>
      </c>
      <c r="Z85" s="485">
        <f t="shared" si="29"/>
        <v>4.9253234860691271E-4</v>
      </c>
      <c r="AC85" s="15">
        <f t="shared" si="34"/>
        <v>845.54674752785741</v>
      </c>
    </row>
    <row r="86" spans="7:29" x14ac:dyDescent="0.25">
      <c r="G86" s="478"/>
      <c r="H86" s="488"/>
      <c r="L86" s="431"/>
      <c r="M86" s="457">
        <v>82</v>
      </c>
      <c r="N86" s="457">
        <v>384.9</v>
      </c>
      <c r="O86" s="457">
        <f t="shared" si="32"/>
        <v>513.15779605263151</v>
      </c>
      <c r="T86" s="457">
        <v>96</v>
      </c>
      <c r="U86" s="457">
        <v>657.6</v>
      </c>
      <c r="V86" s="457">
        <f t="shared" si="27"/>
        <v>876.72789473684225</v>
      </c>
      <c r="X86" s="459">
        <f t="shared" si="33"/>
        <v>876.98700955319373</v>
      </c>
      <c r="Y86" s="465">
        <f t="shared" si="28"/>
        <v>6.7140488052863531E-2</v>
      </c>
      <c r="Z86" s="485">
        <f t="shared" si="29"/>
        <v>2.955475899728959E-4</v>
      </c>
      <c r="AC86" s="15">
        <f t="shared" si="34"/>
        <v>876.98700955319509</v>
      </c>
    </row>
    <row r="87" spans="7:29" x14ac:dyDescent="0.25">
      <c r="G87" s="478"/>
      <c r="H87" s="488"/>
      <c r="L87" s="431"/>
      <c r="M87" s="457">
        <v>83</v>
      </c>
      <c r="N87" s="457">
        <v>400.6</v>
      </c>
      <c r="O87" s="457">
        <f t="shared" si="32"/>
        <v>534.08940789473684</v>
      </c>
      <c r="T87" s="457">
        <v>97</v>
      </c>
      <c r="U87" s="457">
        <v>682.1</v>
      </c>
      <c r="V87" s="457">
        <f t="shared" si="27"/>
        <v>909.39187500000014</v>
      </c>
      <c r="X87" s="459">
        <f t="shared" si="33"/>
        <v>909.34414033061466</v>
      </c>
      <c r="Y87" s="465">
        <f t="shared" si="28"/>
        <v>2.2785986613407944E-3</v>
      </c>
      <c r="Z87" s="485">
        <f t="shared" si="29"/>
        <v>-5.2490758602254921E-5</v>
      </c>
      <c r="AC87" s="15">
        <f t="shared" si="34"/>
        <v>909.34414033061557</v>
      </c>
    </row>
    <row r="88" spans="7:29" x14ac:dyDescent="0.25">
      <c r="L88" s="431"/>
      <c r="M88" s="457">
        <v>84</v>
      </c>
      <c r="N88" s="457">
        <v>416.8</v>
      </c>
      <c r="O88" s="457">
        <f t="shared" si="32"/>
        <v>555.68763157894739</v>
      </c>
      <c r="T88" s="457">
        <v>98</v>
      </c>
      <c r="U88" s="457">
        <v>707.3</v>
      </c>
      <c r="V88" s="457">
        <f t="shared" si="27"/>
        <v>942.98911184210522</v>
      </c>
      <c r="X88" s="459">
        <f t="shared" si="33"/>
        <v>942.63398728670973</v>
      </c>
      <c r="Y88" s="465">
        <f t="shared" si="28"/>
        <v>0.12611344984484543</v>
      </c>
      <c r="Z88" s="485">
        <f t="shared" si="29"/>
        <v>-3.7659454487418695E-4</v>
      </c>
      <c r="AC88" s="15">
        <f t="shared" si="34"/>
        <v>942.63398728671064</v>
      </c>
    </row>
    <row r="89" spans="7:29" x14ac:dyDescent="0.25">
      <c r="L89" s="431"/>
      <c r="M89" s="457">
        <v>85</v>
      </c>
      <c r="N89" s="457">
        <v>433.6</v>
      </c>
      <c r="O89" s="457">
        <f t="shared" si="32"/>
        <v>578.08578947368426</v>
      </c>
      <c r="T89" s="457">
        <v>99</v>
      </c>
      <c r="U89" s="457">
        <v>733.2</v>
      </c>
      <c r="V89" s="457">
        <f t="shared" si="27"/>
        <v>977.51960526315793</v>
      </c>
      <c r="X89" s="459">
        <f t="shared" si="33"/>
        <v>976.87239784807207</v>
      </c>
      <c r="Y89" s="465">
        <f t="shared" si="28"/>
        <v>0.41887743814211925</v>
      </c>
      <c r="Z89" s="485">
        <f t="shared" si="29"/>
        <v>-6.6209149320501281E-4</v>
      </c>
      <c r="AC89" s="15">
        <f t="shared" si="34"/>
        <v>976.87239784807298</v>
      </c>
    </row>
    <row r="90" spans="7:29" x14ac:dyDescent="0.25">
      <c r="L90" s="431"/>
      <c r="M90" s="457">
        <v>86</v>
      </c>
      <c r="N90" s="457">
        <v>450.9</v>
      </c>
      <c r="O90" s="457">
        <f t="shared" si="32"/>
        <v>601.15055921052635</v>
      </c>
      <c r="T90" s="457">
        <v>100</v>
      </c>
      <c r="U90" s="457">
        <v>760</v>
      </c>
      <c r="V90" s="457">
        <v>1013.25</v>
      </c>
      <c r="X90" s="459">
        <f t="shared" si="33"/>
        <v>1012.0752194412939</v>
      </c>
      <c r="Y90" s="465">
        <f t="shared" si="28"/>
        <v>1.3801093611137252</v>
      </c>
      <c r="Z90" s="485">
        <f t="shared" si="29"/>
        <v>-1.1594182666726485E-3</v>
      </c>
      <c r="AC90" s="15">
        <f t="shared" si="34"/>
        <v>1012.0752194412953</v>
      </c>
    </row>
    <row r="91" spans="7:29" x14ac:dyDescent="0.25">
      <c r="L91" s="431"/>
      <c r="M91" s="457">
        <v>87</v>
      </c>
      <c r="N91" s="457">
        <v>468.7</v>
      </c>
      <c r="O91" s="457">
        <f t="shared" si="32"/>
        <v>624.88194078947367</v>
      </c>
    </row>
    <row r="92" spans="7:29" x14ac:dyDescent="0.25">
      <c r="L92" s="431"/>
      <c r="M92" s="457">
        <v>88</v>
      </c>
      <c r="N92" s="457">
        <v>487.1</v>
      </c>
      <c r="O92" s="457">
        <f t="shared" si="32"/>
        <v>649.41325657894743</v>
      </c>
    </row>
    <row r="93" spans="7:29" x14ac:dyDescent="0.25">
      <c r="L93" s="431"/>
      <c r="M93" s="457">
        <v>89</v>
      </c>
      <c r="N93" s="457">
        <v>506.1</v>
      </c>
      <c r="O93" s="457">
        <f t="shared" si="32"/>
        <v>674.74450657894738</v>
      </c>
    </row>
    <row r="94" spans="7:29" x14ac:dyDescent="0.25">
      <c r="L94" s="431"/>
      <c r="M94" s="457">
        <v>90</v>
      </c>
      <c r="N94" s="457">
        <v>525.79999999999995</v>
      </c>
      <c r="O94" s="457">
        <f t="shared" si="32"/>
        <v>701.00901315789474</v>
      </c>
    </row>
    <row r="95" spans="7:29" x14ac:dyDescent="0.25">
      <c r="L95" s="431"/>
      <c r="M95" s="457">
        <v>91</v>
      </c>
      <c r="N95" s="457">
        <v>546</v>
      </c>
      <c r="O95" s="457">
        <f t="shared" si="32"/>
        <v>727.94013157894733</v>
      </c>
    </row>
    <row r="96" spans="7:29" x14ac:dyDescent="0.25">
      <c r="L96" s="431"/>
      <c r="M96" s="457">
        <v>92</v>
      </c>
      <c r="N96" s="457">
        <v>567</v>
      </c>
      <c r="O96" s="457">
        <f t="shared" si="32"/>
        <v>755.93782894736842</v>
      </c>
    </row>
    <row r="97" spans="1:33" x14ac:dyDescent="0.25">
      <c r="L97" s="431"/>
      <c r="M97" s="457">
        <v>93</v>
      </c>
      <c r="N97" s="457">
        <v>588.6</v>
      </c>
      <c r="O97" s="457">
        <f t="shared" si="32"/>
        <v>784.73546052631593</v>
      </c>
    </row>
    <row r="98" spans="1:33" x14ac:dyDescent="0.25">
      <c r="L98" s="431"/>
      <c r="M98" s="457">
        <v>94</v>
      </c>
      <c r="N98" s="457">
        <v>610.9</v>
      </c>
      <c r="O98" s="457">
        <f t="shared" si="32"/>
        <v>814.4663486842104</v>
      </c>
    </row>
    <row r="99" spans="1:33" x14ac:dyDescent="0.25">
      <c r="L99" s="431"/>
      <c r="M99" s="457">
        <v>95</v>
      </c>
      <c r="N99" s="457">
        <v>633.9</v>
      </c>
      <c r="O99" s="457">
        <f t="shared" si="32"/>
        <v>845.13049342105251</v>
      </c>
    </row>
    <row r="100" spans="1:33" x14ac:dyDescent="0.25">
      <c r="L100" s="431"/>
      <c r="M100" s="457">
        <v>96</v>
      </c>
      <c r="N100" s="457">
        <v>657.6</v>
      </c>
      <c r="O100" s="457">
        <f t="shared" si="32"/>
        <v>876.72789473684225</v>
      </c>
    </row>
    <row r="101" spans="1:33" x14ac:dyDescent="0.25">
      <c r="L101" s="431"/>
      <c r="M101" s="457">
        <v>97</v>
      </c>
      <c r="N101" s="457">
        <v>682.1</v>
      </c>
      <c r="O101" s="457">
        <f t="shared" si="32"/>
        <v>909.39187500000014</v>
      </c>
    </row>
    <row r="102" spans="1:33" x14ac:dyDescent="0.25">
      <c r="L102" s="431"/>
      <c r="M102" s="457">
        <v>98</v>
      </c>
      <c r="N102" s="457">
        <v>707.3</v>
      </c>
      <c r="O102" s="457">
        <f t="shared" si="32"/>
        <v>942.98911184210522</v>
      </c>
    </row>
    <row r="103" spans="1:33" x14ac:dyDescent="0.25">
      <c r="L103" s="431"/>
      <c r="M103" s="457">
        <v>99</v>
      </c>
      <c r="N103" s="457">
        <v>733.2</v>
      </c>
      <c r="O103" s="457">
        <f>+N103*O$104/N$104</f>
        <v>977.51960526315793</v>
      </c>
    </row>
    <row r="104" spans="1:33" x14ac:dyDescent="0.25">
      <c r="L104" s="431"/>
      <c r="M104" s="457">
        <v>100</v>
      </c>
      <c r="N104" s="457">
        <v>760</v>
      </c>
      <c r="O104" s="457">
        <v>1013.25</v>
      </c>
    </row>
    <row r="105" spans="1:33" x14ac:dyDescent="0.25">
      <c r="A105" s="493"/>
      <c r="B105" s="493"/>
      <c r="C105" s="493"/>
      <c r="D105" s="493"/>
      <c r="E105" s="493"/>
      <c r="F105" s="493"/>
      <c r="G105" s="493"/>
      <c r="H105" s="493"/>
      <c r="I105" s="493"/>
      <c r="J105" s="493"/>
      <c r="K105" s="493"/>
      <c r="L105" s="493"/>
      <c r="M105" s="494"/>
      <c r="N105" s="494"/>
      <c r="O105" s="494"/>
      <c r="P105" s="493"/>
      <c r="Q105" s="493"/>
      <c r="R105" s="493"/>
      <c r="S105" s="493"/>
      <c r="T105" s="493"/>
      <c r="U105" s="493"/>
      <c r="V105" s="493"/>
      <c r="W105" s="493"/>
      <c r="X105" s="493"/>
      <c r="Y105" s="493"/>
      <c r="Z105" s="493"/>
      <c r="AA105" s="493"/>
      <c r="AB105" s="493"/>
      <c r="AC105" s="493"/>
      <c r="AD105" s="493"/>
      <c r="AE105" s="493"/>
      <c r="AF105" s="493"/>
      <c r="AG105" s="493"/>
    </row>
    <row r="106" spans="1:33" ht="14" x14ac:dyDescent="0.3">
      <c r="A106" s="186" t="s">
        <v>460</v>
      </c>
      <c r="B106" s="25"/>
      <c r="C106" s="25"/>
      <c r="D106" s="25"/>
      <c r="E106" s="25"/>
      <c r="F106" s="25"/>
      <c r="G106" s="25"/>
      <c r="H106" s="25"/>
      <c r="I106" s="25"/>
      <c r="J106" s="25"/>
      <c r="K106" s="25"/>
      <c r="M106" s="495"/>
      <c r="N106" s="495"/>
      <c r="O106" s="495"/>
      <c r="P106" s="25"/>
      <c r="Q106" s="25"/>
      <c r="R106" s="25"/>
      <c r="S106" s="25"/>
      <c r="T106" s="25"/>
      <c r="U106" s="25"/>
      <c r="V106" s="25"/>
      <c r="W106" s="25"/>
      <c r="X106" s="25"/>
      <c r="Y106" s="25"/>
      <c r="Z106" s="25"/>
      <c r="AA106" s="25"/>
      <c r="AB106" s="25"/>
      <c r="AC106" s="25"/>
      <c r="AD106" s="25"/>
      <c r="AE106" s="25"/>
      <c r="AF106" s="25"/>
      <c r="AG106" s="25"/>
    </row>
    <row r="107" spans="1:33" x14ac:dyDescent="0.25">
      <c r="A107" s="458"/>
      <c r="B107" s="490"/>
      <c r="D107" s="458">
        <v>60</v>
      </c>
      <c r="E107" s="458">
        <v>60</v>
      </c>
      <c r="F107" s="482"/>
      <c r="H107" s="475">
        <f>6.107799961+E113*(0.4436518521+E113*(0.01428945805+E113*(0.0002650648471+E113*(0.000003031240396+E113*(0.00000002034080948+E113*6.136820929E-11)))))</f>
        <v>199.38805119704224</v>
      </c>
      <c r="I107" s="14" t="s">
        <v>445</v>
      </c>
      <c r="S107" s="475">
        <f>6.107799961+D113*(0.4436518521+D113*(0.01428945805+D113*(0.0002650648471+D113*(0.000003031240396+D113*(0.00000002034080948+D113*6.136820929E-11)))))</f>
        <v>199.38805119704224</v>
      </c>
      <c r="V107" s="475">
        <f>6.107799961+D107*(0.4436518521+D107*(0.01428945805+D107*(0.0002650648471+D107*(0.000003031240396+D107*(0.00000002034080948+D107*6.136820929E-11)))))</f>
        <v>199.38805119704224</v>
      </c>
      <c r="AF107" s="475">
        <f>6.107799961+E107*(0.4436518521+E107*(0.01428945805+E107*(0.0002650648471+E107*(0.000003031240396+E107*(0.00000002034080948+E107*6.136820929E-11)))))</f>
        <v>199.38805119704224</v>
      </c>
    </row>
    <row r="108" spans="1:33" x14ac:dyDescent="0.25">
      <c r="A108" s="458"/>
      <c r="B108" s="490"/>
      <c r="C108" s="475"/>
      <c r="D108" s="458"/>
      <c r="E108" s="487"/>
      <c r="F108" s="482"/>
      <c r="H108" s="438"/>
    </row>
    <row r="109" spans="1:33" x14ac:dyDescent="0.25">
      <c r="A109" s="458"/>
      <c r="B109" s="490"/>
      <c r="D109" s="458">
        <v>60</v>
      </c>
      <c r="E109" s="458">
        <v>60</v>
      </c>
      <c r="F109" s="482"/>
      <c r="H109" s="15">
        <f>-296.901212123675+16.9015967001546*E109-0.302242100380422*E109^2+0.00264123776535373*E109^3</f>
        <v>199.63038583248738</v>
      </c>
      <c r="I109" s="14" t="s">
        <v>461</v>
      </c>
      <c r="S109" s="15">
        <f>-296.901212123675+16.9015967001546*D109-0.302242100380422*D109^2+0.00264123776535373*D109^3</f>
        <v>199.63038583248738</v>
      </c>
      <c r="V109" s="15">
        <f>-296.901212123675+16.9015967001546*D109-0.302242100380422*D109^2+0.00264123776535373*D109^3</f>
        <v>199.63038583248738</v>
      </c>
      <c r="AF109" s="15">
        <f>-296.901212123675+16.9015967001546*E109-0.302242100380422*E109^2+0.00264123776535373*E109^3</f>
        <v>199.63038583248738</v>
      </c>
    </row>
    <row r="110" spans="1:33" x14ac:dyDescent="0.25">
      <c r="A110" s="458"/>
      <c r="B110" s="490"/>
      <c r="D110" s="458"/>
      <c r="E110" s="487"/>
      <c r="F110" s="482"/>
      <c r="S110" s="15"/>
      <c r="V110" s="15"/>
    </row>
    <row r="111" spans="1:33" x14ac:dyDescent="0.25">
      <c r="A111" s="458"/>
      <c r="B111" s="490"/>
      <c r="C111" s="475"/>
      <c r="D111" s="458"/>
      <c r="E111" s="487"/>
      <c r="F111" s="482"/>
      <c r="H111" s="438">
        <v>62.276000000000003</v>
      </c>
      <c r="I111" s="14" t="s">
        <v>462</v>
      </c>
    </row>
    <row r="112" spans="1:33" x14ac:dyDescent="0.25">
      <c r="A112" s="458"/>
      <c r="B112" s="490"/>
      <c r="C112" s="475"/>
      <c r="D112" s="458"/>
      <c r="E112" s="487"/>
      <c r="F112" s="482"/>
      <c r="H112" s="438"/>
    </row>
    <row r="113" spans="1:32" x14ac:dyDescent="0.25">
      <c r="A113" s="458"/>
      <c r="B113" s="490"/>
      <c r="D113" s="458">
        <v>60</v>
      </c>
      <c r="E113" s="458">
        <v>60</v>
      </c>
      <c r="F113" s="482"/>
      <c r="H113" s="15">
        <f>IF(E113&lt;62.276,6.107799961+E113*(0.4436518521+E113*(0.01428945805+E113*(0.0002650648471+E113*(0.000003031240396+E113*(0.00000002034080948+E113*6.136820929E-11))))),-296.901212123675+16.9015967001546*E113-0.302242100380422*E113^2+0.00264123776535373*E113^3)</f>
        <v>199.38805119704224</v>
      </c>
      <c r="S113" s="15">
        <f>IF(E113&lt;62.276,6.107799961+E113*(0.4436518521+E113*(0.01428945805+E113*(0.0002650648471+E113*(0.000003031240396+E113*(0.00000002034080948+E113*6.136820929E-11))))),-296.901212123675+16.9015967001546*E113-0.302242100380422*E113^2+0.00264123776535373*E113^3)</f>
        <v>199.38805119704224</v>
      </c>
      <c r="V113" s="15">
        <f>IF(D113&lt;62.276,6.107799961+D113*(0.4436518521+D113*(0.01428945805+D113*(0.0002650648471+D113*(0.000003031240396+D113*(0.00000002034080948+D113*6.136820929E-11))))),-296.901212123675+16.9015967001546*D113-0.302242100380422*D113^2+0.00264123776535373*D113^3)</f>
        <v>199.38805119704224</v>
      </c>
      <c r="AF113" s="15">
        <f>IF(E113&lt;62.276,6.107799961+E113*(0.4436518521+E113*(0.01428945805+E113*(0.0002650648471+E113*(0.000003031240396+E113*(0.00000002034080948+E113*6.136820929E-11))))),-296.901212123675+16.9015967001546*E113-0.302242100380422*E113^2+0.00264123776535373*E113^3)</f>
        <v>199.38805119704224</v>
      </c>
    </row>
    <row r="114" spans="1:32" x14ac:dyDescent="0.25">
      <c r="A114" s="458"/>
      <c r="B114" s="490"/>
      <c r="C114" s="475"/>
      <c r="D114" s="458">
        <f>+D113+1</f>
        <v>61</v>
      </c>
      <c r="E114" s="458">
        <f>+E113+1</f>
        <v>61</v>
      </c>
      <c r="F114" s="482"/>
      <c r="H114" s="15">
        <f>IF(E114&lt;62.276,6.107799961+E114*(0.4436518521+E114*(0.01428945805+E114*(0.0002650648471+E114*(0.000003031240396+E114*(0.00000002034080948+E114*6.136820929E-11))))),-296.901212123675+16.9015967001546*E114-0.302242100380422*E114^2+0.00264123776535373*E114^3)</f>
        <v>208.81787852118686</v>
      </c>
      <c r="S114" s="15">
        <f>IF(E114&lt;62.276,6.107799961+E114*(0.4436518521+E114*(0.01428945805+E114*(0.0002650648471+E114*(0.000003031240396+E114*(0.00000002034080948+E114*6.136820929E-11))))),-296.901212123675+16.9015967001546*E114-0.302242100380422*E114^2+0.00264123776535373*E114^3)</f>
        <v>208.81787852118686</v>
      </c>
      <c r="V114" s="15">
        <f>IF(D114&lt;62.276,6.107799961+D114*(0.4436518521+D114*(0.01428945805+D114*(0.0002650648471+D114*(0.000003031240396+D114*(0.00000002034080948+D114*6.136820929E-11))))),-296.901212123675+16.9015967001546*D114-0.302242100380422*D114^2+0.00264123776535373*D114^3)</f>
        <v>208.81787852118686</v>
      </c>
      <c r="AF114" s="15">
        <f>IF(E114&lt;62.276,6.107799961+E114*(0.4436518521+E114*(0.01428945805+E114*(0.0002650648471+E114*(0.000003031240396+E114*(0.00000002034080948+E114*6.136820929E-11))))),-296.901212123675+16.9015967001546*E114-0.302242100380422*E114^2+0.00264123776535373*E114^3)</f>
        <v>208.81787852118686</v>
      </c>
    </row>
    <row r="115" spans="1:32" x14ac:dyDescent="0.25">
      <c r="A115" s="458"/>
      <c r="B115" s="490"/>
      <c r="C115" s="475"/>
      <c r="D115" s="458">
        <f t="shared" ref="D115:E117" si="35">+D114+1</f>
        <v>62</v>
      </c>
      <c r="E115" s="458">
        <f t="shared" si="35"/>
        <v>62</v>
      </c>
      <c r="F115" s="482"/>
      <c r="H115" s="15">
        <f>IF(E115&lt;62.276,6.107799961+E115*(0.4436518521+E115*(0.01428945805+E115*(0.0002650648471+E115*(0.000003031240396+E115*(0.00000002034080948+E115*6.136820929E-11))))),-296.901212123675+16.9015967001546*E115-0.302242100380422*E115^2+0.00264123776535373*E115^3)</f>
        <v>218.62650514224291</v>
      </c>
      <c r="S115" s="15">
        <f>IF(E115&lt;62.276,6.107799961+E115*(0.4436518521+E115*(0.01428945805+E115*(0.0002650648471+E115*(0.000003031240396+E115*(0.00000002034080948+E115*6.136820929E-11))))),-296.901212123675+16.9015967001546*E115-0.302242100380422*E115^2+0.00264123776535373*E115^3)</f>
        <v>218.62650514224291</v>
      </c>
      <c r="V115" s="15">
        <f>IF(D115&lt;62.276,6.107799961+D115*(0.4436518521+D115*(0.01428945805+D115*(0.0002650648471+D115*(0.000003031240396+D115*(0.00000002034080948+D115*6.136820929E-11))))),-296.901212123675+16.9015967001546*D115-0.302242100380422*D115^2+0.00264123776535373*D115^3)</f>
        <v>218.62650514224291</v>
      </c>
      <c r="AF115" s="15">
        <f>IF(E115&lt;62.276,6.107799961+E115*(0.4436518521+E115*(0.01428945805+E115*(0.0002650648471+E115*(0.000003031240396+E115*(0.00000002034080948+E115*6.136820929E-11))))),-296.901212123675+16.9015967001546*E115-0.302242100380422*E115^2+0.00264123776535373*E115^3)</f>
        <v>218.62650514224291</v>
      </c>
    </row>
    <row r="116" spans="1:32" x14ac:dyDescent="0.25">
      <c r="A116" s="458"/>
      <c r="B116" s="490"/>
      <c r="C116" s="475"/>
      <c r="D116" s="458">
        <f t="shared" si="35"/>
        <v>63</v>
      </c>
      <c r="E116" s="458">
        <f t="shared" si="35"/>
        <v>63</v>
      </c>
      <c r="F116" s="482"/>
      <c r="H116" s="15">
        <f>IF(E116&lt;62.276,6.107799961+E116*(0.4436518521+E116*(0.01428945805+E116*(0.0002650648471+E116*(0.000003031240396+E116*(0.00000002034080948+E116*6.136820929E-11))))),-296.901212123675+16.9015967001546*E116-0.302242100380422*E116^2+0.00264123776535373*E116^3)</f>
        <v>228.73406308957385</v>
      </c>
      <c r="S116" s="15">
        <f>IF(E116&lt;62.276,6.107799961+E116*(0.4436518521+E116*(0.01428945805+E116*(0.0002650648471+E116*(0.000003031240396+E116*(0.00000002034080948+E116*6.136820929E-11))))),-296.901212123675+16.9015967001546*E116-0.302242100380422*E116^2+0.00264123776535373*E116^3)</f>
        <v>228.73406308957385</v>
      </c>
      <c r="V116" s="15">
        <f>IF(D116&lt;62.276,6.107799961+D116*(0.4436518521+D116*(0.01428945805+D116*(0.0002650648471+D116*(0.000003031240396+D116*(0.00000002034080948+D116*6.136820929E-11))))),-296.901212123675+16.9015967001546*D116-0.302242100380422*D116^2+0.00264123776535373*D116^3)</f>
        <v>228.73406308957385</v>
      </c>
      <c r="AF116" s="15">
        <f>IF(E116&lt;62.276,6.107799961+E116*(0.4436518521+E116*(0.01428945805+E116*(0.0002650648471+E116*(0.000003031240396+E116*(0.00000002034080948+E116*6.136820929E-11))))),-296.901212123675+16.9015967001546*E116-0.302242100380422*E116^2+0.00264123776535373*E116^3)</f>
        <v>228.73406308957385</v>
      </c>
    </row>
    <row r="117" spans="1:32" x14ac:dyDescent="0.25">
      <c r="A117" s="458"/>
      <c r="B117" s="490"/>
      <c r="C117" s="475"/>
      <c r="D117" s="458">
        <f t="shared" si="35"/>
        <v>64</v>
      </c>
      <c r="E117" s="458">
        <f t="shared" si="35"/>
        <v>64</v>
      </c>
      <c r="H117" s="15">
        <f>IF(E117&lt;62.276,6.107799961+E117*(0.4436518521+E117*(0.01428945805+E117*(0.0002650648471+E117*(0.000003031240396+E117*(0.00000002034080948+E117*6.136820929E-11))))),-296.901212123675+16.9015967001546*E117-0.302242100380422*E117^2+0.00264123776535373*E117^3)</f>
        <v>239.20196628889903</v>
      </c>
      <c r="S117" s="15">
        <f>IF(E117&lt;62.276,6.107799961+E117*(0.4436518521+E117*(0.01428945805+E117*(0.0002650648471+E117*(0.000003031240396+E117*(0.00000002034080948+E117*6.136820929E-11))))),-296.901212123675+16.9015967001546*E117-0.302242100380422*E117^2+0.00264123776535373*E117^3)</f>
        <v>239.20196628889903</v>
      </c>
      <c r="V117" s="15">
        <f>IF(D117&lt;62.276,6.107799961+D117*(0.4436518521+D117*(0.01428945805+D117*(0.0002650648471+D117*(0.000003031240396+D117*(0.00000002034080948+D117*6.136820929E-11))))),-296.901212123675+16.9015967001546*D117-0.302242100380422*D117^2+0.00264123776535373*D117^3)</f>
        <v>239.20196628889903</v>
      </c>
      <c r="AF117" s="15">
        <f>IF(E117&lt;62.276,6.107799961+E117*(0.4436518521+E117*(0.01428945805+E117*(0.0002650648471+E117*(0.000003031240396+E117*(0.00000002034080948+E117*6.136820929E-11))))),-296.901212123675+16.9015967001546*E117-0.302242100380422*E117^2+0.00264123776535373*E117^3)</f>
        <v>239.20196628889903</v>
      </c>
    </row>
  </sheetData>
  <mergeCells count="1">
    <mergeCell ref="T10:AD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defaultRowHeight="12.5" x14ac:dyDescent="0.25"/>
  <sheetData>
    <row r="1" spans="1:1" x14ac:dyDescent="0.25">
      <c r="A1" t="s">
        <v>181</v>
      </c>
    </row>
    <row r="2" spans="1:1" ht="13" x14ac:dyDescent="0.3">
      <c r="A2" s="7" t="s">
        <v>501</v>
      </c>
    </row>
    <row r="3" spans="1:1" ht="13" x14ac:dyDescent="0.3">
      <c r="A3" s="7" t="s">
        <v>492</v>
      </c>
    </row>
    <row r="5" spans="1:1" x14ac:dyDescent="0.25">
      <c r="A5" s="14" t="s">
        <v>493</v>
      </c>
    </row>
    <row r="6" spans="1:1" x14ac:dyDescent="0.25">
      <c r="A6" t="s">
        <v>494</v>
      </c>
    </row>
    <row r="7" spans="1:1" x14ac:dyDescent="0.25">
      <c r="A7" t="s">
        <v>495</v>
      </c>
    </row>
    <row r="8" spans="1:1" x14ac:dyDescent="0.25">
      <c r="A8" t="s">
        <v>496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4"/>
  <sheetViews>
    <sheetView workbookViewId="0"/>
  </sheetViews>
  <sheetFormatPr defaultRowHeight="12.5" x14ac:dyDescent="0.25"/>
  <cols>
    <col min="3" max="3" width="11.08984375" customWidth="1"/>
    <col min="4" max="4" width="43.08984375" bestFit="1" customWidth="1"/>
  </cols>
  <sheetData>
    <row r="1" spans="1:16" ht="18" x14ac:dyDescent="0.4">
      <c r="A1" s="406" t="s">
        <v>363</v>
      </c>
      <c r="C1" s="31"/>
    </row>
    <row r="2" spans="1:16" x14ac:dyDescent="0.25">
      <c r="A2" t="s">
        <v>336</v>
      </c>
      <c r="B2" s="14" t="s">
        <v>364</v>
      </c>
      <c r="C2" s="30" t="s">
        <v>365</v>
      </c>
      <c r="D2" s="14" t="s">
        <v>366</v>
      </c>
      <c r="E2" s="14"/>
    </row>
    <row r="3" spans="1:16" ht="26" x14ac:dyDescent="0.35">
      <c r="A3" s="429" t="s">
        <v>367</v>
      </c>
      <c r="B3" s="14" t="s">
        <v>368</v>
      </c>
      <c r="C3" s="30" t="s">
        <v>40</v>
      </c>
      <c r="D3" s="14" t="s">
        <v>369</v>
      </c>
      <c r="E3" s="14" t="s">
        <v>370</v>
      </c>
      <c r="F3" s="574" t="s">
        <v>371</v>
      </c>
      <c r="G3" s="574"/>
      <c r="H3" s="574"/>
      <c r="I3" s="574"/>
      <c r="J3" s="574"/>
      <c r="K3" s="574"/>
      <c r="L3" s="574"/>
      <c r="M3" s="574"/>
      <c r="N3" s="574"/>
      <c r="O3" s="574"/>
    </row>
    <row r="4" spans="1:16" ht="26" x14ac:dyDescent="0.35">
      <c r="A4" s="416" t="s">
        <v>0</v>
      </c>
      <c r="B4" s="14" t="s">
        <v>0</v>
      </c>
      <c r="C4" s="30" t="s">
        <v>372</v>
      </c>
      <c r="D4" s="14">
        <v>1000</v>
      </c>
      <c r="E4" s="14" t="s">
        <v>47</v>
      </c>
      <c r="F4" s="15" t="s">
        <v>373</v>
      </c>
    </row>
    <row r="5" spans="1:16" ht="27" x14ac:dyDescent="0.45">
      <c r="A5" s="429" t="s">
        <v>17</v>
      </c>
      <c r="B5" s="14" t="s">
        <v>374</v>
      </c>
      <c r="C5" s="30" t="s">
        <v>312</v>
      </c>
      <c r="D5">
        <v>0.97</v>
      </c>
      <c r="E5" s="516" t="s">
        <v>19</v>
      </c>
      <c r="F5" s="14" t="s">
        <v>510</v>
      </c>
    </row>
    <row r="6" spans="1:16" ht="38.5" x14ac:dyDescent="0.35">
      <c r="A6" s="429" t="s">
        <v>15</v>
      </c>
      <c r="B6" s="14" t="s">
        <v>376</v>
      </c>
      <c r="C6" s="30" t="s">
        <v>377</v>
      </c>
      <c r="D6" s="430">
        <v>1.171E-7</v>
      </c>
      <c r="E6" s="14" t="s">
        <v>506</v>
      </c>
      <c r="F6" s="14"/>
    </row>
    <row r="7" spans="1:16" ht="39.5" x14ac:dyDescent="0.45">
      <c r="A7" s="416" t="s">
        <v>378</v>
      </c>
      <c r="B7" s="14" t="s">
        <v>379</v>
      </c>
      <c r="C7" s="30" t="s">
        <v>380</v>
      </c>
      <c r="D7">
        <v>0.11</v>
      </c>
      <c r="E7" s="14" t="s">
        <v>509</v>
      </c>
    </row>
    <row r="8" spans="1:16" ht="38.5" x14ac:dyDescent="0.35">
      <c r="A8" s="416" t="s">
        <v>381</v>
      </c>
      <c r="B8" s="14" t="s">
        <v>381</v>
      </c>
      <c r="C8" s="31" t="s">
        <v>382</v>
      </c>
      <c r="D8" s="14" t="s">
        <v>383</v>
      </c>
      <c r="E8" s="14" t="s">
        <v>384</v>
      </c>
      <c r="F8" s="574" t="s">
        <v>385</v>
      </c>
      <c r="G8" s="574"/>
      <c r="H8" s="574"/>
      <c r="I8" s="574"/>
      <c r="J8" s="574"/>
      <c r="K8" s="574"/>
      <c r="L8" s="574"/>
      <c r="M8" s="574"/>
      <c r="N8" s="574"/>
      <c r="O8" s="574"/>
    </row>
    <row r="9" spans="1:16" ht="16.5" x14ac:dyDescent="0.4">
      <c r="A9" s="416" t="s">
        <v>18</v>
      </c>
      <c r="B9" s="14" t="s">
        <v>386</v>
      </c>
      <c r="C9" s="30" t="s">
        <v>387</v>
      </c>
      <c r="D9" s="14">
        <v>0.24</v>
      </c>
      <c r="E9" s="14" t="s">
        <v>507</v>
      </c>
    </row>
    <row r="10" spans="1:16" ht="51" x14ac:dyDescent="0.35">
      <c r="A10" s="429" t="s">
        <v>16</v>
      </c>
      <c r="B10" s="14" t="s">
        <v>388</v>
      </c>
      <c r="C10" s="30" t="s">
        <v>389</v>
      </c>
      <c r="D10" s="14">
        <v>0.622</v>
      </c>
      <c r="F10" s="14" t="s">
        <v>375</v>
      </c>
    </row>
    <row r="11" spans="1:16" x14ac:dyDescent="0.25">
      <c r="A11" s="431"/>
      <c r="B11" s="431"/>
      <c r="C11" s="432"/>
      <c r="D11" s="431"/>
      <c r="E11" s="431"/>
      <c r="F11" s="431"/>
      <c r="G11" s="431"/>
      <c r="H11" s="431"/>
      <c r="I11" s="431"/>
      <c r="J11" s="431"/>
      <c r="K11" s="431"/>
      <c r="L11" s="431"/>
      <c r="M11" s="431"/>
      <c r="N11" s="431"/>
      <c r="O11" s="431"/>
      <c r="P11" s="431"/>
    </row>
    <row r="12" spans="1:16" ht="13" thickBot="1" x14ac:dyDescent="0.3">
      <c r="A12" s="14" t="s">
        <v>390</v>
      </c>
      <c r="C12" s="31"/>
    </row>
    <row r="13" spans="1:16" ht="25" x14ac:dyDescent="0.25">
      <c r="A13" s="433" t="s">
        <v>391</v>
      </c>
      <c r="B13" s="14" t="s">
        <v>368</v>
      </c>
      <c r="C13" s="30" t="s">
        <v>40</v>
      </c>
      <c r="D13" s="14">
        <f>0.99983 + 0.00005*A14 - 0.00000625*A14^2</f>
        <v>0.99602374999999999</v>
      </c>
      <c r="E13" s="14" t="s">
        <v>370</v>
      </c>
      <c r="F13" s="14" t="s">
        <v>392</v>
      </c>
    </row>
    <row r="14" spans="1:16" ht="38" thickBot="1" x14ac:dyDescent="0.3">
      <c r="A14" s="434">
        <f>+D19</f>
        <v>29</v>
      </c>
      <c r="B14" s="14" t="s">
        <v>381</v>
      </c>
      <c r="C14" s="31" t="s">
        <v>382</v>
      </c>
      <c r="D14" s="14">
        <f xml:space="preserve"> 595.9 - 0.545*A14</f>
        <v>580.09500000000003</v>
      </c>
      <c r="E14" s="14" t="s">
        <v>384</v>
      </c>
      <c r="F14" s="14" t="s">
        <v>392</v>
      </c>
    </row>
    <row r="15" spans="1:16" x14ac:dyDescent="0.25">
      <c r="A15" s="431"/>
      <c r="B15" s="431"/>
      <c r="C15" s="432"/>
      <c r="D15" s="431"/>
      <c r="E15" s="431"/>
      <c r="F15" s="431"/>
      <c r="G15" s="431"/>
      <c r="H15" s="431"/>
      <c r="I15" s="431"/>
      <c r="J15" s="431"/>
      <c r="K15" s="431"/>
      <c r="L15" s="431"/>
      <c r="M15" s="431"/>
      <c r="N15" s="431"/>
      <c r="O15" s="431"/>
      <c r="P15" s="431"/>
    </row>
    <row r="16" spans="1:16" x14ac:dyDescent="0.25">
      <c r="A16" s="14" t="s">
        <v>393</v>
      </c>
      <c r="C16" s="31"/>
    </row>
    <row r="17" spans="1:16" ht="25.5" x14ac:dyDescent="0.3">
      <c r="B17" s="14" t="s">
        <v>394</v>
      </c>
      <c r="C17" s="30" t="s">
        <v>395</v>
      </c>
      <c r="D17" s="422">
        <v>28</v>
      </c>
      <c r="E17" s="435" t="s">
        <v>396</v>
      </c>
      <c r="F17" s="435"/>
    </row>
    <row r="18" spans="1:16" ht="25.5" x14ac:dyDescent="0.3">
      <c r="B18" s="14" t="s">
        <v>397</v>
      </c>
      <c r="C18" s="30" t="s">
        <v>398</v>
      </c>
      <c r="D18" s="422">
        <v>26</v>
      </c>
      <c r="E18" s="435" t="s">
        <v>396</v>
      </c>
      <c r="F18" s="435"/>
    </row>
    <row r="19" spans="1:16" ht="38" x14ac:dyDescent="0.3">
      <c r="B19" s="16" t="s">
        <v>399</v>
      </c>
      <c r="C19" s="30" t="s">
        <v>400</v>
      </c>
      <c r="D19" s="422">
        <v>29</v>
      </c>
      <c r="E19" s="435" t="s">
        <v>396</v>
      </c>
      <c r="F19" s="435"/>
    </row>
    <row r="20" spans="1:16" ht="25.5" x14ac:dyDescent="0.3">
      <c r="B20" s="14" t="s">
        <v>401</v>
      </c>
      <c r="C20" s="30" t="s">
        <v>402</v>
      </c>
      <c r="D20" s="422">
        <v>20</v>
      </c>
      <c r="E20" s="435" t="s">
        <v>396</v>
      </c>
      <c r="F20" s="435"/>
    </row>
    <row r="21" spans="1:16" x14ac:dyDescent="0.25">
      <c r="A21" s="431"/>
      <c r="B21" s="431"/>
      <c r="C21" s="432"/>
      <c r="D21" s="431"/>
      <c r="E21" s="431"/>
      <c r="F21" s="431"/>
      <c r="G21" s="431"/>
      <c r="H21" s="431"/>
      <c r="I21" s="431"/>
      <c r="J21" s="431"/>
      <c r="K21" s="431"/>
      <c r="L21" s="431"/>
      <c r="M21" s="431"/>
      <c r="N21" s="431"/>
      <c r="O21" s="431"/>
      <c r="P21" s="431"/>
    </row>
    <row r="22" spans="1:16" x14ac:dyDescent="0.25">
      <c r="A22" s="14" t="s">
        <v>403</v>
      </c>
      <c r="C22" s="31"/>
    </row>
    <row r="23" spans="1:16" ht="62.5" x14ac:dyDescent="0.25">
      <c r="A23" s="14"/>
      <c r="B23" s="14" t="s">
        <v>404</v>
      </c>
      <c r="C23" s="30" t="s">
        <v>405</v>
      </c>
      <c r="D23" s="436">
        <f>6.1078*EXP(((595.9-273*-0.545)/0.11)*((1/273)-(1/(D19+273)))+(-0.545/0.11)*LN((D19+273)/273))</f>
        <v>40.070792240813901</v>
      </c>
      <c r="E23" s="14" t="s">
        <v>406</v>
      </c>
      <c r="F23" s="14" t="s">
        <v>407</v>
      </c>
      <c r="G23" s="14"/>
      <c r="H23" s="14"/>
      <c r="I23" s="14"/>
    </row>
    <row r="24" spans="1:16" ht="87.5" x14ac:dyDescent="0.25">
      <c r="A24" s="14"/>
      <c r="B24" s="14" t="s">
        <v>408</v>
      </c>
      <c r="C24" s="30" t="s">
        <v>38</v>
      </c>
      <c r="D24" s="436">
        <f>6.1078*EXP(((595.9-273*-0.545)/0.11)*((1/273)-(1/(D18+273)))+(-0.545/0.11)*LN((D18+273)/273))</f>
        <v>33.622440906577687</v>
      </c>
      <c r="E24" s="14" t="s">
        <v>406</v>
      </c>
      <c r="F24" s="14"/>
      <c r="G24" s="14"/>
      <c r="H24" s="14"/>
      <c r="I24" s="14"/>
    </row>
    <row r="25" spans="1:16" ht="39" x14ac:dyDescent="0.4">
      <c r="B25" s="14" t="s">
        <v>409</v>
      </c>
      <c r="C25" s="30" t="s">
        <v>410</v>
      </c>
      <c r="D25" s="436">
        <f>D24-D4*(D17-D18)*0.00066*(1+0.00115*D18)</f>
        <v>32.262972906577687</v>
      </c>
      <c r="E25" s="14" t="s">
        <v>406</v>
      </c>
      <c r="F25" s="14" t="s">
        <v>411</v>
      </c>
      <c r="G25" s="14"/>
      <c r="H25" s="14"/>
      <c r="I25" s="437"/>
      <c r="J25" s="437"/>
    </row>
    <row r="26" spans="1:16" ht="62.5" x14ac:dyDescent="0.25">
      <c r="B26" s="14" t="s">
        <v>404</v>
      </c>
      <c r="C26" s="30" t="s">
        <v>412</v>
      </c>
      <c r="D26" s="436">
        <f>6.1078*EXP(((595.9-273*-0.545)/0.11)*((1/273)-(1/(D32+273)))+(-0.545/0.11)*LN((D32+273)/273))</f>
        <v>42.44680936307001</v>
      </c>
      <c r="E26" s="14" t="s">
        <v>406</v>
      </c>
      <c r="F26" s="14"/>
      <c r="G26" s="14"/>
      <c r="H26" s="14"/>
      <c r="I26" s="14"/>
    </row>
    <row r="27" spans="1:16" ht="37.5" x14ac:dyDescent="0.25">
      <c r="A27" s="16" t="s">
        <v>391</v>
      </c>
      <c r="B27" s="14" t="s">
        <v>368</v>
      </c>
      <c r="C27" s="30" t="s">
        <v>413</v>
      </c>
      <c r="D27" s="438">
        <f>0.99983 + 0.00005*A28 - 0.00000625*A28^2</f>
        <v>0.99570500000000006</v>
      </c>
      <c r="E27" s="14" t="s">
        <v>370</v>
      </c>
      <c r="F27" s="14"/>
      <c r="G27" s="14"/>
      <c r="H27" s="14"/>
      <c r="I27" s="14"/>
    </row>
    <row r="28" spans="1:16" ht="62.5" x14ac:dyDescent="0.25">
      <c r="A28" s="16">
        <v>30</v>
      </c>
      <c r="B28" s="14" t="s">
        <v>381</v>
      </c>
      <c r="C28" s="30" t="s">
        <v>414</v>
      </c>
      <c r="D28" s="24">
        <f xml:space="preserve"> E28 + F28*A28</f>
        <v>579.54999999999995</v>
      </c>
      <c r="E28" s="24">
        <v>595.9</v>
      </c>
      <c r="F28" s="14">
        <v>-0.54500000000000004</v>
      </c>
      <c r="G28" s="14"/>
      <c r="H28" s="14"/>
      <c r="I28" s="14"/>
    </row>
    <row r="29" spans="1:16" x14ac:dyDescent="0.25">
      <c r="B29" s="14"/>
      <c r="C29" s="30"/>
      <c r="D29" s="14"/>
      <c r="E29" s="14"/>
      <c r="F29" s="14"/>
      <c r="G29" s="14"/>
      <c r="H29" s="14"/>
      <c r="I29" s="14"/>
    </row>
    <row r="30" spans="1:16" x14ac:dyDescent="0.25">
      <c r="A30" s="431"/>
      <c r="B30" s="431"/>
      <c r="C30" s="432"/>
      <c r="D30" s="14"/>
      <c r="E30" s="14"/>
      <c r="F30" s="14"/>
      <c r="G30" s="14"/>
      <c r="H30" s="14"/>
      <c r="I30" s="14"/>
      <c r="J30" s="431"/>
      <c r="K30" s="431"/>
      <c r="L30" s="431"/>
      <c r="M30" s="431"/>
      <c r="N30" s="431"/>
      <c r="O30" s="431"/>
      <c r="P30" s="431"/>
    </row>
    <row r="31" spans="1:16" x14ac:dyDescent="0.25">
      <c r="A31" s="14" t="s">
        <v>415</v>
      </c>
      <c r="C31" s="31"/>
      <c r="D31" s="14"/>
      <c r="E31" s="14"/>
      <c r="F31" s="14"/>
      <c r="G31" s="14"/>
      <c r="H31" s="14"/>
      <c r="I31" s="14"/>
    </row>
    <row r="32" spans="1:16" ht="25.5" x14ac:dyDescent="0.3">
      <c r="B32" s="14" t="s">
        <v>416</v>
      </c>
      <c r="C32" s="30" t="s">
        <v>417</v>
      </c>
      <c r="D32" s="422">
        <v>30</v>
      </c>
      <c r="E32" s="435" t="s">
        <v>396</v>
      </c>
      <c r="F32" s="435"/>
      <c r="G32" s="14"/>
      <c r="H32" s="14"/>
      <c r="I32" s="14"/>
    </row>
    <row r="33" spans="1:16" x14ac:dyDescent="0.25">
      <c r="A33" s="431"/>
      <c r="B33" s="431"/>
      <c r="C33" s="432"/>
      <c r="D33" s="431"/>
      <c r="E33" s="431"/>
      <c r="F33" s="431"/>
      <c r="G33" s="431"/>
      <c r="H33" s="431"/>
      <c r="I33" s="431"/>
      <c r="J33" s="431"/>
      <c r="K33" s="431"/>
      <c r="L33" s="431"/>
      <c r="M33" s="431"/>
      <c r="N33" s="431"/>
      <c r="O33" s="431"/>
      <c r="P33" s="431"/>
    </row>
    <row r="34" spans="1:16" x14ac:dyDescent="0.25">
      <c r="A34" s="14" t="s">
        <v>418</v>
      </c>
      <c r="C34" s="31"/>
    </row>
    <row r="35" spans="1:16" x14ac:dyDescent="0.25">
      <c r="B35">
        <v>1</v>
      </c>
      <c r="C35" s="30" t="s">
        <v>419</v>
      </c>
      <c r="D35">
        <v>4.1859999999999999</v>
      </c>
      <c r="E35" s="14" t="s">
        <v>420</v>
      </c>
    </row>
    <row r="36" spans="1:16" x14ac:dyDescent="0.25">
      <c r="B36">
        <v>1</v>
      </c>
      <c r="C36" s="30" t="s">
        <v>406</v>
      </c>
      <c r="D36">
        <v>1</v>
      </c>
      <c r="E36" s="14" t="s">
        <v>421</v>
      </c>
      <c r="F36" s="14" t="s">
        <v>422</v>
      </c>
    </row>
    <row r="37" spans="1:16" x14ac:dyDescent="0.25">
      <c r="C37" s="31"/>
    </row>
    <row r="38" spans="1:16" x14ac:dyDescent="0.25">
      <c r="C38" s="31"/>
    </row>
    <row r="39" spans="1:16" x14ac:dyDescent="0.25">
      <c r="C39" s="31"/>
    </row>
    <row r="40" spans="1:16" x14ac:dyDescent="0.25">
      <c r="C40" s="31"/>
    </row>
    <row r="41" spans="1:16" x14ac:dyDescent="0.25">
      <c r="C41" s="31"/>
    </row>
    <row r="42" spans="1:16" x14ac:dyDescent="0.25">
      <c r="C42" s="31"/>
    </row>
    <row r="43" spans="1:16" x14ac:dyDescent="0.25">
      <c r="C43" s="31"/>
    </row>
    <row r="44" spans="1:16" x14ac:dyDescent="0.25">
      <c r="C44" s="31"/>
    </row>
    <row r="45" spans="1:16" x14ac:dyDescent="0.25">
      <c r="C45" s="31"/>
    </row>
    <row r="46" spans="1:16" x14ac:dyDescent="0.25">
      <c r="C46" s="31"/>
    </row>
    <row r="47" spans="1:16" x14ac:dyDescent="0.25">
      <c r="C47" s="31"/>
    </row>
    <row r="48" spans="1:16" x14ac:dyDescent="0.25">
      <c r="C48" s="31"/>
    </row>
    <row r="49" spans="3:3" x14ac:dyDescent="0.25">
      <c r="C49" s="31"/>
    </row>
    <row r="50" spans="3:3" x14ac:dyDescent="0.25">
      <c r="C50" s="31"/>
    </row>
    <row r="51" spans="3:3" x14ac:dyDescent="0.25">
      <c r="C51" s="31"/>
    </row>
    <row r="52" spans="3:3" x14ac:dyDescent="0.25">
      <c r="C52" s="31"/>
    </row>
    <row r="53" spans="3:3" x14ac:dyDescent="0.25">
      <c r="C53" s="31"/>
    </row>
    <row r="54" spans="3:3" x14ac:dyDescent="0.25">
      <c r="C54" s="31"/>
    </row>
    <row r="55" spans="3:3" x14ac:dyDescent="0.25">
      <c r="C55" s="31"/>
    </row>
    <row r="56" spans="3:3" x14ac:dyDescent="0.25">
      <c r="C56" s="31"/>
    </row>
    <row r="57" spans="3:3" x14ac:dyDescent="0.25">
      <c r="C57" s="31"/>
    </row>
    <row r="58" spans="3:3" x14ac:dyDescent="0.25">
      <c r="C58" s="31"/>
    </row>
    <row r="59" spans="3:3" x14ac:dyDescent="0.25">
      <c r="C59" s="31"/>
    </row>
    <row r="60" spans="3:3" x14ac:dyDescent="0.25">
      <c r="C60" s="31"/>
    </row>
    <row r="61" spans="3:3" x14ac:dyDescent="0.25">
      <c r="C61" s="31"/>
    </row>
    <row r="62" spans="3:3" x14ac:dyDescent="0.25">
      <c r="C62" s="31"/>
    </row>
    <row r="63" spans="3:3" x14ac:dyDescent="0.25">
      <c r="C63" s="31"/>
    </row>
    <row r="64" spans="3:3" x14ac:dyDescent="0.25">
      <c r="C64" s="31"/>
    </row>
    <row r="65" spans="3:3" x14ac:dyDescent="0.25">
      <c r="C65" s="31"/>
    </row>
    <row r="66" spans="3:3" x14ac:dyDescent="0.25">
      <c r="C66" s="31"/>
    </row>
    <row r="67" spans="3:3" x14ac:dyDescent="0.25">
      <c r="C67" s="31"/>
    </row>
    <row r="68" spans="3:3" x14ac:dyDescent="0.25">
      <c r="C68" s="31"/>
    </row>
    <row r="69" spans="3:3" x14ac:dyDescent="0.25">
      <c r="C69" s="31"/>
    </row>
    <row r="70" spans="3:3" x14ac:dyDescent="0.25">
      <c r="C70" s="31"/>
    </row>
    <row r="71" spans="3:3" x14ac:dyDescent="0.25">
      <c r="C71" s="31"/>
    </row>
    <row r="72" spans="3:3" x14ac:dyDescent="0.25">
      <c r="C72" s="31"/>
    </row>
    <row r="73" spans="3:3" x14ac:dyDescent="0.25">
      <c r="C73" s="31"/>
    </row>
    <row r="74" spans="3:3" x14ac:dyDescent="0.25">
      <c r="C74" s="31"/>
    </row>
    <row r="75" spans="3:3" x14ac:dyDescent="0.25">
      <c r="C75" s="31"/>
    </row>
    <row r="76" spans="3:3" x14ac:dyDescent="0.25">
      <c r="C76" s="31"/>
    </row>
    <row r="77" spans="3:3" x14ac:dyDescent="0.25">
      <c r="C77" s="31"/>
    </row>
    <row r="78" spans="3:3" x14ac:dyDescent="0.25">
      <c r="C78" s="31"/>
    </row>
    <row r="79" spans="3:3" x14ac:dyDescent="0.25">
      <c r="C79" s="31"/>
    </row>
    <row r="80" spans="3:3" x14ac:dyDescent="0.25">
      <c r="C80" s="31"/>
    </row>
    <row r="81" spans="3:3" x14ac:dyDescent="0.25">
      <c r="C81" s="31"/>
    </row>
    <row r="82" spans="3:3" x14ac:dyDescent="0.25">
      <c r="C82" s="31"/>
    </row>
    <row r="83" spans="3:3" x14ac:dyDescent="0.25">
      <c r="C83" s="31"/>
    </row>
    <row r="84" spans="3:3" x14ac:dyDescent="0.25">
      <c r="C84" s="31"/>
    </row>
    <row r="85" spans="3:3" x14ac:dyDescent="0.25">
      <c r="C85" s="31"/>
    </row>
    <row r="86" spans="3:3" x14ac:dyDescent="0.25">
      <c r="C86" s="31"/>
    </row>
    <row r="87" spans="3:3" x14ac:dyDescent="0.25">
      <c r="C87" s="31"/>
    </row>
    <row r="88" spans="3:3" x14ac:dyDescent="0.25">
      <c r="C88" s="31"/>
    </row>
    <row r="89" spans="3:3" x14ac:dyDescent="0.25">
      <c r="C89" s="31"/>
    </row>
    <row r="90" spans="3:3" x14ac:dyDescent="0.25">
      <c r="C90" s="31"/>
    </row>
    <row r="91" spans="3:3" x14ac:dyDescent="0.25">
      <c r="C91" s="31"/>
    </row>
    <row r="92" spans="3:3" x14ac:dyDescent="0.25">
      <c r="C92" s="31"/>
    </row>
    <row r="93" spans="3:3" x14ac:dyDescent="0.25">
      <c r="C93" s="31"/>
    </row>
    <row r="94" spans="3:3" x14ac:dyDescent="0.25">
      <c r="C94" s="31"/>
    </row>
    <row r="95" spans="3:3" x14ac:dyDescent="0.25">
      <c r="C95" s="31"/>
    </row>
    <row r="96" spans="3:3" x14ac:dyDescent="0.25">
      <c r="C96" s="31"/>
    </row>
    <row r="97" spans="3:3" x14ac:dyDescent="0.25">
      <c r="C97" s="31"/>
    </row>
    <row r="98" spans="3:3" x14ac:dyDescent="0.25">
      <c r="C98" s="31"/>
    </row>
    <row r="99" spans="3:3" x14ac:dyDescent="0.25">
      <c r="C99" s="31"/>
    </row>
    <row r="100" spans="3:3" x14ac:dyDescent="0.25">
      <c r="C100" s="31"/>
    </row>
    <row r="101" spans="3:3" x14ac:dyDescent="0.25">
      <c r="C101" s="31"/>
    </row>
    <row r="102" spans="3:3" x14ac:dyDescent="0.25">
      <c r="C102" s="31"/>
    </row>
    <row r="103" spans="3:3" x14ac:dyDescent="0.25">
      <c r="C103" s="31"/>
    </row>
    <row r="104" spans="3:3" x14ac:dyDescent="0.25">
      <c r="C104" s="31"/>
    </row>
    <row r="105" spans="3:3" x14ac:dyDescent="0.25">
      <c r="C105" s="31"/>
    </row>
    <row r="106" spans="3:3" x14ac:dyDescent="0.25">
      <c r="C106" s="31"/>
    </row>
    <row r="107" spans="3:3" x14ac:dyDescent="0.25">
      <c r="C107" s="31"/>
    </row>
    <row r="108" spans="3:3" x14ac:dyDescent="0.25">
      <c r="C108" s="31"/>
    </row>
    <row r="109" spans="3:3" x14ac:dyDescent="0.25">
      <c r="C109" s="31"/>
    </row>
    <row r="110" spans="3:3" x14ac:dyDescent="0.25">
      <c r="C110" s="31"/>
    </row>
    <row r="111" spans="3:3" x14ac:dyDescent="0.25">
      <c r="C111" s="31"/>
    </row>
    <row r="112" spans="3:3" x14ac:dyDescent="0.25">
      <c r="C112" s="31"/>
    </row>
    <row r="113" spans="3:3" x14ac:dyDescent="0.25">
      <c r="C113" s="31"/>
    </row>
    <row r="114" spans="3:3" x14ac:dyDescent="0.25">
      <c r="C114" s="31"/>
    </row>
    <row r="115" spans="3:3" x14ac:dyDescent="0.25">
      <c r="C115" s="31"/>
    </row>
    <row r="116" spans="3:3" x14ac:dyDescent="0.25">
      <c r="C116" s="31"/>
    </row>
    <row r="117" spans="3:3" x14ac:dyDescent="0.25">
      <c r="C117" s="31"/>
    </row>
    <row r="118" spans="3:3" x14ac:dyDescent="0.25">
      <c r="C118" s="31"/>
    </row>
    <row r="119" spans="3:3" x14ac:dyDescent="0.25">
      <c r="C119" s="31"/>
    </row>
    <row r="120" spans="3:3" x14ac:dyDescent="0.25">
      <c r="C120" s="31"/>
    </row>
    <row r="121" spans="3:3" x14ac:dyDescent="0.25">
      <c r="C121" s="31"/>
    </row>
    <row r="122" spans="3:3" x14ac:dyDescent="0.25">
      <c r="C122" s="31"/>
    </row>
    <row r="123" spans="3:3" x14ac:dyDescent="0.25">
      <c r="C123" s="31"/>
    </row>
    <row r="124" spans="3:3" x14ac:dyDescent="0.25">
      <c r="C124" s="31"/>
    </row>
    <row r="125" spans="3:3" x14ac:dyDescent="0.25">
      <c r="C125" s="31"/>
    </row>
    <row r="126" spans="3:3" x14ac:dyDescent="0.25">
      <c r="C126" s="31"/>
    </row>
    <row r="127" spans="3:3" x14ac:dyDescent="0.25">
      <c r="C127" s="31"/>
    </row>
    <row r="128" spans="3:3" x14ac:dyDescent="0.25">
      <c r="C128" s="31"/>
    </row>
    <row r="129" spans="3:3" x14ac:dyDescent="0.25">
      <c r="C129" s="31"/>
    </row>
    <row r="130" spans="3:3" x14ac:dyDescent="0.25">
      <c r="C130" s="31"/>
    </row>
    <row r="131" spans="3:3" x14ac:dyDescent="0.25">
      <c r="C131" s="31"/>
    </row>
    <row r="132" spans="3:3" x14ac:dyDescent="0.25">
      <c r="C132" s="31"/>
    </row>
    <row r="133" spans="3:3" x14ac:dyDescent="0.25">
      <c r="C133" s="31"/>
    </row>
    <row r="134" spans="3:3" x14ac:dyDescent="0.25">
      <c r="C134" s="31"/>
    </row>
    <row r="135" spans="3:3" x14ac:dyDescent="0.25">
      <c r="C135" s="31"/>
    </row>
    <row r="136" spans="3:3" x14ac:dyDescent="0.25">
      <c r="C136" s="31"/>
    </row>
    <row r="137" spans="3:3" x14ac:dyDescent="0.25">
      <c r="C137" s="31"/>
    </row>
    <row r="138" spans="3:3" x14ac:dyDescent="0.25">
      <c r="C138" s="31"/>
    </row>
    <row r="139" spans="3:3" x14ac:dyDescent="0.25">
      <c r="C139" s="31"/>
    </row>
    <row r="140" spans="3:3" x14ac:dyDescent="0.25">
      <c r="C140" s="31"/>
    </row>
    <row r="141" spans="3:3" x14ac:dyDescent="0.25">
      <c r="C141" s="31"/>
    </row>
    <row r="142" spans="3:3" x14ac:dyDescent="0.25">
      <c r="C142" s="31"/>
    </row>
    <row r="143" spans="3:3" x14ac:dyDescent="0.25">
      <c r="C143" s="31"/>
    </row>
    <row r="144" spans="3:3" x14ac:dyDescent="0.25">
      <c r="C144" s="31"/>
    </row>
    <row r="145" spans="3:3" x14ac:dyDescent="0.25">
      <c r="C145" s="31"/>
    </row>
    <row r="146" spans="3:3" x14ac:dyDescent="0.25">
      <c r="C146" s="31"/>
    </row>
    <row r="147" spans="3:3" x14ac:dyDescent="0.25">
      <c r="C147" s="31"/>
    </row>
    <row r="148" spans="3:3" x14ac:dyDescent="0.25">
      <c r="C148" s="31"/>
    </row>
    <row r="149" spans="3:3" x14ac:dyDescent="0.25">
      <c r="C149" s="31"/>
    </row>
    <row r="150" spans="3:3" x14ac:dyDescent="0.25">
      <c r="C150" s="31"/>
    </row>
    <row r="151" spans="3:3" x14ac:dyDescent="0.25">
      <c r="C151" s="31"/>
    </row>
    <row r="152" spans="3:3" x14ac:dyDescent="0.25">
      <c r="C152" s="31"/>
    </row>
    <row r="153" spans="3:3" x14ac:dyDescent="0.25">
      <c r="C153" s="31"/>
    </row>
    <row r="154" spans="3:3" x14ac:dyDescent="0.25">
      <c r="C154" s="31"/>
    </row>
    <row r="155" spans="3:3" x14ac:dyDescent="0.25">
      <c r="C155" s="31"/>
    </row>
    <row r="156" spans="3:3" x14ac:dyDescent="0.25">
      <c r="C156" s="31"/>
    </row>
    <row r="157" spans="3:3" x14ac:dyDescent="0.25">
      <c r="C157" s="31"/>
    </row>
    <row r="158" spans="3:3" x14ac:dyDescent="0.25">
      <c r="C158" s="31"/>
    </row>
    <row r="159" spans="3:3" x14ac:dyDescent="0.25">
      <c r="C159" s="31"/>
    </row>
    <row r="160" spans="3:3" x14ac:dyDescent="0.25">
      <c r="C160" s="31"/>
    </row>
    <row r="161" spans="3:3" x14ac:dyDescent="0.25">
      <c r="C161" s="31"/>
    </row>
    <row r="162" spans="3:3" x14ac:dyDescent="0.25">
      <c r="C162" s="31"/>
    </row>
    <row r="163" spans="3:3" x14ac:dyDescent="0.25">
      <c r="C163" s="31"/>
    </row>
    <row r="164" spans="3:3" x14ac:dyDescent="0.25">
      <c r="C164" s="31"/>
    </row>
    <row r="165" spans="3:3" x14ac:dyDescent="0.25">
      <c r="C165" s="31"/>
    </row>
    <row r="166" spans="3:3" x14ac:dyDescent="0.25">
      <c r="C166" s="31"/>
    </row>
    <row r="167" spans="3:3" x14ac:dyDescent="0.25">
      <c r="C167" s="31"/>
    </row>
    <row r="168" spans="3:3" x14ac:dyDescent="0.25">
      <c r="C168" s="31"/>
    </row>
    <row r="169" spans="3:3" x14ac:dyDescent="0.25">
      <c r="C169" s="31"/>
    </row>
    <row r="170" spans="3:3" x14ac:dyDescent="0.25">
      <c r="C170" s="31"/>
    </row>
    <row r="171" spans="3:3" x14ac:dyDescent="0.25">
      <c r="C171" s="31"/>
    </row>
    <row r="172" spans="3:3" x14ac:dyDescent="0.25">
      <c r="C172" s="31"/>
    </row>
    <row r="173" spans="3:3" x14ac:dyDescent="0.25">
      <c r="C173" s="31"/>
    </row>
    <row r="174" spans="3:3" x14ac:dyDescent="0.25">
      <c r="C174" s="31"/>
    </row>
    <row r="175" spans="3:3" x14ac:dyDescent="0.25">
      <c r="C175" s="31"/>
    </row>
    <row r="176" spans="3:3" x14ac:dyDescent="0.25">
      <c r="C176" s="31"/>
    </row>
    <row r="177" spans="3:3" x14ac:dyDescent="0.25">
      <c r="C177" s="31"/>
    </row>
    <row r="178" spans="3:3" x14ac:dyDescent="0.25">
      <c r="C178" s="31"/>
    </row>
    <row r="179" spans="3:3" x14ac:dyDescent="0.25">
      <c r="C179" s="31"/>
    </row>
    <row r="180" spans="3:3" x14ac:dyDescent="0.25">
      <c r="C180" s="31"/>
    </row>
    <row r="181" spans="3:3" x14ac:dyDescent="0.25">
      <c r="C181" s="31"/>
    </row>
    <row r="182" spans="3:3" x14ac:dyDescent="0.25">
      <c r="C182" s="31"/>
    </row>
    <row r="183" spans="3:3" x14ac:dyDescent="0.25">
      <c r="C183" s="31"/>
    </row>
    <row r="184" spans="3:3" x14ac:dyDescent="0.25">
      <c r="C184" s="31"/>
    </row>
    <row r="185" spans="3:3" x14ac:dyDescent="0.25">
      <c r="C185" s="31"/>
    </row>
    <row r="186" spans="3:3" x14ac:dyDescent="0.25">
      <c r="C186" s="31"/>
    </row>
    <row r="187" spans="3:3" x14ac:dyDescent="0.25">
      <c r="C187" s="31"/>
    </row>
    <row r="188" spans="3:3" x14ac:dyDescent="0.25">
      <c r="C188" s="31"/>
    </row>
    <row r="189" spans="3:3" x14ac:dyDescent="0.25">
      <c r="C189" s="31"/>
    </row>
    <row r="190" spans="3:3" x14ac:dyDescent="0.25">
      <c r="C190" s="31"/>
    </row>
    <row r="191" spans="3:3" x14ac:dyDescent="0.25">
      <c r="C191" s="31"/>
    </row>
    <row r="192" spans="3:3" x14ac:dyDescent="0.25">
      <c r="C192" s="31"/>
    </row>
    <row r="193" spans="3:3" x14ac:dyDescent="0.25">
      <c r="C193" s="31"/>
    </row>
    <row r="194" spans="3:3" x14ac:dyDescent="0.25">
      <c r="C194" s="31"/>
    </row>
  </sheetData>
  <mergeCells count="2">
    <mergeCell ref="F3:O3"/>
    <mergeCell ref="F8:O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Plot Data</vt:lpstr>
      <vt:lpstr>Forced Evaporation</vt:lpstr>
      <vt:lpstr>Read Me</vt:lpstr>
      <vt:lpstr>Glossary of label cells</vt:lpstr>
      <vt:lpstr>Ward equation 1 2 3 14</vt:lpstr>
      <vt:lpstr>altitude vs. air pressure</vt:lpstr>
      <vt:lpstr>Lowe 1977 e(T)</vt:lpstr>
      <vt:lpstr>unsaturated vapor pressure</vt:lpstr>
      <vt:lpstr>Ward Constants</vt:lpstr>
      <vt:lpstr>Ward Eqn 12</vt:lpstr>
      <vt:lpstr>FirstPoint</vt:lpstr>
      <vt:lpstr>OutputRange</vt:lpstr>
    </vt:vector>
  </TitlesOfParts>
  <Company>Dell Computer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thdiehl</dc:creator>
  <cp:lastModifiedBy>Diehl, Timothy H.</cp:lastModifiedBy>
  <cp:lastPrinted>2011-09-14T17:08:17Z</cp:lastPrinted>
  <dcterms:created xsi:type="dcterms:W3CDTF">1999-03-19T21:01:27Z</dcterms:created>
  <dcterms:modified xsi:type="dcterms:W3CDTF">2014-11-06T20:12:35Z</dcterms:modified>
</cp:coreProperties>
</file>