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codeName="{8C4F1C90-05EB-6A55-5F09-09C24B55AC0B}"/>
  <workbookPr codeName="ThisWorkbook" defaultThemeVersion="124226"/>
  <bookViews>
    <workbookView xWindow="90" yWindow="0" windowWidth="17610" windowHeight="10425" tabRatio="940"/>
  </bookViews>
  <sheets>
    <sheet name="ReadMe" sheetId="17" r:id="rId1"/>
    <sheet name="Aug.20.2012_Model" sheetId="1" r:id="rId2"/>
    <sheet name="North_Channel" sheetId="5" r:id="rId3"/>
    <sheet name="Unmeasured_Gains_Losses" sheetId="2" r:id="rId4"/>
    <sheet name="Measured_Main_Stem_Data" sheetId="3" r:id="rId5"/>
    <sheet name="Concentration Interactive" sheetId="15" r:id="rId6"/>
    <sheet name="Load Interactive" sheetId="16" r:id="rId7"/>
    <sheet name="Discharge Calibration Plot" sheetId="8" r:id="rId8"/>
    <sheet name="Major_inflows" sheetId="4" r:id="rId9"/>
  </sheets>
  <calcPr calcId="145621"/>
</workbook>
</file>

<file path=xl/calcChain.xml><?xml version="1.0" encoding="utf-8"?>
<calcChain xmlns="http://schemas.openxmlformats.org/spreadsheetml/2006/main">
  <c r="Q23" i="1"/>
  <c r="Q21"/>
  <c r="Q20"/>
  <c r="Q19"/>
  <c r="Q18"/>
  <c r="Q17"/>
  <c r="Q16"/>
  <c r="Q15"/>
  <c r="Q14"/>
  <c r="P27" l="1"/>
  <c r="P32"/>
  <c r="P38"/>
  <c r="P40"/>
  <c r="P42"/>
  <c r="P43"/>
  <c r="P44"/>
  <c r="P46"/>
  <c r="P53"/>
  <c r="P63"/>
  <c r="P65"/>
  <c r="P67"/>
  <c r="P68"/>
  <c r="P52"/>
  <c r="P41"/>
  <c r="P18"/>
  <c r="P11"/>
  <c r="N77"/>
  <c r="M17" l="1"/>
  <c r="L12"/>
  <c r="L13" l="1"/>
  <c r="P10"/>
  <c r="C18" i="2"/>
  <c r="B18"/>
  <c r="C6"/>
  <c r="M10" i="5" l="1"/>
  <c r="R11" i="1"/>
  <c r="O13"/>
  <c r="O14" s="1"/>
  <c r="O15" s="1"/>
  <c r="O16" s="1"/>
  <c r="O17" s="1"/>
  <c r="O18" s="1"/>
  <c r="O19" s="1"/>
  <c r="O20" s="1"/>
  <c r="O21" s="1"/>
  <c r="O22" s="1"/>
  <c r="O23" s="1"/>
  <c r="O24" s="1"/>
  <c r="O25" s="1"/>
  <c r="O26" s="1"/>
  <c r="O27" s="1"/>
  <c r="O28" s="1"/>
  <c r="O29" s="1"/>
  <c r="O30" s="1"/>
  <c r="O31" s="1"/>
  <c r="O32" s="1"/>
  <c r="O33" s="1"/>
  <c r="O34" s="1"/>
  <c r="O35" s="1"/>
  <c r="O36" s="1"/>
  <c r="O37" s="1"/>
  <c r="O38" s="1"/>
  <c r="O40"/>
  <c r="O41" s="1"/>
  <c r="O42" s="1"/>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Q9"/>
  <c r="R9"/>
  <c r="S9"/>
  <c r="W9"/>
  <c r="X9"/>
  <c r="R6" i="5" l="1"/>
  <c r="R15"/>
  <c r="R11"/>
  <c r="R13"/>
  <c r="S75" i="1" l="1"/>
  <c r="S35" l="1"/>
  <c r="K49" l="1"/>
  <c r="E30" l="1"/>
  <c r="F18" i="2"/>
  <c r="F19"/>
  <c r="R12" i="5"/>
  <c r="R8"/>
  <c r="R7"/>
  <c r="S30" i="1" l="1"/>
  <c r="E9" l="1"/>
  <c r="F18" i="3" l="1"/>
  <c r="R14" i="5" l="1"/>
  <c r="M6"/>
  <c r="M7"/>
  <c r="M8"/>
  <c r="M9"/>
  <c r="M11"/>
  <c r="M12"/>
  <c r="M13"/>
  <c r="M14"/>
  <c r="M15"/>
  <c r="M5"/>
  <c r="J12"/>
  <c r="R9"/>
  <c r="B19" i="2"/>
  <c r="K12" i="5" s="1"/>
  <c r="K10" l="1"/>
  <c r="K9"/>
  <c r="K11"/>
  <c r="H9" l="1"/>
  <c r="I10" i="1" l="1"/>
  <c r="H10"/>
  <c r="W10"/>
  <c r="Q10"/>
  <c r="M10"/>
  <c r="S10" s="1"/>
  <c r="X10" l="1"/>
  <c r="K54"/>
  <c r="X81"/>
  <c r="Q81"/>
  <c r="R81" s="1"/>
  <c r="I9"/>
  <c r="I11" l="1"/>
  <c r="I12" l="1"/>
  <c r="I13" s="1"/>
  <c r="I14" s="1"/>
  <c r="S47"/>
  <c r="S74" l="1"/>
  <c r="S73"/>
  <c r="S72"/>
  <c r="S71"/>
  <c r="S69"/>
  <c r="S66"/>
  <c r="S64"/>
  <c r="S62"/>
  <c r="S60"/>
  <c r="S59"/>
  <c r="S58"/>
  <c r="S57"/>
  <c r="S56"/>
  <c r="S55"/>
  <c r="S51"/>
  <c r="S50"/>
  <c r="S48"/>
  <c r="S36"/>
  <c r="S34"/>
  <c r="S29"/>
  <c r="S26"/>
  <c r="S25"/>
  <c r="S24"/>
  <c r="S22"/>
  <c r="S21"/>
  <c r="S20"/>
  <c r="S19"/>
  <c r="S17"/>
  <c r="S16"/>
  <c r="S14"/>
  <c r="S12"/>
  <c r="K76"/>
  <c r="K70"/>
  <c r="K61"/>
  <c r="K39"/>
  <c r="K37"/>
  <c r="K33"/>
  <c r="K28"/>
  <c r="K13"/>
  <c r="F6" i="2" s="1"/>
  <c r="H9" i="1"/>
  <c r="T3" l="1"/>
  <c r="H11" l="1"/>
  <c r="H12" s="1"/>
  <c r="H13" l="1"/>
  <c r="H14" s="1"/>
  <c r="F3" i="3"/>
  <c r="F4"/>
  <c r="F5"/>
  <c r="F6"/>
  <c r="F7"/>
  <c r="F8"/>
  <c r="F9"/>
  <c r="F10"/>
  <c r="F11"/>
  <c r="F12"/>
  <c r="F13"/>
  <c r="F14"/>
  <c r="F15"/>
  <c r="F16"/>
  <c r="S18" i="1" l="1"/>
  <c r="K82"/>
  <c r="E5" i="5" l="1"/>
  <c r="E15" i="1" l="1"/>
  <c r="S15" s="1"/>
  <c r="R5" i="5" s="1"/>
  <c r="K23" i="1" l="1"/>
  <c r="H15"/>
  <c r="H16" s="1"/>
  <c r="H17" s="1"/>
  <c r="H18" s="1"/>
  <c r="H19" s="1"/>
  <c r="H20" s="1"/>
  <c r="H21" s="1"/>
  <c r="H22" s="1"/>
  <c r="H23" s="1"/>
  <c r="H24" s="1"/>
  <c r="H25" s="1"/>
  <c r="H26" s="1"/>
  <c r="H27" s="1"/>
  <c r="H28" s="1"/>
  <c r="H29" s="1"/>
  <c r="I15"/>
  <c r="I16" s="1"/>
  <c r="I17" s="1"/>
  <c r="I18" s="1"/>
  <c r="I19" s="1"/>
  <c r="I20" s="1"/>
  <c r="I21" s="1"/>
  <c r="I22" s="1"/>
  <c r="I23" s="1"/>
  <c r="I24" s="1"/>
  <c r="I25" s="1"/>
  <c r="I26" s="1"/>
  <c r="I27" s="1"/>
  <c r="I28" s="1"/>
  <c r="I29" s="1"/>
  <c r="R10" i="5" l="1"/>
  <c r="S45" i="1"/>
  <c r="N12" i="5" l="1"/>
  <c r="G19" i="2" s="1"/>
  <c r="C19" s="1"/>
  <c r="O10" i="5" s="1"/>
  <c r="S11" i="1"/>
  <c r="S27"/>
  <c r="S38"/>
  <c r="S41"/>
  <c r="S44"/>
  <c r="S46"/>
  <c r="S52"/>
  <c r="S53"/>
  <c r="S68"/>
  <c r="S63"/>
  <c r="O9" i="5" l="1"/>
  <c r="O12"/>
  <c r="O11"/>
  <c r="S65" i="1"/>
  <c r="S67" l="1"/>
  <c r="S42"/>
  <c r="S43"/>
  <c r="S40"/>
  <c r="S32"/>
  <c r="D5" i="3" l="1"/>
  <c r="F7" i="2" l="1"/>
  <c r="F10"/>
  <c r="F11"/>
  <c r="D6" i="3" l="1"/>
  <c r="D7"/>
  <c r="D8"/>
  <c r="D9"/>
  <c r="D10"/>
  <c r="D11"/>
  <c r="D12"/>
  <c r="D13"/>
  <c r="D14"/>
  <c r="D15"/>
  <c r="D16"/>
  <c r="D3"/>
  <c r="D4"/>
  <c r="H10" i="5" l="1"/>
  <c r="H11" s="1"/>
  <c r="H12" s="1"/>
  <c r="H13" s="1"/>
  <c r="H14" s="1"/>
  <c r="H15" s="1"/>
  <c r="H6"/>
  <c r="H5"/>
  <c r="L5" s="1"/>
  <c r="H7" l="1"/>
  <c r="L6"/>
  <c r="B6" i="2"/>
  <c r="F17"/>
  <c r="F16"/>
  <c r="F15"/>
  <c r="F14"/>
  <c r="F13"/>
  <c r="F12"/>
  <c r="B11"/>
  <c r="B10"/>
  <c r="B7"/>
  <c r="B13" l="1"/>
  <c r="L40" i="1" s="1"/>
  <c r="B17" i="2"/>
  <c r="L76" i="1" s="1"/>
  <c r="B14" i="2"/>
  <c r="L53" i="1" s="1"/>
  <c r="B15" i="2"/>
  <c r="L59" i="1" s="1"/>
  <c r="B12" i="2"/>
  <c r="L39" i="1" s="1"/>
  <c r="B16" i="2"/>
  <c r="L63" i="1" s="1"/>
  <c r="J8" i="5"/>
  <c r="L7"/>
  <c r="L8" s="1"/>
  <c r="L9" s="1"/>
  <c r="L10" s="1"/>
  <c r="L11" s="1"/>
  <c r="L12" s="1"/>
  <c r="L13" s="1"/>
  <c r="L14" s="1"/>
  <c r="L15" s="1"/>
  <c r="F8" i="2"/>
  <c r="L15" i="1"/>
  <c r="L19"/>
  <c r="L23"/>
  <c r="L17"/>
  <c r="L16"/>
  <c r="L20"/>
  <c r="L14"/>
  <c r="L21"/>
  <c r="L18"/>
  <c r="L22"/>
  <c r="L61"/>
  <c r="L47"/>
  <c r="L37"/>
  <c r="L34"/>
  <c r="L35"/>
  <c r="L36"/>
  <c r="L33"/>
  <c r="L32"/>
  <c r="L11"/>
  <c r="L54" l="1"/>
  <c r="L52"/>
  <c r="L49"/>
  <c r="L50"/>
  <c r="L51"/>
  <c r="L71"/>
  <c r="L70"/>
  <c r="L38"/>
  <c r="L46"/>
  <c r="L41"/>
  <c r="L42"/>
  <c r="L48"/>
  <c r="L43"/>
  <c r="L45"/>
  <c r="L44"/>
  <c r="L58"/>
  <c r="L75"/>
  <c r="L74"/>
  <c r="L60"/>
  <c r="L65"/>
  <c r="L57"/>
  <c r="L72"/>
  <c r="L73"/>
  <c r="L56"/>
  <c r="L55"/>
  <c r="L67"/>
  <c r="L68"/>
  <c r="L69"/>
  <c r="L62"/>
  <c r="L66"/>
  <c r="L64"/>
  <c r="B8" i="2"/>
  <c r="L26" i="1" s="1"/>
  <c r="K31"/>
  <c r="F9" i="2" s="1"/>
  <c r="E16" i="5"/>
  <c r="L28" i="1" l="1"/>
  <c r="L27"/>
  <c r="L25"/>
  <c r="L24"/>
  <c r="B9" i="2"/>
  <c r="L30" i="1" s="1"/>
  <c r="H30"/>
  <c r="H31" s="1"/>
  <c r="H32" s="1"/>
  <c r="H33" s="1"/>
  <c r="H34" s="1"/>
  <c r="H35" s="1"/>
  <c r="H36" s="1"/>
  <c r="H37" s="1"/>
  <c r="H38" s="1"/>
  <c r="H39" s="1"/>
  <c r="H40" s="1"/>
  <c r="H41" s="1"/>
  <c r="H42" s="1"/>
  <c r="H43" s="1"/>
  <c r="H44" s="1"/>
  <c r="H45" s="1"/>
  <c r="H46" s="1"/>
  <c r="H47" s="1"/>
  <c r="H48" s="1"/>
  <c r="H49" s="1"/>
  <c r="H50" s="1"/>
  <c r="H51" s="1"/>
  <c r="H52" s="1"/>
  <c r="H53" s="1"/>
  <c r="H54" s="1"/>
  <c r="H55" s="1"/>
  <c r="H56" s="1"/>
  <c r="H57" s="1"/>
  <c r="H58" s="1"/>
  <c r="H59" s="1"/>
  <c r="H60" s="1"/>
  <c r="H61" s="1"/>
  <c r="H62" s="1"/>
  <c r="H63" s="1"/>
  <c r="H64" s="1"/>
  <c r="H65" s="1"/>
  <c r="H66" s="1"/>
  <c r="H67" s="1"/>
  <c r="H68" s="1"/>
  <c r="H69" s="1"/>
  <c r="H70" s="1"/>
  <c r="H71" s="1"/>
  <c r="H72" s="1"/>
  <c r="H73" s="1"/>
  <c r="H74" s="1"/>
  <c r="H75" s="1"/>
  <c r="H76" s="1"/>
  <c r="I30"/>
  <c r="I31" s="1"/>
  <c r="I32" s="1"/>
  <c r="I33" s="1"/>
  <c r="I34" s="1"/>
  <c r="I35" s="1"/>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M11"/>
  <c r="Q11" s="1"/>
  <c r="L31" l="1"/>
  <c r="L29"/>
  <c r="M12"/>
  <c r="Q12" s="1"/>
  <c r="R10"/>
  <c r="M13" l="1"/>
  <c r="M14" s="1"/>
  <c r="G4" i="3"/>
  <c r="Q13" i="1" l="1"/>
  <c r="M15"/>
  <c r="S13"/>
  <c r="R12"/>
  <c r="P15" l="1"/>
  <c r="R13"/>
  <c r="M16"/>
  <c r="G5" i="3"/>
  <c r="M18" i="1" l="1"/>
  <c r="R14"/>
  <c r="R15"/>
  <c r="R18" l="1"/>
  <c r="M19"/>
  <c r="M20" l="1"/>
  <c r="M21" s="1"/>
  <c r="M22" s="1"/>
  <c r="M23" s="1"/>
  <c r="M24" l="1"/>
  <c r="M25" s="1"/>
  <c r="M26" s="1"/>
  <c r="M27" s="1"/>
  <c r="M28" s="1"/>
  <c r="M29" s="1"/>
  <c r="M30" s="1"/>
  <c r="S23"/>
  <c r="T23" s="1"/>
  <c r="Q22" l="1"/>
  <c r="S28"/>
  <c r="M31" l="1"/>
  <c r="M32" s="1"/>
  <c r="S31" l="1"/>
  <c r="M33" l="1"/>
  <c r="M34" s="1"/>
  <c r="M35" s="1"/>
  <c r="M36" s="1"/>
  <c r="M37" s="1"/>
  <c r="M38" l="1"/>
  <c r="S37"/>
  <c r="S33"/>
  <c r="M39" l="1"/>
  <c r="S39" s="1"/>
  <c r="M40" l="1"/>
  <c r="M41" s="1"/>
  <c r="M42" s="1"/>
  <c r="M43" s="1"/>
  <c r="M44" s="1"/>
  <c r="M45" s="1"/>
  <c r="M46" s="1"/>
  <c r="T39"/>
  <c r="M47" l="1"/>
  <c r="M48" s="1"/>
  <c r="M49" s="1"/>
  <c r="M50" s="1"/>
  <c r="M51" s="1"/>
  <c r="M52" s="1"/>
  <c r="M53" s="1"/>
  <c r="R16" l="1"/>
  <c r="P5" i="5" l="1"/>
  <c r="P6" s="1"/>
  <c r="P7" s="1"/>
  <c r="P8" s="1"/>
  <c r="P9" s="1"/>
  <c r="P10" s="1"/>
  <c r="P11" s="1"/>
  <c r="P12" s="1"/>
  <c r="P13" s="1"/>
  <c r="P14" s="1"/>
  <c r="P15" s="1"/>
  <c r="P16" s="1"/>
  <c r="P30" i="1" s="1"/>
  <c r="R17"/>
  <c r="S49"/>
  <c r="T49" s="1"/>
  <c r="R19" l="1"/>
  <c r="R20" l="1"/>
  <c r="R21" l="1"/>
  <c r="M54" l="1"/>
  <c r="M55" s="1"/>
  <c r="M56" s="1"/>
  <c r="M57" s="1"/>
  <c r="M58" s="1"/>
  <c r="M59" s="1"/>
  <c r="M60" s="1"/>
  <c r="M61" s="1"/>
  <c r="M62" s="1"/>
  <c r="M63" s="1"/>
  <c r="R22"/>
  <c r="S54" l="1"/>
  <c r="Q24"/>
  <c r="Q25" s="1"/>
  <c r="Q26" s="1"/>
  <c r="Q27" s="1"/>
  <c r="Q28" l="1"/>
  <c r="Q29" s="1"/>
  <c r="Q30" s="1"/>
  <c r="R27"/>
  <c r="G6" i="3"/>
  <c r="R23" i="1"/>
  <c r="R24"/>
  <c r="Q31" l="1"/>
  <c r="R25"/>
  <c r="R26" l="1"/>
  <c r="G7" i="3" l="1"/>
  <c r="R28" i="1"/>
  <c r="R29"/>
  <c r="S61" l="1"/>
  <c r="T61" s="1"/>
  <c r="R30"/>
  <c r="Q32" l="1"/>
  <c r="R32" s="1"/>
  <c r="G8" i="3" l="1"/>
  <c r="R31" i="1"/>
  <c r="M64"/>
  <c r="M65" s="1"/>
  <c r="Q33" l="1"/>
  <c r="Q34" s="1"/>
  <c r="Q35" l="1"/>
  <c r="R33"/>
  <c r="G9" i="3"/>
  <c r="M66" i="1"/>
  <c r="M67" s="1"/>
  <c r="M68" s="1"/>
  <c r="Q36" l="1"/>
  <c r="R34"/>
  <c r="R35"/>
  <c r="Q37" l="1"/>
  <c r="R36"/>
  <c r="M69" l="1"/>
  <c r="M70" s="1"/>
  <c r="M71" s="1"/>
  <c r="M72" s="1"/>
  <c r="M73" s="1"/>
  <c r="M74" s="1"/>
  <c r="M75" s="1"/>
  <c r="M76" s="1"/>
  <c r="Q38"/>
  <c r="R38" s="1"/>
  <c r="G10" i="3" l="1"/>
  <c r="R37" i="1"/>
  <c r="S70" l="1"/>
  <c r="Q39"/>
  <c r="R39" l="1"/>
  <c r="Q40"/>
  <c r="G11" i="3"/>
  <c r="Q41" i="1" l="1"/>
  <c r="R40"/>
  <c r="Q42" l="1"/>
  <c r="R41"/>
  <c r="Q43" l="1"/>
  <c r="R42"/>
  <c r="Q44" l="1"/>
  <c r="R43"/>
  <c r="Q45" l="1"/>
  <c r="R44"/>
  <c r="Q46" l="1"/>
  <c r="R45"/>
  <c r="Q47" l="1"/>
  <c r="R46"/>
  <c r="Q48" l="1"/>
  <c r="R47"/>
  <c r="R48" l="1"/>
  <c r="Q49"/>
  <c r="Q50" l="1"/>
  <c r="G12" i="3"/>
  <c r="R49" i="1"/>
  <c r="Q51" l="1"/>
  <c r="R50"/>
  <c r="Q52" l="1"/>
  <c r="R51"/>
  <c r="Q53" l="1"/>
  <c r="R52"/>
  <c r="R53" l="1"/>
  <c r="Q54"/>
  <c r="G13" i="3" l="1"/>
  <c r="R54" i="1"/>
  <c r="Q55"/>
  <c r="Q56" l="1"/>
  <c r="R55"/>
  <c r="Q57" l="1"/>
  <c r="R56"/>
  <c r="Q58" l="1"/>
  <c r="R57"/>
  <c r="Q59" l="1"/>
  <c r="R58"/>
  <c r="Q60" l="1"/>
  <c r="R59"/>
  <c r="R60" l="1"/>
  <c r="Q61"/>
  <c r="Q62" l="1"/>
  <c r="R61"/>
  <c r="G14" i="3"/>
  <c r="Q63" i="1" l="1"/>
  <c r="R62"/>
  <c r="Q64" l="1"/>
  <c r="R63"/>
  <c r="Q65" l="1"/>
  <c r="R64"/>
  <c r="Q66" l="1"/>
  <c r="R65"/>
  <c r="E4" i="3"/>
  <c r="H4"/>
  <c r="Q67" i="1" l="1"/>
  <c r="R66"/>
  <c r="V13"/>
  <c r="Q68" l="1"/>
  <c r="R67"/>
  <c r="G6" i="2"/>
  <c r="Q69" i="1" l="1"/>
  <c r="R68"/>
  <c r="U13"/>
  <c r="R69" l="1"/>
  <c r="Q70"/>
  <c r="U12"/>
  <c r="U11"/>
  <c r="G15" i="3" l="1"/>
  <c r="Q71" i="1"/>
  <c r="R70"/>
  <c r="W11"/>
  <c r="Q72" l="1"/>
  <c r="R71"/>
  <c r="X11"/>
  <c r="W12"/>
  <c r="X12" s="1"/>
  <c r="Q73" l="1"/>
  <c r="R72"/>
  <c r="W13"/>
  <c r="X13" s="1"/>
  <c r="Q74" l="1"/>
  <c r="R73"/>
  <c r="E5" i="3"/>
  <c r="H5"/>
  <c r="G7" i="2"/>
  <c r="V23" i="1"/>
  <c r="Q75" l="1"/>
  <c r="R75" s="1"/>
  <c r="R74"/>
  <c r="C7" i="2"/>
  <c r="U17" i="1" l="1"/>
  <c r="U15"/>
  <c r="U18"/>
  <c r="U14"/>
  <c r="U21"/>
  <c r="U20"/>
  <c r="U23"/>
  <c r="U22"/>
  <c r="U19"/>
  <c r="U16"/>
  <c r="W14" l="1"/>
  <c r="W15" s="1"/>
  <c r="X14" l="1"/>
  <c r="T28"/>
  <c r="G8" i="2" l="1"/>
  <c r="V28" i="1"/>
  <c r="C8" i="2" l="1"/>
  <c r="U28" i="1" l="1"/>
  <c r="U24"/>
  <c r="U27"/>
  <c r="U25"/>
  <c r="U26"/>
  <c r="T31"/>
  <c r="V31" s="1"/>
  <c r="G9" i="2" l="1"/>
  <c r="C9" l="1"/>
  <c r="T33" i="1"/>
  <c r="U29" l="1"/>
  <c r="U30"/>
  <c r="U31"/>
  <c r="V33"/>
  <c r="G10" i="2"/>
  <c r="C10" l="1"/>
  <c r="U33" i="1" l="1"/>
  <c r="U32"/>
  <c r="T37" l="1"/>
  <c r="V37" s="1"/>
  <c r="G11" i="2" l="1"/>
  <c r="C11" l="1"/>
  <c r="U35" i="1" l="1"/>
  <c r="U34"/>
  <c r="U36"/>
  <c r="U37"/>
  <c r="V39"/>
  <c r="G12" i="2"/>
  <c r="C12" l="1"/>
  <c r="U39" i="1" l="1"/>
  <c r="U38"/>
  <c r="G13" i="2"/>
  <c r="V49" i="1"/>
  <c r="C13" i="2" l="1"/>
  <c r="U40" i="1" s="1"/>
  <c r="U41" l="1"/>
  <c r="U49"/>
  <c r="U44"/>
  <c r="U45"/>
  <c r="U48"/>
  <c r="U47"/>
  <c r="U46"/>
  <c r="U42"/>
  <c r="U43"/>
  <c r="T54" l="1"/>
  <c r="G14" i="2" l="1"/>
  <c r="V54" i="1"/>
  <c r="C14" i="2" l="1"/>
  <c r="U52" i="1" l="1"/>
  <c r="U53"/>
  <c r="U54"/>
  <c r="U50"/>
  <c r="U51"/>
  <c r="G15" i="2"/>
  <c r="V61" i="1"/>
  <c r="C15" i="2" l="1"/>
  <c r="U56" i="1" l="1"/>
  <c r="U60"/>
  <c r="U61"/>
  <c r="U55"/>
  <c r="U59"/>
  <c r="U57"/>
  <c r="U58"/>
  <c r="T70" l="1"/>
  <c r="V70" l="1"/>
  <c r="G16" i="2"/>
  <c r="C16" l="1"/>
  <c r="U69" i="1" l="1"/>
  <c r="U64"/>
  <c r="U67"/>
  <c r="U70"/>
  <c r="U68"/>
  <c r="U62"/>
  <c r="U63"/>
  <c r="U65"/>
  <c r="U66"/>
  <c r="Q76" l="1"/>
  <c r="G16" i="3" s="1"/>
  <c r="S76" i="1"/>
  <c r="T76" s="1"/>
  <c r="V76" s="1"/>
  <c r="G17" i="2" l="1"/>
  <c r="R76" i="1"/>
  <c r="Q80"/>
  <c r="C17" i="2" l="1"/>
  <c r="U73" i="1" s="1"/>
  <c r="Q83"/>
  <c r="R80"/>
  <c r="U72" l="1"/>
  <c r="U71"/>
  <c r="U74"/>
  <c r="U76"/>
  <c r="U75"/>
  <c r="R83"/>
  <c r="R82" s="1"/>
  <c r="X15" l="1"/>
  <c r="W16"/>
  <c r="W17" l="1"/>
  <c r="X16"/>
  <c r="W18" l="1"/>
  <c r="X18" s="1"/>
  <c r="X17"/>
  <c r="W19" l="1"/>
  <c r="X19" s="1"/>
  <c r="W20" l="1"/>
  <c r="X20" l="1"/>
  <c r="W21"/>
  <c r="X21" s="1"/>
  <c r="W22" l="1"/>
  <c r="X22" s="1"/>
  <c r="W23" l="1"/>
  <c r="W24" s="1"/>
  <c r="H6" i="3" l="1"/>
  <c r="X23" i="1"/>
  <c r="E6" i="3" s="1"/>
  <c r="W25" i="1"/>
  <c r="X24"/>
  <c r="W26" l="1"/>
  <c r="X25"/>
  <c r="X26" l="1"/>
  <c r="W27"/>
  <c r="W28" l="1"/>
  <c r="X27"/>
  <c r="X28" l="1"/>
  <c r="H7" i="3"/>
  <c r="W29" i="1"/>
  <c r="E7" i="3" l="1"/>
  <c r="W30" i="1"/>
  <c r="X29"/>
  <c r="W31" l="1"/>
  <c r="X30"/>
  <c r="W32" l="1"/>
  <c r="W33" s="1"/>
  <c r="X31"/>
  <c r="H8" i="3"/>
  <c r="E8" l="1"/>
  <c r="X32" i="1"/>
  <c r="W34" l="1"/>
  <c r="H9" i="3"/>
  <c r="X33" i="1"/>
  <c r="E9" i="3" l="1"/>
  <c r="X34" i="1"/>
  <c r="W35"/>
  <c r="X35" l="1"/>
  <c r="W36"/>
  <c r="W37" l="1"/>
  <c r="X36"/>
  <c r="H10" i="3" l="1"/>
  <c r="X37" i="1"/>
  <c r="W38"/>
  <c r="E10" i="3" l="1"/>
  <c r="X38" i="1"/>
  <c r="W39"/>
  <c r="X39" l="1"/>
  <c r="H11" i="3"/>
  <c r="W40" i="1"/>
  <c r="E11" i="3" l="1"/>
  <c r="X40" i="1"/>
  <c r="W41"/>
  <c r="W42" l="1"/>
  <c r="X41"/>
  <c r="X42" l="1"/>
  <c r="W43"/>
  <c r="X43" l="1"/>
  <c r="W44"/>
  <c r="W45" s="1"/>
  <c r="W46" l="1"/>
  <c r="X44"/>
  <c r="X45" l="1"/>
  <c r="X46" l="1"/>
  <c r="W47"/>
  <c r="X47" l="1"/>
  <c r="W48"/>
  <c r="W49" l="1"/>
  <c r="X48"/>
  <c r="H12" i="3" l="1"/>
  <c r="W50" i="1"/>
  <c r="X49"/>
  <c r="E12" i="3" l="1"/>
  <c r="W51" i="1"/>
  <c r="X50"/>
  <c r="X51" l="1"/>
  <c r="W52"/>
  <c r="X52" l="1"/>
  <c r="W53"/>
  <c r="X53" l="1"/>
  <c r="W54"/>
  <c r="X54" l="1"/>
  <c r="H13" i="3"/>
  <c r="W55" i="1"/>
  <c r="E13" i="3" l="1"/>
  <c r="X55" i="1"/>
  <c r="W56"/>
  <c r="W57" l="1"/>
  <c r="X56"/>
  <c r="X57" l="1"/>
  <c r="W58"/>
  <c r="W59" l="1"/>
  <c r="X58"/>
  <c r="X59" l="1"/>
  <c r="W60"/>
  <c r="W61" l="1"/>
  <c r="X60"/>
  <c r="X61" l="1"/>
  <c r="H14" i="3"/>
  <c r="W62" i="1"/>
  <c r="E14" i="3" l="1"/>
  <c r="X62" i="1"/>
  <c r="W63"/>
  <c r="X63" l="1"/>
  <c r="W64"/>
  <c r="W65" l="1"/>
  <c r="X64"/>
  <c r="X65" l="1"/>
  <c r="W66"/>
  <c r="W67" l="1"/>
  <c r="X66"/>
  <c r="X67" l="1"/>
  <c r="W68"/>
  <c r="W69" l="1"/>
  <c r="X68"/>
  <c r="W70" l="1"/>
  <c r="X69"/>
  <c r="H15" i="3" l="1"/>
  <c r="X70" i="1"/>
  <c r="W71"/>
  <c r="E15" i="3" l="1"/>
  <c r="X71" i="1"/>
  <c r="W72"/>
  <c r="W73" l="1"/>
  <c r="X72"/>
  <c r="W74" l="1"/>
  <c r="X73"/>
  <c r="X74" l="1"/>
  <c r="W75"/>
  <c r="X75" l="1"/>
  <c r="W76"/>
  <c r="X76" s="1"/>
  <c r="H16" i="3" l="1"/>
  <c r="W80" i="1"/>
  <c r="E16" i="3" l="1"/>
  <c r="X80" i="1"/>
  <c r="W83"/>
  <c r="X83" l="1"/>
  <c r="X82" s="1"/>
  <c r="N8" i="5" l="1"/>
  <c r="G18" i="2" l="1"/>
  <c r="O5" i="5" l="1"/>
  <c r="Q5" s="1"/>
  <c r="O6"/>
  <c r="O7"/>
  <c r="Q6" l="1"/>
  <c r="Q7" s="1"/>
  <c r="Q8" s="1"/>
  <c r="Q9" s="1"/>
  <c r="Q10" s="1"/>
  <c r="Q11" s="1"/>
  <c r="Q12" s="1"/>
  <c r="Q13" s="1"/>
  <c r="Q14" s="1"/>
  <c r="Q15" s="1"/>
  <c r="Q16" s="1"/>
</calcChain>
</file>

<file path=xl/comments1.xml><?xml version="1.0" encoding="utf-8"?>
<comments xmlns="http://schemas.openxmlformats.org/spreadsheetml/2006/main">
  <authors>
    <author>Etheridge, Alexandra B.</author>
  </authors>
  <commentList>
    <comment ref="T2" authorId="0">
      <text>
        <r>
          <rPr>
            <b/>
            <sz val="9"/>
            <color indexed="81"/>
            <rFont val="Tahoma"/>
            <family val="2"/>
          </rPr>
          <t>Etheridge, Alexandra B.:</t>
        </r>
        <r>
          <rPr>
            <sz val="9"/>
            <color indexed="81"/>
            <rFont val="Tahoma"/>
            <family val="2"/>
          </rPr>
          <t xml:space="preserve">
Use 2.445 in this cell to change load units to kg/d</t>
        </r>
      </text>
    </comment>
    <comment ref="I6" authorId="0">
      <text>
        <r>
          <rPr>
            <b/>
            <sz val="9"/>
            <color indexed="81"/>
            <rFont val="Tahoma"/>
            <family val="2"/>
          </rPr>
          <t>Etheridge, Alexandra B.:</t>
        </r>
        <r>
          <rPr>
            <sz val="9"/>
            <color indexed="81"/>
            <rFont val="Tahoma"/>
            <family val="2"/>
          </rPr>
          <t xml:space="preserve">
Loads in Equation 5 in the report are expressed as concentration * discharge * a conversion factor.</t>
        </r>
      </text>
    </comment>
    <comment ref="S6" authorId="0">
      <text>
        <r>
          <rPr>
            <b/>
            <sz val="9"/>
            <color indexed="81"/>
            <rFont val="Tahoma"/>
            <family val="2"/>
          </rPr>
          <t>Etheridge, Alexandra B.:</t>
        </r>
        <r>
          <rPr>
            <sz val="9"/>
            <color indexed="81"/>
            <rFont val="Tahoma"/>
            <family val="2"/>
          </rPr>
          <t xml:space="preserve">
Loads in Equation 5 in the report are expressed as concentration * discharge * a conversion factor.</t>
        </r>
      </text>
    </comment>
    <comment ref="G7" authorId="0">
      <text>
        <r>
          <rPr>
            <b/>
            <sz val="9"/>
            <color indexed="81"/>
            <rFont val="Tahoma"/>
            <family val="2"/>
          </rPr>
          <t>Etheridge, Alexandra B.:</t>
        </r>
        <r>
          <rPr>
            <sz val="9"/>
            <color indexed="81"/>
            <rFont val="Tahoma"/>
            <family val="2"/>
          </rPr>
          <t xml:space="preserve">
Assumption: TP concentration in a diversion is the same as the nearest measured concentration in the main stem unless the main-stem concentration is measured above both the diversion and a return flow, in which case the concentration in the diversion is the same as the next measured main-stem concentration downstream of both the diversion and the return.</t>
        </r>
      </text>
    </comment>
    <comment ref="H7" authorId="0">
      <text>
        <r>
          <rPr>
            <b/>
            <sz val="9"/>
            <color indexed="81"/>
            <rFont val="Tahoma"/>
            <family val="2"/>
          </rPr>
          <t>Etheridge, Alexandra B.:</t>
        </r>
        <r>
          <rPr>
            <sz val="9"/>
            <color indexed="81"/>
            <rFont val="Tahoma"/>
            <family val="2"/>
          </rPr>
          <t xml:space="preserve">
No groundwater gains or losses represented.</t>
        </r>
      </text>
    </comment>
    <comment ref="I7" authorId="0">
      <text>
        <r>
          <rPr>
            <b/>
            <sz val="9"/>
            <color indexed="81"/>
            <rFont val="Tahoma"/>
            <family val="2"/>
          </rPr>
          <t>Etheridge, Alexandra B.:</t>
        </r>
        <r>
          <rPr>
            <sz val="9"/>
            <color indexed="81"/>
            <rFont val="Tahoma"/>
            <family val="2"/>
          </rPr>
          <t xml:space="preserve">
Represents loads in surface water only.</t>
        </r>
      </text>
    </comment>
    <comment ref="J7" authorId="0">
      <text>
        <r>
          <rPr>
            <b/>
            <sz val="9"/>
            <color indexed="81"/>
            <rFont val="Tahoma"/>
            <family val="2"/>
          </rPr>
          <t>Etheridge, Alexandra B.:</t>
        </r>
        <r>
          <rPr>
            <sz val="9"/>
            <color indexed="81"/>
            <rFont val="Tahoma"/>
            <family val="2"/>
          </rPr>
          <t xml:space="preserve">
See Williams, 2011 and Discharge Measurement Uncertainty sections in Study Methods</t>
        </r>
      </text>
    </comment>
    <comment ref="K7" authorId="0">
      <text>
        <r>
          <rPr>
            <b/>
            <sz val="9"/>
            <color indexed="81"/>
            <rFont val="Tahoma"/>
            <family val="2"/>
          </rPr>
          <t>Etheridge, Alexandra B.:</t>
        </r>
        <r>
          <rPr>
            <sz val="9"/>
            <color indexed="81"/>
            <rFont val="Tahoma"/>
            <family val="2"/>
          </rPr>
          <t xml:space="preserve">
Red values indicate unaccounted-for Q &lt; propagated Q uncertainty</t>
        </r>
      </text>
    </comment>
    <comment ref="N7" authorId="0">
      <text>
        <r>
          <rPr>
            <b/>
            <sz val="9"/>
            <color indexed="81"/>
            <rFont val="Tahoma"/>
            <family val="2"/>
          </rPr>
          <t>Etheridge, Alexandra B.:</t>
        </r>
        <r>
          <rPr>
            <sz val="9"/>
            <color indexed="81"/>
            <rFont val="Tahoma"/>
            <family val="2"/>
          </rPr>
          <t xml:space="preserve">
To change the method of GW TP concentration assumptions, copy the column for Method 1, 2, or 3 (Columns Q, R, or S) and paste as numbers in Column P.</t>
        </r>
      </text>
    </comment>
    <comment ref="O7" authorId="0">
      <text>
        <r>
          <rPr>
            <b/>
            <sz val="9"/>
            <color indexed="81"/>
            <rFont val="Tahoma"/>
            <family val="2"/>
          </rPr>
          <t>Etheridge, Alexandra B.:</t>
        </r>
        <r>
          <rPr>
            <sz val="9"/>
            <color indexed="81"/>
            <rFont val="Tahoma"/>
            <family val="2"/>
          </rPr>
          <t xml:space="preserve">
Paste values on GW dial to change to this scenario. Yellow cells are input data.</t>
        </r>
      </text>
    </comment>
    <comment ref="P7" authorId="0">
      <text>
        <r>
          <rPr>
            <b/>
            <sz val="9"/>
            <color indexed="81"/>
            <rFont val="Tahoma"/>
            <family val="2"/>
          </rPr>
          <t>Etheridge, Alexandra B.:</t>
        </r>
        <r>
          <rPr>
            <sz val="9"/>
            <color indexed="81"/>
            <rFont val="Tahoma"/>
            <family val="2"/>
          </rPr>
          <t xml:space="preserve">
Change blue cells to desired scenario concentration to view predictive model output. Press the "Revert" button to revert to measured concentrations in blue cells.</t>
        </r>
      </text>
    </comment>
    <comment ref="C15" authorId="0">
      <text>
        <r>
          <rPr>
            <b/>
            <sz val="9"/>
            <color indexed="81"/>
            <rFont val="Tahoma"/>
            <family val="2"/>
          </rPr>
          <t>Etheridge, Alexandra B.:</t>
        </r>
        <r>
          <rPr>
            <sz val="9"/>
            <color indexed="81"/>
            <rFont val="Tahoma"/>
            <family val="2"/>
          </rPr>
          <t xml:space="preserve">
Measured at RM 42.8. Used modeled concentration at RM 46.0 instead of measured concentration at 42.8 in this row.</t>
        </r>
      </text>
    </comment>
    <comment ref="W15" authorId="0">
      <text>
        <r>
          <rPr>
            <b/>
            <sz val="9"/>
            <color indexed="81"/>
            <rFont val="Tahoma"/>
            <family val="2"/>
          </rPr>
          <t>Etheridge, Alexandra B.:</t>
        </r>
        <r>
          <rPr>
            <sz val="9"/>
            <color indexed="81"/>
            <rFont val="Tahoma"/>
            <family val="2"/>
          </rPr>
          <t xml:space="preserve">
Etheridge, Alexandra B.:
Measured at RM 42.8. Used modeled concentration at RM 46.0 instead of measured concentration at 42.8 in this row.</t>
        </r>
      </text>
    </comment>
    <comment ref="E30" authorId="0">
      <text>
        <r>
          <rPr>
            <b/>
            <sz val="9"/>
            <color indexed="81"/>
            <rFont val="Tahoma"/>
            <family val="2"/>
          </rPr>
          <t>Etheridge, Alexandra B.:</t>
        </r>
        <r>
          <rPr>
            <sz val="9"/>
            <color indexed="81"/>
            <rFont val="Tahoma"/>
            <family val="2"/>
          </rPr>
          <t xml:space="preserve">
Computed on N Channel sheet.</t>
        </r>
      </text>
    </comment>
    <comment ref="F30" authorId="0">
      <text>
        <r>
          <rPr>
            <b/>
            <sz val="9"/>
            <color indexed="81"/>
            <rFont val="Tahoma"/>
            <family val="2"/>
          </rPr>
          <t>Etheridge, Alexandra B.:</t>
        </r>
        <r>
          <rPr>
            <sz val="9"/>
            <color indexed="81"/>
            <rFont val="Tahoma"/>
            <family val="2"/>
          </rPr>
          <t xml:space="preserve">
TP sampled at RM 41.8 in North Channel</t>
        </r>
      </text>
    </comment>
  </commentList>
</comments>
</file>

<file path=xl/comments2.xml><?xml version="1.0" encoding="utf-8"?>
<comments xmlns="http://schemas.openxmlformats.org/spreadsheetml/2006/main">
  <authors>
    <author>Etheridge, Alexandra B.</author>
  </authors>
  <commentList>
    <comment ref="R2" authorId="0">
      <text>
        <r>
          <rPr>
            <b/>
            <sz val="9"/>
            <color indexed="81"/>
            <rFont val="Tahoma"/>
            <family val="2"/>
          </rPr>
          <t>Etheridge, Alexandra B.:</t>
        </r>
        <r>
          <rPr>
            <sz val="9"/>
            <color indexed="81"/>
            <rFont val="Tahoma"/>
            <family val="2"/>
          </rPr>
          <t xml:space="preserve">
Loads in Equation 5 in the report are expressed as concentration * discharge * a conversion factor.</t>
        </r>
      </text>
    </comment>
    <comment ref="H3" authorId="0">
      <text>
        <r>
          <rPr>
            <b/>
            <sz val="9"/>
            <color indexed="81"/>
            <rFont val="Tahoma"/>
            <family val="2"/>
          </rPr>
          <t>Etheridge, Alexandra B.:</t>
        </r>
        <r>
          <rPr>
            <sz val="9"/>
            <color indexed="81"/>
            <rFont val="Tahoma"/>
            <family val="2"/>
          </rPr>
          <t xml:space="preserve">
No groundwater gains or losses represented.</t>
        </r>
      </text>
    </comment>
    <comment ref="I3" authorId="0">
      <text>
        <r>
          <rPr>
            <b/>
            <sz val="9"/>
            <color indexed="81"/>
            <rFont val="Tahoma"/>
            <family val="2"/>
          </rPr>
          <t>Etheridge, Alexandra B.:</t>
        </r>
        <r>
          <rPr>
            <sz val="9"/>
            <color indexed="81"/>
            <rFont val="Tahoma"/>
            <family val="2"/>
          </rPr>
          <t xml:space="preserve">
See Williams, 2011 and Discharge Measurement Uncertainty sections in Study Methods</t>
        </r>
      </text>
    </comment>
  </commentList>
</comments>
</file>

<file path=xl/sharedStrings.xml><?xml version="1.0" encoding="utf-8"?>
<sst xmlns="http://schemas.openxmlformats.org/spreadsheetml/2006/main" count="398" uniqueCount="239">
  <si>
    <t>RM</t>
  </si>
  <si>
    <t>Riverside Village</t>
  </si>
  <si>
    <t>Barber Pumps</t>
  </si>
  <si>
    <t>Phyllis Canal</t>
  </si>
  <si>
    <t>GAIN FROM NORTH CHANNEL</t>
  </si>
  <si>
    <t>Otter Mitigation</t>
  </si>
  <si>
    <t>Shipley Pumps</t>
  </si>
  <si>
    <t>Wagner Pumps</t>
  </si>
  <si>
    <t>Caldwell WWTP</t>
  </si>
  <si>
    <t>Simplot Pumps</t>
  </si>
  <si>
    <t>Vale Pumps</t>
  </si>
  <si>
    <t>Baxter Canal</t>
  </si>
  <si>
    <t>Mammon Pumps</t>
  </si>
  <si>
    <t>Hass Canal</t>
  </si>
  <si>
    <t>Parma Canal</t>
  </si>
  <si>
    <t>Crawforth Pumps</t>
  </si>
  <si>
    <t>TP</t>
  </si>
  <si>
    <t>mg/L</t>
  </si>
  <si>
    <t>lbs/d</t>
  </si>
  <si>
    <t>Site ID</t>
  </si>
  <si>
    <t>F</t>
  </si>
  <si>
    <t>D</t>
  </si>
  <si>
    <t>R</t>
  </si>
  <si>
    <t>Dixie</t>
  </si>
  <si>
    <t>Indian</t>
  </si>
  <si>
    <t>Mason</t>
  </si>
  <si>
    <t>15mile</t>
  </si>
  <si>
    <t>West Boise WWTP</t>
  </si>
  <si>
    <t>Lander WWTP</t>
  </si>
  <si>
    <t>y2</t>
  </si>
  <si>
    <t>Name</t>
  </si>
  <si>
    <t>Note</t>
  </si>
  <si>
    <t>Eagle Island Park</t>
  </si>
  <si>
    <t>y3</t>
  </si>
  <si>
    <t>Notes</t>
  </si>
  <si>
    <t>not in IDWR report</t>
  </si>
  <si>
    <t>Modeled Flow with GW</t>
  </si>
  <si>
    <t>used lab result which was above LT-MDL, below RL</t>
  </si>
  <si>
    <t>Other Sources</t>
  </si>
  <si>
    <t>used unpublished value which was a detection below MRL, daily flow</t>
  </si>
  <si>
    <t>Measured TP Mass Balance Model</t>
  </si>
  <si>
    <t>Estimated Diversion TP</t>
  </si>
  <si>
    <r>
      <t>∆</t>
    </r>
    <r>
      <rPr>
        <i/>
        <sz val="11"/>
        <color theme="1"/>
        <rFont val="Times New Roman"/>
        <family val="1"/>
      </rPr>
      <t>M</t>
    </r>
  </si>
  <si>
    <t>Equation No. In Report</t>
  </si>
  <si>
    <r>
      <t>C</t>
    </r>
    <r>
      <rPr>
        <i/>
        <vertAlign val="subscript"/>
        <sz val="11"/>
        <color theme="1"/>
        <rFont val="Times New Roman"/>
        <family val="1"/>
      </rPr>
      <t>US</t>
    </r>
    <r>
      <rPr>
        <sz val="11"/>
        <color theme="1"/>
        <rFont val="Times New Roman"/>
        <family val="1"/>
      </rPr>
      <t>,</t>
    </r>
    <r>
      <rPr>
        <i/>
        <sz val="11"/>
        <color theme="1"/>
        <rFont val="Times New Roman"/>
        <family val="1"/>
      </rPr>
      <t xml:space="preserve"> C</t>
    </r>
    <r>
      <rPr>
        <i/>
        <vertAlign val="subscript"/>
        <sz val="11"/>
        <color theme="1"/>
        <rFont val="Times New Roman"/>
        <family val="1"/>
      </rPr>
      <t>DS</t>
    </r>
    <r>
      <rPr>
        <vertAlign val="subscript"/>
        <sz val="11"/>
        <color theme="1"/>
        <rFont val="Times New Roman"/>
        <family val="1"/>
      </rPr>
      <t>,</t>
    </r>
    <r>
      <rPr>
        <i/>
        <sz val="11"/>
        <color theme="1"/>
        <rFont val="Times New Roman"/>
        <family val="1"/>
      </rPr>
      <t xml:space="preserve"> </t>
    </r>
    <r>
      <rPr>
        <sz val="11"/>
        <color theme="1"/>
        <rFont val="Times New Roman"/>
        <family val="1"/>
      </rPr>
      <t>or</t>
    </r>
    <r>
      <rPr>
        <i/>
        <sz val="11"/>
        <color theme="1"/>
        <rFont val="Times New Roman"/>
        <family val="1"/>
      </rPr>
      <t xml:space="preserve"> C</t>
    </r>
    <r>
      <rPr>
        <i/>
        <vertAlign val="subscript"/>
        <sz val="11"/>
        <color theme="1"/>
        <rFont val="Times New Roman"/>
        <family val="1"/>
      </rPr>
      <t>R</t>
    </r>
  </si>
  <si>
    <r>
      <t>Q</t>
    </r>
    <r>
      <rPr>
        <i/>
        <vertAlign val="subscript"/>
        <sz val="11"/>
        <color theme="1"/>
        <rFont val="Times New Roman"/>
        <family val="1"/>
      </rPr>
      <t>US</t>
    </r>
    <r>
      <rPr>
        <sz val="11"/>
        <color theme="1"/>
        <rFont val="Times New Roman"/>
        <family val="1"/>
      </rPr>
      <t>,</t>
    </r>
    <r>
      <rPr>
        <i/>
        <sz val="11"/>
        <color theme="1"/>
        <rFont val="Times New Roman"/>
        <family val="1"/>
      </rPr>
      <t xml:space="preserve"> Q</t>
    </r>
    <r>
      <rPr>
        <i/>
        <vertAlign val="subscript"/>
        <sz val="11"/>
        <color theme="1"/>
        <rFont val="Times New Roman"/>
        <family val="1"/>
      </rPr>
      <t>DS</t>
    </r>
    <r>
      <rPr>
        <vertAlign val="subscript"/>
        <sz val="11"/>
        <color theme="1"/>
        <rFont val="Times New Roman"/>
        <family val="1"/>
      </rPr>
      <t xml:space="preserve">, </t>
    </r>
    <r>
      <rPr>
        <i/>
        <sz val="11"/>
        <color theme="1"/>
        <rFont val="Times New Roman"/>
        <family val="1"/>
      </rPr>
      <t>Q</t>
    </r>
    <r>
      <rPr>
        <i/>
        <vertAlign val="subscript"/>
        <sz val="11"/>
        <color theme="1"/>
        <rFont val="Times New Roman"/>
        <family val="1"/>
      </rPr>
      <t>D</t>
    </r>
    <r>
      <rPr>
        <i/>
        <sz val="11"/>
        <color theme="1"/>
        <rFont val="Times New Roman"/>
        <family val="1"/>
      </rPr>
      <t>,</t>
    </r>
    <r>
      <rPr>
        <sz val="11"/>
        <color theme="1"/>
        <rFont val="Times New Roman"/>
        <family val="1"/>
      </rPr>
      <t>or</t>
    </r>
    <r>
      <rPr>
        <i/>
        <sz val="11"/>
        <color theme="1"/>
        <rFont val="Times New Roman"/>
        <family val="1"/>
      </rPr>
      <t xml:space="preserve"> Q</t>
    </r>
    <r>
      <rPr>
        <i/>
        <vertAlign val="subscript"/>
        <sz val="11"/>
        <color theme="1"/>
        <rFont val="Times New Roman"/>
        <family val="1"/>
      </rPr>
      <t>R</t>
    </r>
  </si>
  <si>
    <r>
      <t>C</t>
    </r>
    <r>
      <rPr>
        <i/>
        <vertAlign val="subscript"/>
        <sz val="11"/>
        <color theme="1"/>
        <rFont val="Times New Roman"/>
        <family val="1"/>
      </rPr>
      <t>D</t>
    </r>
  </si>
  <si>
    <t>M</t>
  </si>
  <si>
    <t>lbs/d/mi</t>
  </si>
  <si>
    <r>
      <t>ft</t>
    </r>
    <r>
      <rPr>
        <b/>
        <vertAlign val="superscript"/>
        <sz val="11"/>
        <color theme="1"/>
        <rFont val="Calibri"/>
        <family val="2"/>
        <scheme val="minor"/>
      </rPr>
      <t>3</t>
    </r>
    <r>
      <rPr>
        <b/>
        <sz val="11"/>
        <color theme="1"/>
        <rFont val="Calibri"/>
        <family val="2"/>
        <scheme val="minor"/>
      </rPr>
      <t>/s/mi</t>
    </r>
  </si>
  <si>
    <r>
      <t>ft</t>
    </r>
    <r>
      <rPr>
        <b/>
        <vertAlign val="superscript"/>
        <sz val="11"/>
        <color theme="1"/>
        <rFont val="Calibri"/>
        <family val="2"/>
        <scheme val="minor"/>
      </rPr>
      <t>3</t>
    </r>
    <r>
      <rPr>
        <b/>
        <sz val="11"/>
        <color theme="1"/>
        <rFont val="Calibri"/>
        <family val="2"/>
        <scheme val="minor"/>
      </rPr>
      <t>/s</t>
    </r>
  </si>
  <si>
    <t>Back-Calculated GW TP per Reach</t>
  </si>
  <si>
    <t>Snake River at Nyssa</t>
  </si>
  <si>
    <t>Measured TP</t>
  </si>
  <si>
    <t>Snake River NR Adrian</t>
  </si>
  <si>
    <t>Site Name</t>
  </si>
  <si>
    <t>USGS Site ID</t>
  </si>
  <si>
    <t>GW Gain/Loss per Subreach</t>
  </si>
  <si>
    <t>Cm</t>
  </si>
  <si>
    <t>Mm</t>
  </si>
  <si>
    <t>Cp</t>
  </si>
  <si>
    <t>Mp</t>
  </si>
  <si>
    <r>
      <t>Qgw</t>
    </r>
    <r>
      <rPr>
        <i/>
        <vertAlign val="subscript"/>
        <sz val="11"/>
        <color theme="1"/>
        <rFont val="Times New Roman"/>
        <family val="1"/>
      </rPr>
      <t>i…n</t>
    </r>
  </si>
  <si>
    <r>
      <t>Qm</t>
    </r>
    <r>
      <rPr>
        <i/>
        <vertAlign val="subscript"/>
        <sz val="11"/>
        <color theme="1"/>
        <rFont val="Times New Roman"/>
        <family val="1"/>
      </rPr>
      <t>i…n</t>
    </r>
  </si>
  <si>
    <r>
      <t>M</t>
    </r>
    <r>
      <rPr>
        <i/>
        <vertAlign val="subscript"/>
        <sz val="11"/>
        <color theme="1"/>
        <rFont val="Times New Roman"/>
        <family val="1"/>
      </rPr>
      <t>US</t>
    </r>
    <r>
      <rPr>
        <i/>
        <sz val="11"/>
        <color theme="1"/>
        <rFont val="Times New Roman"/>
        <family val="1"/>
      </rPr>
      <t>,</t>
    </r>
    <r>
      <rPr>
        <sz val="11"/>
        <color theme="1"/>
        <rFont val="Times New Roman"/>
        <family val="1"/>
      </rPr>
      <t xml:space="preserve"> -</t>
    </r>
    <r>
      <rPr>
        <i/>
        <sz val="11"/>
        <color theme="1"/>
        <rFont val="Times New Roman"/>
        <family val="1"/>
      </rPr>
      <t>M</t>
    </r>
    <r>
      <rPr>
        <i/>
        <vertAlign val="subscript"/>
        <sz val="11"/>
        <color theme="1"/>
        <rFont val="Times New Roman"/>
        <family val="1"/>
      </rPr>
      <t>D</t>
    </r>
    <r>
      <rPr>
        <i/>
        <sz val="11"/>
        <color theme="1"/>
        <rFont val="Times New Roman"/>
        <family val="1"/>
      </rPr>
      <t>, +M</t>
    </r>
    <r>
      <rPr>
        <i/>
        <vertAlign val="subscript"/>
        <sz val="11"/>
        <color theme="1"/>
        <rFont val="Times New Roman"/>
        <family val="1"/>
      </rPr>
      <t>R</t>
    </r>
  </si>
  <si>
    <r>
      <t>= Q</t>
    </r>
    <r>
      <rPr>
        <i/>
        <vertAlign val="subscript"/>
        <sz val="11"/>
        <color theme="1"/>
        <rFont val="Times New Roman"/>
        <family val="1"/>
      </rPr>
      <t>US</t>
    </r>
    <r>
      <rPr>
        <sz val="11"/>
        <color theme="1"/>
        <rFont val="Times New Roman"/>
        <family val="1"/>
      </rPr>
      <t xml:space="preserve"> -</t>
    </r>
    <r>
      <rPr>
        <vertAlign val="subscript"/>
        <sz val="11"/>
        <color theme="1"/>
        <rFont val="Times New Roman"/>
        <family val="1"/>
      </rPr>
      <t xml:space="preserve"> </t>
    </r>
    <r>
      <rPr>
        <i/>
        <sz val="11"/>
        <color theme="1"/>
        <rFont val="Times New Roman"/>
        <family val="1"/>
      </rPr>
      <t>Q</t>
    </r>
    <r>
      <rPr>
        <i/>
        <vertAlign val="subscript"/>
        <sz val="11"/>
        <color theme="1"/>
        <rFont val="Times New Roman"/>
        <family val="1"/>
      </rPr>
      <t>D</t>
    </r>
    <r>
      <rPr>
        <i/>
        <sz val="11"/>
        <color theme="1"/>
        <rFont val="Times New Roman"/>
        <family val="1"/>
      </rPr>
      <t xml:space="preserve"> or + Q</t>
    </r>
    <r>
      <rPr>
        <i/>
        <vertAlign val="subscript"/>
        <sz val="11"/>
        <color theme="1"/>
        <rFont val="Times New Roman"/>
        <family val="1"/>
      </rPr>
      <t>R</t>
    </r>
  </si>
  <si>
    <r>
      <t>= M</t>
    </r>
    <r>
      <rPr>
        <i/>
        <vertAlign val="subscript"/>
        <sz val="11"/>
        <color theme="1"/>
        <rFont val="Times New Roman"/>
        <family val="1"/>
      </rPr>
      <t>US</t>
    </r>
    <r>
      <rPr>
        <sz val="11"/>
        <color theme="1"/>
        <rFont val="Times New Roman"/>
        <family val="1"/>
      </rPr>
      <t xml:space="preserve"> -</t>
    </r>
    <r>
      <rPr>
        <vertAlign val="subscript"/>
        <sz val="11"/>
        <color theme="1"/>
        <rFont val="Times New Roman"/>
        <family val="1"/>
      </rPr>
      <t xml:space="preserve"> </t>
    </r>
    <r>
      <rPr>
        <i/>
        <sz val="11"/>
        <color theme="1"/>
        <rFont val="Times New Roman"/>
        <family val="1"/>
      </rPr>
      <t>M</t>
    </r>
    <r>
      <rPr>
        <i/>
        <vertAlign val="subscript"/>
        <sz val="11"/>
        <color theme="1"/>
        <rFont val="Times New Roman"/>
        <family val="1"/>
      </rPr>
      <t>D</t>
    </r>
    <r>
      <rPr>
        <i/>
        <sz val="11"/>
        <color theme="1"/>
        <rFont val="Times New Roman"/>
        <family val="1"/>
      </rPr>
      <t xml:space="preserve"> or + M</t>
    </r>
    <r>
      <rPr>
        <i/>
        <vertAlign val="subscript"/>
        <sz val="11"/>
        <color theme="1"/>
        <rFont val="Times New Roman"/>
        <family val="1"/>
      </rPr>
      <t>R</t>
    </r>
  </si>
  <si>
    <t>Variable in Report</t>
  </si>
  <si>
    <t>Predictive TP Mass Balance Model</t>
  </si>
  <si>
    <t>Qgw</t>
  </si>
  <si>
    <r>
      <t>Cgw</t>
    </r>
    <r>
      <rPr>
        <i/>
        <vertAlign val="subscript"/>
        <sz val="11"/>
        <color theme="1"/>
        <rFont val="Times New Roman"/>
        <family val="1"/>
      </rPr>
      <t>bc</t>
    </r>
  </si>
  <si>
    <r>
      <t>Cgw</t>
    </r>
    <r>
      <rPr>
        <i/>
        <vertAlign val="subscript"/>
        <sz val="11"/>
        <color theme="1"/>
        <rFont val="Times New Roman"/>
        <family val="1"/>
      </rPr>
      <t>upper i…n</t>
    </r>
    <r>
      <rPr>
        <i/>
        <sz val="11"/>
        <color theme="1"/>
        <rFont val="Times New Roman"/>
        <family val="1"/>
      </rPr>
      <t xml:space="preserve">, Cgw = </t>
    </r>
    <r>
      <rPr>
        <sz val="11"/>
        <color theme="1"/>
        <rFont val="Times New Roman"/>
        <family val="1"/>
      </rPr>
      <t>0.25</t>
    </r>
  </si>
  <si>
    <t>NA</t>
  </si>
  <si>
    <r>
      <t>∆</t>
    </r>
    <r>
      <rPr>
        <i/>
        <sz val="11"/>
        <color theme="1"/>
        <rFont val="Times New Roman"/>
        <family val="1"/>
      </rPr>
      <t>M</t>
    </r>
    <r>
      <rPr>
        <i/>
        <vertAlign val="subscript"/>
        <sz val="11"/>
        <color theme="1"/>
        <rFont val="Times New Roman"/>
        <family val="1"/>
      </rPr>
      <t>i…n</t>
    </r>
  </si>
  <si>
    <t>1:1 Line</t>
  </si>
  <si>
    <r>
      <rPr>
        <b/>
        <i/>
        <sz val="10"/>
        <rFont val="Arial"/>
        <family val="2"/>
      </rPr>
      <t>D</t>
    </r>
    <r>
      <rPr>
        <b/>
        <sz val="10"/>
        <rFont val="Arial"/>
        <family val="2"/>
      </rPr>
      <t xml:space="preserve">iversion, </t>
    </r>
    <r>
      <rPr>
        <b/>
        <i/>
        <sz val="10"/>
        <rFont val="Arial"/>
        <family val="2"/>
      </rPr>
      <t>R</t>
    </r>
    <r>
      <rPr>
        <b/>
        <sz val="10"/>
        <rFont val="Arial"/>
        <family val="2"/>
      </rPr>
      <t>eturn,</t>
    </r>
    <r>
      <rPr>
        <b/>
        <sz val="10"/>
        <rFont val="Arial"/>
        <family val="2"/>
      </rPr>
      <t xml:space="preserve"> or </t>
    </r>
    <r>
      <rPr>
        <b/>
        <i/>
        <sz val="10"/>
        <rFont val="Arial"/>
        <family val="2"/>
      </rPr>
      <t>M</t>
    </r>
    <r>
      <rPr>
        <b/>
        <sz val="10"/>
        <rFont val="Arial"/>
        <family val="2"/>
      </rPr>
      <t>ain-stem</t>
    </r>
  </si>
  <si>
    <t>mile</t>
  </si>
  <si>
    <t>River Mile</t>
  </si>
  <si>
    <t>SR</t>
  </si>
  <si>
    <t>Boise River near Parma + Sand Hollow Creek at Mouth</t>
  </si>
  <si>
    <r>
      <t>Cgw</t>
    </r>
    <r>
      <rPr>
        <i/>
        <vertAlign val="subscript"/>
        <sz val="11"/>
        <color theme="1"/>
        <rFont val="Times New Roman"/>
        <family val="1"/>
      </rPr>
      <t xml:space="preserve"> i…n</t>
    </r>
  </si>
  <si>
    <t>cfs</t>
  </si>
  <si>
    <t>Gain from N. Channel</t>
  </si>
  <si>
    <t>∆M</t>
  </si>
  <si>
    <t>Measuring section did not include Seebree Q or Campbell Q, WQ at Seebree &amp; Cambell assumed the same</t>
  </si>
  <si>
    <t>Include this in model because Campbell Canal is diverted before Sebree Canal is measured</t>
  </si>
  <si>
    <t>Also known as Farmer's Co-op Ditch</t>
  </si>
  <si>
    <r>
      <t>181 ft</t>
    </r>
    <r>
      <rPr>
        <vertAlign val="superscript"/>
        <sz val="10"/>
        <rFont val="Arial"/>
        <family val="2"/>
      </rPr>
      <t>3</t>
    </r>
    <r>
      <rPr>
        <sz val="10"/>
        <rFont val="Arial"/>
        <family val="2"/>
      </rPr>
      <t>/s measured by IDWR on 8/22/12</t>
    </r>
  </si>
  <si>
    <r>
      <t>1.0 ft</t>
    </r>
    <r>
      <rPr>
        <vertAlign val="superscript"/>
        <sz val="10"/>
        <rFont val="Arial"/>
        <family val="2"/>
      </rPr>
      <t>3</t>
    </r>
    <r>
      <rPr>
        <sz val="10"/>
        <rFont val="Arial"/>
        <family val="2"/>
      </rPr>
      <t>/s on 8/22/12</t>
    </r>
  </si>
  <si>
    <t>SW TP Concentration Dial</t>
  </si>
  <si>
    <t>Discharge Gain/Loss per Subreach</t>
  </si>
  <si>
    <t>Measured Discharge</t>
  </si>
  <si>
    <t>MeasuredTP</t>
  </si>
  <si>
    <t>Net SW Discharge</t>
  </si>
  <si>
    <t>Computed</t>
  </si>
  <si>
    <t>North Channel</t>
  </si>
  <si>
    <t xml:space="preserve">GW Gain/Loss per RM </t>
  </si>
  <si>
    <t>GAIN FROM North Channel</t>
  </si>
  <si>
    <t>Discharge Gain / Loss over Reach</t>
  </si>
  <si>
    <t>Discharge Gain/Loss Per River Mile</t>
  </si>
  <si>
    <t>Load Gain/Loss over Reach</t>
  </si>
  <si>
    <t>Load Gain/Loss Per River Mile</t>
  </si>
  <si>
    <t>End Reach 
(RM)</t>
  </si>
  <si>
    <t>Beginning Reach
(RM)</t>
  </si>
  <si>
    <t>mi</t>
  </si>
  <si>
    <r>
      <t>ft</t>
    </r>
    <r>
      <rPr>
        <b/>
        <vertAlign val="superscript"/>
        <sz val="10"/>
        <rFont val="Arial"/>
        <family val="2"/>
      </rPr>
      <t>3</t>
    </r>
    <r>
      <rPr>
        <b/>
        <sz val="10"/>
        <rFont val="Arial"/>
        <family val="2"/>
      </rPr>
      <t>/s</t>
    </r>
  </si>
  <si>
    <r>
      <t>Qgw</t>
    </r>
    <r>
      <rPr>
        <i/>
        <vertAlign val="subscript"/>
        <sz val="10"/>
        <rFont val="Times New Roman"/>
        <family val="1"/>
      </rPr>
      <t>RM</t>
    </r>
  </si>
  <si>
    <r>
      <t>∆M</t>
    </r>
    <r>
      <rPr>
        <i/>
        <vertAlign val="subscript"/>
        <sz val="11"/>
        <color theme="1"/>
        <rFont val="Times New Roman"/>
        <family val="1"/>
      </rPr>
      <t>RM</t>
    </r>
  </si>
  <si>
    <t>Unaccounted-for Gains and Losses in Discharge and Mass</t>
  </si>
  <si>
    <r>
      <rPr>
        <sz val="11"/>
        <color theme="1"/>
        <rFont val="Times New Roman"/>
        <family val="1"/>
      </rPr>
      <t>1/</t>
    </r>
    <r>
      <rPr>
        <i/>
        <sz val="11"/>
        <color theme="1"/>
        <rFont val="Times New Roman"/>
        <family val="1"/>
      </rPr>
      <t>F</t>
    </r>
  </si>
  <si>
    <t>Factor</t>
  </si>
  <si>
    <t>Conversion</t>
  </si>
  <si>
    <r>
      <t>lbs/d to [ft</t>
    </r>
    <r>
      <rPr>
        <vertAlign val="superscript"/>
        <sz val="11"/>
        <rFont val="Calibri"/>
        <family val="2"/>
        <scheme val="minor"/>
      </rPr>
      <t>3</t>
    </r>
    <r>
      <rPr>
        <sz val="11"/>
        <rFont val="Calibri"/>
        <family val="2"/>
        <scheme val="minor"/>
      </rPr>
      <t xml:space="preserve">/s </t>
    </r>
    <r>
      <rPr>
        <sz val="11"/>
        <rFont val="Arial"/>
        <family val="2"/>
      </rPr>
      <t>∙</t>
    </r>
    <r>
      <rPr>
        <sz val="11"/>
        <rFont val="Calibri"/>
        <family val="2"/>
      </rPr>
      <t xml:space="preserve"> mg/L]</t>
    </r>
  </si>
  <si>
    <r>
      <t>[ft</t>
    </r>
    <r>
      <rPr>
        <vertAlign val="superscript"/>
        <sz val="11"/>
        <rFont val="Calibri"/>
        <family val="2"/>
        <scheme val="minor"/>
      </rPr>
      <t>3</t>
    </r>
    <r>
      <rPr>
        <sz val="11"/>
        <rFont val="Calibri"/>
        <family val="2"/>
        <scheme val="minor"/>
      </rPr>
      <t xml:space="preserve">/s </t>
    </r>
    <r>
      <rPr>
        <sz val="11"/>
        <rFont val="Arial"/>
        <family val="2"/>
      </rPr>
      <t>∙</t>
    </r>
    <r>
      <rPr>
        <sz val="11"/>
        <rFont val="Calibri"/>
        <family val="2"/>
      </rPr>
      <t xml:space="preserve"> mg/L] to lbs/d</t>
    </r>
  </si>
  <si>
    <t>Aug.20.2012_Model</t>
  </si>
  <si>
    <t>Abbreviations</t>
  </si>
  <si>
    <t>Net SW Load</t>
  </si>
  <si>
    <t>Modeled Discharge with GW Gain/Loss</t>
  </si>
  <si>
    <t>Not on North channel</t>
  </si>
  <si>
    <t>instantaneous Q on different day, likely lower on 8/21/12</t>
  </si>
  <si>
    <t>includes Fivemile Creek + Meridian WWTP + Tenmile Creek</t>
  </si>
  <si>
    <t>sum of North and South Middleton Drains, Star, Watts, Long Feeders. Middleton WWTP discharges below sampling location</t>
  </si>
  <si>
    <t>includes Notus WWTP - seasonal discharge not during synoptic</t>
  </si>
  <si>
    <t>Sites Outside Modeling Reach</t>
  </si>
  <si>
    <r>
      <t>USGS, U.S. Geological Survey; ID, identifier; TP, total phosphorus; No., number; SW, surface water; RM, river mile; GW, groundwater; Q, discharge; WWTP, wastewater treatment plant; IDWR, Idaho Department of Water Resources; LT-MDL, long-term method detection limit; RL, reporting level; MRL, method reporting level; ft</t>
    </r>
    <r>
      <rPr>
        <vertAlign val="superscript"/>
        <sz val="11"/>
        <color theme="1"/>
        <rFont val="Times New Roman"/>
        <family val="1"/>
      </rPr>
      <t>3</t>
    </r>
    <r>
      <rPr>
        <sz val="11"/>
        <color theme="1"/>
        <rFont val="Times New Roman"/>
        <family val="1"/>
      </rPr>
      <t>/s, cubic feet per second; mg/L, milligrams per liter; lbs/d, pounds per day; kg/d, kilograms per day.</t>
    </r>
  </si>
  <si>
    <t>Predictive Model Scenarios</t>
  </si>
  <si>
    <t>SW Load in/out</t>
  </si>
  <si>
    <t>Load In/Out per RM</t>
  </si>
  <si>
    <t>Load Gain/Loss per Subreach</t>
  </si>
  <si>
    <t>Abbreviations are the same as in the Aug.20.2012_Model worksheet. This worksheet shows model calculations in the North Channel. No user inputs are enabled in this worksheet.</t>
  </si>
  <si>
    <t>Explanation</t>
  </si>
  <si>
    <r>
      <t>ft</t>
    </r>
    <r>
      <rPr>
        <b/>
        <vertAlign val="superscript"/>
        <sz val="11"/>
        <rFont val="Calibri"/>
        <family val="2"/>
        <scheme val="minor"/>
      </rPr>
      <t>3</t>
    </r>
    <r>
      <rPr>
        <b/>
        <sz val="11"/>
        <rFont val="Calibri"/>
        <family val="2"/>
        <scheme val="minor"/>
      </rPr>
      <t>/s</t>
    </r>
  </si>
  <si>
    <t>Measured Load</t>
  </si>
  <si>
    <t>Measured_Main_Stem_Data</t>
  </si>
  <si>
    <t>Discharge</t>
  </si>
  <si>
    <t>Major_inflows</t>
  </si>
  <si>
    <t>TP target</t>
  </si>
  <si>
    <t>x</t>
  </si>
  <si>
    <t>y</t>
  </si>
  <si>
    <t>Inflow</t>
  </si>
  <si>
    <t>TP range</t>
  </si>
  <si>
    <t>TP load Range</t>
  </si>
  <si>
    <t>Q range</t>
  </si>
  <si>
    <t>North and South Channel Start</t>
  </si>
  <si>
    <t>Refer to the methods section of the report for a full explanation of computations used in the model. Variables explained in the methods section are provided at the top of each column where they are relevant. The equation number in the report that describes a variable is also referenced. Bold, italic sites are main-stem Boise River sites. Bold green sites are sampled returns. Column B is hidden and shows site names. Green-filled column headings indicate measured data. Yellow-filled column headings indicate measured and estimated or computed information. Light blue highlighted cells are groundwater calculations. Light orange cells show results for the measured mass balance model. Light red cells show results for the predictive mass balance model.  Yellow cells in the assumed groundwater TP columns are input data for assumed groundwater TP concentrations. Dark blue headings indicate that the user can change inputs to see the resulting scenario in the predictive mass balance model. See comments in specific cells for more detailed information.</t>
  </si>
  <si>
    <t xml:space="preserve">Abbreviations are the same as in the Aug.20.2012_Model worksheet. This worksheet it simply used to plot vertical lines on charts showing the location of major tributary inflows to the lower Boise River. </t>
  </si>
  <si>
    <t>Constant GW TP
RM 28.8 to 3.8</t>
  </si>
  <si>
    <t>TP result from North Channel sample upstream (RM 41.8)</t>
  </si>
  <si>
    <t>instantaneous Q, measured at RM 42.8. RM 45.5 Q = 161 + Ballentyne + Mace Mace</t>
  </si>
  <si>
    <t>Computed from measured Q at RM 45.5 = 161 + Ballentyne + Mace Mace</t>
  </si>
  <si>
    <t>Instantaneous Q</t>
  </si>
  <si>
    <t>Computed Q</t>
  </si>
  <si>
    <t>Mean daily Q</t>
  </si>
  <si>
    <t>Discharge Uncertainty Propogation of Errror</t>
  </si>
  <si>
    <t>Estimated GW TP Dial</t>
  </si>
  <si>
    <t>Boise River below Diversion Dam near Boise, ID</t>
  </si>
  <si>
    <t>Boise River at Veteran's Memorial Parkway at Boise, ID</t>
  </si>
  <si>
    <t>Boise City Sewer Outflow at Boise, ID (Lander WWTP)</t>
  </si>
  <si>
    <t>Boise River at Glenwood Bridge near Boise, ID</t>
  </si>
  <si>
    <t>New Dry Creek Canal</t>
  </si>
  <si>
    <t>Loss to North Channel (Boise River North Channel near Eagle, ID)</t>
  </si>
  <si>
    <t>Warm Springs Canal</t>
  </si>
  <si>
    <t>West Boise Sewer Outflow near Eagle, ID (West Boise WWTP)</t>
  </si>
  <si>
    <t>Conway-Hamming Canal</t>
  </si>
  <si>
    <t>Thomas Aiken Canal</t>
  </si>
  <si>
    <t>Mace-Catlin Canal</t>
  </si>
  <si>
    <t>Graham-Gilbert Canal</t>
  </si>
  <si>
    <t>Boise River South Channel at Eagle, ID</t>
  </si>
  <si>
    <t>Jon Wroten Canal</t>
  </si>
  <si>
    <t>Seven Suckers Canal</t>
  </si>
  <si>
    <t xml:space="preserve">Thurman Drain at Mouth near Eagle, ID </t>
  </si>
  <si>
    <t>Boise River above Phyllis Diversion near Eagle, ID</t>
  </si>
  <si>
    <t>Boise River Below Eagle Island, ID</t>
  </si>
  <si>
    <t>Eureka No. 1 Canal at Star Road near Star, ID</t>
  </si>
  <si>
    <t>Boise River near Star, ID</t>
  </si>
  <si>
    <t>Canyon County Canal</t>
  </si>
  <si>
    <t>Caldwell Highline Canal</t>
  </si>
  <si>
    <t>Boise River near Middleton, ID</t>
  </si>
  <si>
    <t>Fifteenmile Creek at Mouth near Middleton, ID</t>
  </si>
  <si>
    <t>Boise River at Middleton Road near Middleton, ID</t>
  </si>
  <si>
    <t>Mill Slough below Grade Ditch near Middleton, ID</t>
  </si>
  <si>
    <t>Middleton WWTP on Boise River near Middleton, ID</t>
  </si>
  <si>
    <t>Willow Creek at Middleton, ID</t>
  </si>
  <si>
    <t>Mason Slough near Caldwell, ID</t>
  </si>
  <si>
    <t>Mason Creek near Caldwell, ID</t>
  </si>
  <si>
    <t>Riverside Canal at HWY 20-26 Xing at Caldwell, ID</t>
  </si>
  <si>
    <t>Hartley Drain near Caldwell, ID</t>
  </si>
  <si>
    <t>Sebree Canal</t>
  </si>
  <si>
    <t>Campbell Canal</t>
  </si>
  <si>
    <t>Boise River at HWY 20-26 Crossing near Caldwell, ID</t>
  </si>
  <si>
    <t>Caldwell WWTP on Boise River at Caldwell, ID</t>
  </si>
  <si>
    <t>Indian Creek at Mouth near Caldwell, ID</t>
  </si>
  <si>
    <t>Boise River below WWTP near Caldwell, ID</t>
  </si>
  <si>
    <t>Eureka No.2 Canal</t>
  </si>
  <si>
    <t>Upper Center Point Canal</t>
  </si>
  <si>
    <t>McManus and Teater Canal</t>
  </si>
  <si>
    <t>Lower Center Point Canal</t>
  </si>
  <si>
    <t>Boise River at Notus, ID</t>
  </si>
  <si>
    <t>Bowman and Swisher Canal</t>
  </si>
  <si>
    <t>Conway Gulch at Notus. ID</t>
  </si>
  <si>
    <t>Unnamed Drain Near Notus, ID</t>
  </si>
  <si>
    <t>Andrews Canal</t>
  </si>
  <si>
    <t>Unnamed Drain Near Dixie Drain near Notus, ID</t>
  </si>
  <si>
    <t>Dixie Drain near Wilder, ID</t>
  </si>
  <si>
    <t>Boise River at HWY 95 Crossing near Parma, ID</t>
  </si>
  <si>
    <t>Island Highline Canal</t>
  </si>
  <si>
    <t>McConnel Island Canal</t>
  </si>
  <si>
    <t>Boise River near Parma, ID</t>
  </si>
  <si>
    <t>Sand Hollow Creek at Mouth near Parma, ID</t>
  </si>
  <si>
    <t>Snake River near Adrian, OR</t>
  </si>
  <si>
    <t>Snake River at Nyssa, OR</t>
  </si>
  <si>
    <t>Ballentyne Canal</t>
  </si>
  <si>
    <t>Eagle Drain at Eagle, ID</t>
  </si>
  <si>
    <t>Dry Creek at Eagle, ID</t>
  </si>
  <si>
    <t>Boise River North Channel near Eagle, ID</t>
  </si>
  <si>
    <t>Hart-Davis Canal</t>
  </si>
  <si>
    <t>Boise River (North Channel) above Middleton Canal, ID</t>
  </si>
  <si>
    <t>Middleton Canal</t>
  </si>
  <si>
    <t>Little Pioneer Canal</t>
  </si>
  <si>
    <t>Mace-Mace Canal</t>
  </si>
  <si>
    <t>Lemp Canal</t>
  </si>
  <si>
    <t>mean daily Q</t>
  </si>
  <si>
    <t>Idaho Power Gage - mean daily Q</t>
  </si>
  <si>
    <t xml:space="preserve">SW Load In/Out </t>
  </si>
  <si>
    <t xml:space="preserve">
Load Gain/Loss per Subreach</t>
  </si>
  <si>
    <t>North and South Channel End</t>
  </si>
  <si>
    <t>Concentration Interactive, Load Interactive, and Discharge Calibration Plot</t>
  </si>
  <si>
    <t>Estimated GW TP</t>
  </si>
  <si>
    <t>Begin North Channel</t>
  </si>
  <si>
    <r>
      <t>Abbreviations are the same as in the Aug.20.2012_Model worksheet. This worksheet shows measured main-stem TP concentrations, discharges, and instantaneous loads and is used to plot those measured values on various charts. It also updates a comparison chart to view predictive versus measured model output.</t>
    </r>
    <r>
      <rPr>
        <i/>
        <sz val="11"/>
        <color theme="1"/>
        <rFont val="Times New Roman"/>
        <family val="1"/>
      </rPr>
      <t xml:space="preserve"> Mm</t>
    </r>
    <r>
      <rPr>
        <sz val="11"/>
        <color theme="1"/>
        <rFont val="Times New Roman"/>
        <family val="1"/>
      </rPr>
      <t>,</t>
    </r>
    <r>
      <rPr>
        <i/>
        <sz val="11"/>
        <color theme="1"/>
        <rFont val="Times New Roman"/>
        <family val="1"/>
      </rPr>
      <t xml:space="preserve"> Cp</t>
    </r>
    <r>
      <rPr>
        <sz val="11"/>
        <color theme="1"/>
        <rFont val="Times New Roman"/>
        <family val="1"/>
      </rPr>
      <t xml:space="preserve">, and </t>
    </r>
    <r>
      <rPr>
        <i/>
        <sz val="11"/>
        <color theme="1"/>
        <rFont val="Times New Roman"/>
        <family val="1"/>
      </rPr>
      <t>Cm</t>
    </r>
    <r>
      <rPr>
        <sz val="11"/>
        <color theme="1"/>
        <rFont val="Times New Roman"/>
        <family val="1"/>
      </rPr>
      <t xml:space="preserve"> stand for measured model loads, predictive model concentrations, and measured model concentrations, respectively.</t>
    </r>
  </si>
  <si>
    <r>
      <rPr>
        <i/>
        <sz val="11"/>
        <color theme="1"/>
        <rFont val="Times New Roman"/>
        <family val="1"/>
      </rPr>
      <t>Mm</t>
    </r>
    <r>
      <rPr>
        <b/>
        <sz val="11"/>
        <color theme="1"/>
        <rFont val="Calibri"/>
        <family val="2"/>
        <scheme val="minor"/>
      </rPr>
      <t xml:space="preserve"> TP </t>
    </r>
  </si>
  <si>
    <r>
      <rPr>
        <i/>
        <sz val="11"/>
        <color theme="1"/>
        <rFont val="Times New Roman"/>
        <family val="1"/>
      </rPr>
      <t>Cp</t>
    </r>
    <r>
      <rPr>
        <b/>
        <sz val="11"/>
        <color theme="1"/>
        <rFont val="Calibri"/>
        <family val="2"/>
        <scheme val="minor"/>
      </rPr>
      <t xml:space="preserve"> TP</t>
    </r>
  </si>
  <si>
    <r>
      <rPr>
        <i/>
        <sz val="11"/>
        <color theme="1"/>
        <rFont val="Times New Roman"/>
        <family val="1"/>
      </rPr>
      <t>Cm</t>
    </r>
    <r>
      <rPr>
        <b/>
        <sz val="11"/>
        <color theme="1"/>
        <rFont val="Calibri"/>
        <family val="2"/>
        <scheme val="minor"/>
      </rPr>
      <t xml:space="preserve"> TP</t>
    </r>
  </si>
  <si>
    <t>Unmeasured_Gains_Losses</t>
  </si>
  <si>
    <t xml:space="preserve">Abbreviations are the same as in the Aug.20.2012_Model worksheet. Variables as well as the equation in which they are defined in the report are provided at column headings. The variables computed in this worksheet are used to interpolate groundwater and TP gains throughout the modeling reach. </t>
  </si>
  <si>
    <t>Abbreviations are the same as in the Aug.20.2012_Model worksheet. These worksheets show model results. The Concentration Interactive worksheet shows measured model and predictive model TP concentrations. It will also show predictive model concentrations when a scenario is run on the predictive model. The measured model is static on this worksheet. The Load Interactive worksheet shows measured model and predictive model TP loads. It will also show predictive model loads when a scenario is run on the predictive model. The measured model is static on this worksheet. The blue line represents net surface-water TP loads without the influence of groundwater. The Discharge Calibration Plot worksheet shows modeled discharge as a red line. It also shows net surface-water discharge without the influence of groundwater as a blue line. The distance of the red line above or below the blue line indicates the magnitude and cumulative amount of unaccounted for discharge gains and losses, respectively. The gains and losses are assumed to represent groundwater exchange in the Boise River.</t>
  </si>
  <si>
    <t>flow-weighted TP in GW gain:</t>
  </si>
  <si>
    <t>Loss to North Channel (Boise River North Channel at Eagle, ID)</t>
  </si>
  <si>
    <t>Use the password "model" to unlock cells described in this section. To run a scenario using the predictive model, set the assumed groundwater concentration below RM 28.8 in cell O39. Paste the selected groundwater assumptions as values into the "Assumed GW TP Dial" column M. Change desired concentrations in blue- and purple-highlighted cells in the "SW TP Concentration Dial" column. Purple-highlighted cells represent point sources and blue-highlighted cells represent nonpoint sources. View results on the "Concentration Interactive" and "Load Interactive" worksheets. To revert SW TP concentrations back to their measured values, press the "Revert" button. If the user would prefer load output in kg/d, change the conversion factor to 2.445 in the "Conversion Factor" cell T2.</t>
  </si>
</sst>
</file>

<file path=xl/styles.xml><?xml version="1.0" encoding="utf-8"?>
<styleSheet xmlns="http://schemas.openxmlformats.org/spreadsheetml/2006/main">
  <numFmts count="2">
    <numFmt numFmtId="164" formatCode="0.0"/>
    <numFmt numFmtId="165" formatCode="0.000"/>
  </numFmts>
  <fonts count="84">
    <font>
      <sz val="11"/>
      <color theme="1"/>
      <name val="Calibri"/>
      <family val="2"/>
      <scheme val="minor"/>
    </font>
    <font>
      <sz val="1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9"/>
      <name val="Arial"/>
      <family val="2"/>
    </font>
    <font>
      <sz val="9"/>
      <color indexed="8"/>
      <name val="Arial"/>
      <family val="2"/>
    </font>
    <font>
      <sz val="10"/>
      <name val="SWISS"/>
    </font>
    <font>
      <b/>
      <sz val="9"/>
      <name val="Arial"/>
      <family val="2"/>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rgb="FFFFFFFF"/>
      <name val="Calibri"/>
      <family val="2"/>
      <scheme val="minor"/>
    </font>
    <font>
      <b/>
      <i/>
      <sz val="10"/>
      <name val="Arial"/>
      <family val="2"/>
    </font>
    <font>
      <b/>
      <i/>
      <sz val="11"/>
      <color theme="1"/>
      <name val="Calibri"/>
      <family val="2"/>
      <scheme val="minor"/>
    </font>
    <font>
      <b/>
      <i/>
      <sz val="9"/>
      <name val="Arial"/>
      <family val="2"/>
    </font>
    <font>
      <b/>
      <i/>
      <sz val="11"/>
      <name val="Calibri"/>
      <family val="2"/>
      <scheme val="minor"/>
    </font>
    <font>
      <b/>
      <i/>
      <sz val="9"/>
      <color indexed="8"/>
      <name val="Arial"/>
      <family val="2"/>
    </font>
    <font>
      <b/>
      <sz val="10"/>
      <color rgb="FF006600"/>
      <name val="Arial"/>
      <family val="2"/>
    </font>
    <font>
      <b/>
      <sz val="11"/>
      <color rgb="FF006600"/>
      <name val="Calibri"/>
      <family val="2"/>
      <scheme val="minor"/>
    </font>
    <font>
      <b/>
      <sz val="9"/>
      <color rgb="FF006600"/>
      <name val="Arial"/>
      <family val="2"/>
    </font>
    <font>
      <b/>
      <sz val="10"/>
      <color rgb="FF006600"/>
      <name val="SWISS"/>
    </font>
    <font>
      <b/>
      <i/>
      <sz val="11"/>
      <color rgb="FFFF0000"/>
      <name val="Calibri"/>
      <family val="2"/>
      <scheme val="minor"/>
    </font>
    <font>
      <sz val="11"/>
      <color theme="1"/>
      <name val="Times New Roman"/>
      <family val="1"/>
    </font>
    <font>
      <i/>
      <sz val="11"/>
      <color theme="1"/>
      <name val="Times New Roman"/>
      <family val="1"/>
    </font>
    <font>
      <i/>
      <vertAlign val="subscript"/>
      <sz val="11"/>
      <color theme="1"/>
      <name val="Times New Roman"/>
      <family val="1"/>
    </font>
    <font>
      <vertAlign val="subscript"/>
      <sz val="11"/>
      <color theme="1"/>
      <name val="Times New Roman"/>
      <family val="1"/>
    </font>
    <font>
      <b/>
      <vertAlign val="superscript"/>
      <sz val="11"/>
      <color theme="1"/>
      <name val="Calibri"/>
      <family val="2"/>
      <scheme val="minor"/>
    </font>
    <font>
      <i/>
      <sz val="11"/>
      <name val="Calibri"/>
      <family val="2"/>
      <scheme val="minor"/>
    </font>
    <font>
      <i/>
      <sz val="9"/>
      <name val="Arial"/>
      <family val="2"/>
    </font>
    <font>
      <i/>
      <sz val="11"/>
      <color theme="1"/>
      <name val="Calibri"/>
      <family val="2"/>
      <scheme val="minor"/>
    </font>
    <font>
      <b/>
      <i/>
      <sz val="10"/>
      <name val="SWISS"/>
    </font>
    <font>
      <i/>
      <sz val="10"/>
      <name val="Times New Roman"/>
      <family val="1"/>
    </font>
    <font>
      <vertAlign val="superscript"/>
      <sz val="10"/>
      <name val="Arial"/>
      <family val="2"/>
    </font>
    <font>
      <b/>
      <i/>
      <sz val="10"/>
      <color rgb="FFFF0000"/>
      <name val="Arial"/>
      <family val="2"/>
    </font>
    <font>
      <b/>
      <vertAlign val="superscript"/>
      <sz val="10"/>
      <name val="Arial"/>
      <family val="2"/>
    </font>
    <font>
      <i/>
      <vertAlign val="subscript"/>
      <sz val="10"/>
      <name val="Times New Roman"/>
      <family val="1"/>
    </font>
    <font>
      <b/>
      <sz val="11"/>
      <color theme="1"/>
      <name val="Times New Roman"/>
      <family val="1"/>
    </font>
    <font>
      <sz val="11"/>
      <name val="Arial"/>
      <family val="2"/>
    </font>
    <font>
      <vertAlign val="superscript"/>
      <sz val="11"/>
      <name val="Calibri"/>
      <family val="2"/>
      <scheme val="minor"/>
    </font>
    <font>
      <b/>
      <sz val="11"/>
      <color theme="1"/>
      <name val="Arial Narrow"/>
      <family val="2"/>
    </font>
    <font>
      <sz val="11"/>
      <color theme="1"/>
      <name val="Arial Narrow"/>
      <family val="2"/>
    </font>
    <font>
      <vertAlign val="superscript"/>
      <sz val="11"/>
      <color theme="1"/>
      <name val="Times New Roman"/>
      <family val="1"/>
    </font>
    <font>
      <b/>
      <vertAlign val="superscript"/>
      <sz val="11"/>
      <name val="Calibri"/>
      <family val="2"/>
      <scheme val="minor"/>
    </font>
    <font>
      <b/>
      <sz val="10"/>
      <color indexed="8"/>
      <name val="Arial"/>
      <family val="2"/>
    </font>
    <font>
      <sz val="10"/>
      <color theme="1"/>
      <name val="Arial"/>
      <family val="2"/>
    </font>
    <font>
      <sz val="11"/>
      <color theme="1"/>
      <name val="Cambria"/>
      <family val="2"/>
      <scheme val="major"/>
    </font>
    <font>
      <sz val="11"/>
      <color rgb="FF000000"/>
      <name val="Calibri"/>
      <family val="2"/>
      <scheme val="minor"/>
    </font>
  </fonts>
  <fills count="6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FFC000"/>
        <bgColor indexed="64"/>
      </patternFill>
    </fill>
    <fill>
      <patternFill patternType="solid">
        <fgColor theme="7" tint="0.59999389629810485"/>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s>
  <cellStyleXfs count="132">
    <xf numFmtId="0" fontId="0" fillId="0" borderId="0"/>
    <xf numFmtId="0" fontId="19" fillId="0" borderId="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3" fillId="34" borderId="0" applyNumberFormat="0" applyBorder="0" applyAlignment="0" applyProtection="0"/>
    <xf numFmtId="0" fontId="24" fillId="51" borderId="10" applyNumberFormat="0" applyAlignment="0" applyProtection="0"/>
    <xf numFmtId="0" fontId="25" fillId="52" borderId="11" applyNumberFormat="0" applyAlignment="0" applyProtection="0"/>
    <xf numFmtId="0" fontId="26" fillId="0" borderId="0" applyNumberFormat="0" applyFill="0" applyBorder="0" applyAlignment="0" applyProtection="0"/>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34" fillId="0" borderId="0"/>
    <xf numFmtId="0" fontId="20" fillId="54" borderId="16" applyNumberFormat="0" applyFont="0" applyAlignment="0" applyProtection="0"/>
    <xf numFmtId="0" fontId="35" fillId="51" borderId="17" applyNumberFormat="0" applyAlignment="0" applyProtection="0"/>
    <xf numFmtId="0" fontId="36" fillId="0" borderId="0" applyNumberForma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0" fontId="2"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1" fillId="33" borderId="0" applyNumberFormat="0" applyBorder="0" applyAlignment="0" applyProtection="0"/>
    <xf numFmtId="0" fontId="22" fillId="47" borderId="0" applyNumberFormat="0" applyBorder="0" applyAlignment="0" applyProtection="0"/>
    <xf numFmtId="0" fontId="22" fillId="43" borderId="0" applyNumberFormat="0" applyBorder="0" applyAlignment="0" applyProtection="0"/>
    <xf numFmtId="0" fontId="21" fillId="39" borderId="0" applyNumberFormat="0" applyBorder="0" applyAlignment="0" applyProtection="0"/>
    <xf numFmtId="0" fontId="20" fillId="0" borderId="0"/>
    <xf numFmtId="0" fontId="22" fillId="46" borderId="0" applyNumberFormat="0" applyBorder="0" applyAlignment="0" applyProtection="0"/>
    <xf numFmtId="0" fontId="21" fillId="42" borderId="0" applyNumberFormat="0" applyBorder="0" applyAlignment="0" applyProtection="0"/>
    <xf numFmtId="0" fontId="21" fillId="38" borderId="0" applyNumberFormat="0" applyBorder="0" applyAlignment="0" applyProtection="0"/>
    <xf numFmtId="0" fontId="22" fillId="45" borderId="0" applyNumberFormat="0" applyBorder="0" applyAlignment="0" applyProtection="0"/>
    <xf numFmtId="0" fontId="21" fillId="39" borderId="0" applyNumberFormat="0" applyBorder="0" applyAlignment="0" applyProtection="0"/>
    <xf numFmtId="0" fontId="21" fillId="37" borderId="0" applyNumberFormat="0" applyBorder="0" applyAlignment="0" applyProtection="0"/>
    <xf numFmtId="0" fontId="22" fillId="44"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41" borderId="0" applyNumberFormat="0" applyBorder="0" applyAlignment="0" applyProtection="0"/>
    <xf numFmtId="0" fontId="21" fillId="41" borderId="0" applyNumberFormat="0" applyBorder="0" applyAlignment="0" applyProtection="0"/>
    <xf numFmtId="0" fontId="21" fillId="35" borderId="0" applyNumberFormat="0" applyBorder="0" applyAlignment="0" applyProtection="0"/>
    <xf numFmtId="0" fontId="22" fillId="40" borderId="0" applyNumberFormat="0" applyBorder="0" applyAlignment="0" applyProtection="0"/>
    <xf numFmtId="0" fontId="21" fillId="40" borderId="0" applyNumberFormat="0" applyBorder="0" applyAlignment="0" applyProtection="0"/>
    <xf numFmtId="0" fontId="21" fillId="34"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3" fillId="34" borderId="0" applyNumberFormat="0" applyBorder="0" applyAlignment="0" applyProtection="0"/>
    <xf numFmtId="0" fontId="24" fillId="51" borderId="10" applyNumberFormat="0" applyAlignment="0" applyProtection="0"/>
    <xf numFmtId="0" fontId="25" fillId="52" borderId="11" applyNumberFormat="0" applyAlignment="0" applyProtection="0"/>
    <xf numFmtId="0" fontId="26" fillId="0" borderId="0" applyNumberFormat="0" applyFill="0" applyBorder="0" applyAlignment="0" applyProtection="0"/>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20" fillId="54" borderId="16" applyNumberFormat="0" applyFont="0" applyAlignment="0" applyProtection="0"/>
    <xf numFmtId="0" fontId="35" fillId="51" borderId="17" applyNumberFormat="0" applyAlignment="0" applyProtection="0"/>
    <xf numFmtId="0" fontId="36" fillId="0" borderId="0" applyNumberForma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0" fontId="19" fillId="54" borderId="16" applyNumberFormat="0" applyFont="0" applyAlignment="0" applyProtection="0"/>
    <xf numFmtId="0" fontId="19" fillId="0" borderId="0"/>
    <xf numFmtId="0" fontId="19" fillId="54" borderId="16" applyNumberFormat="0" applyFont="0" applyAlignment="0" applyProtection="0"/>
    <xf numFmtId="0" fontId="82" fillId="0" borderId="0"/>
  </cellStyleXfs>
  <cellXfs count="433">
    <xf numFmtId="0" fontId="0" fillId="0" borderId="0" xfId="0"/>
    <xf numFmtId="164" fontId="0" fillId="0" borderId="0" xfId="0" applyNumberFormat="1" applyAlignment="1">
      <alignment horizontal="center"/>
    </xf>
    <xf numFmtId="165" fontId="43" fillId="0" borderId="0" xfId="1" applyNumberFormat="1" applyFont="1" applyFill="1" applyBorder="1" applyAlignment="1">
      <alignment horizontal="center"/>
    </xf>
    <xf numFmtId="0" fontId="19" fillId="0" borderId="0" xfId="1" applyBorder="1"/>
    <xf numFmtId="0" fontId="42" fillId="0" borderId="0" xfId="1" applyNumberFormat="1" applyFont="1" applyBorder="1" applyAlignment="1"/>
    <xf numFmtId="0" fontId="19" fillId="0" borderId="0" xfId="1" applyFill="1" applyBorder="1"/>
    <xf numFmtId="0" fontId="0" fillId="0" borderId="0" xfId="0" applyFill="1"/>
    <xf numFmtId="0" fontId="20" fillId="0" borderId="0" xfId="90"/>
    <xf numFmtId="0" fontId="20" fillId="0" borderId="0" xfId="90" applyFont="1"/>
    <xf numFmtId="0" fontId="39" fillId="0" borderId="0" xfId="90" applyFont="1"/>
    <xf numFmtId="2" fontId="20" fillId="0" borderId="0" xfId="90" applyNumberFormat="1"/>
    <xf numFmtId="164" fontId="20" fillId="0" borderId="0" xfId="90" applyNumberFormat="1"/>
    <xf numFmtId="0" fontId="42" fillId="0" borderId="0" xfId="90" applyNumberFormat="1" applyFont="1" applyAlignment="1"/>
    <xf numFmtId="0" fontId="20" fillId="0" borderId="0" xfId="90" applyFont="1" applyFill="1" applyBorder="1"/>
    <xf numFmtId="0" fontId="20" fillId="0" borderId="0" xfId="90" applyFill="1" applyAlignment="1">
      <alignment horizontal="center"/>
    </xf>
    <xf numFmtId="164" fontId="39" fillId="0" borderId="0" xfId="90" applyNumberFormat="1" applyFont="1" applyAlignment="1">
      <alignment horizontal="center"/>
    </xf>
    <xf numFmtId="0" fontId="20" fillId="0" borderId="0" xfId="90"/>
    <xf numFmtId="164" fontId="20" fillId="0" borderId="0" xfId="90" applyNumberFormat="1" applyFont="1" applyAlignment="1">
      <alignment horizontal="left"/>
    </xf>
    <xf numFmtId="0" fontId="20" fillId="0" borderId="0" xfId="90" applyBorder="1" applyAlignment="1">
      <alignment horizontal="center"/>
    </xf>
    <xf numFmtId="164" fontId="0" fillId="0" borderId="0" xfId="0" applyNumberFormat="1" applyFill="1" applyAlignment="1">
      <alignment horizontal="center"/>
    </xf>
    <xf numFmtId="2" fontId="17" fillId="58" borderId="25" xfId="0" applyNumberFormat="1" applyFont="1" applyFill="1" applyBorder="1" applyAlignment="1">
      <alignment horizontal="center" wrapText="1"/>
    </xf>
    <xf numFmtId="0" fontId="0" fillId="0" borderId="23" xfId="0" applyFill="1" applyBorder="1" applyAlignment="1">
      <alignment horizontal="center"/>
    </xf>
    <xf numFmtId="2" fontId="17" fillId="56" borderId="25" xfId="0" applyNumberFormat="1" applyFont="1" applyFill="1" applyBorder="1" applyAlignment="1">
      <alignment horizontal="center" wrapText="1"/>
    </xf>
    <xf numFmtId="165" fontId="43" fillId="0" borderId="27" xfId="1" applyNumberFormat="1" applyFont="1" applyFill="1" applyBorder="1" applyAlignment="1">
      <alignment horizontal="center"/>
    </xf>
    <xf numFmtId="2" fontId="0" fillId="0" borderId="0" xfId="0" applyNumberFormat="1" applyAlignment="1">
      <alignment horizontal="center"/>
    </xf>
    <xf numFmtId="0" fontId="0" fillId="0" borderId="0" xfId="0" applyFill="1" applyAlignment="1">
      <alignment horizontal="center"/>
    </xf>
    <xf numFmtId="2" fontId="0" fillId="0" borderId="0" xfId="0" applyNumberFormat="1" applyFill="1" applyAlignment="1">
      <alignment horizontal="center"/>
    </xf>
    <xf numFmtId="2" fontId="44" fillId="0" borderId="0" xfId="0" applyNumberFormat="1" applyFont="1" applyFill="1" applyAlignment="1">
      <alignment horizontal="center"/>
    </xf>
    <xf numFmtId="2" fontId="0" fillId="0" borderId="0" xfId="0" applyNumberFormat="1" applyFont="1" applyAlignment="1">
      <alignment horizontal="center"/>
    </xf>
    <xf numFmtId="2" fontId="45" fillId="0" borderId="25" xfId="0" applyNumberFormat="1" applyFont="1" applyBorder="1" applyAlignment="1">
      <alignment horizontal="center" wrapText="1"/>
    </xf>
    <xf numFmtId="0" fontId="0" fillId="0" borderId="0" xfId="0"/>
    <xf numFmtId="2" fontId="0" fillId="58" borderId="0" xfId="0" applyNumberFormat="1" applyFill="1" applyAlignment="1">
      <alignment horizontal="center"/>
    </xf>
    <xf numFmtId="0" fontId="49" fillId="0" borderId="0" xfId="1" applyFont="1" applyBorder="1"/>
    <xf numFmtId="164" fontId="50" fillId="0" borderId="0" xfId="0" applyNumberFormat="1" applyFont="1" applyAlignment="1">
      <alignment horizontal="center"/>
    </xf>
    <xf numFmtId="2" fontId="50" fillId="0" borderId="0" xfId="0" applyNumberFormat="1" applyFont="1" applyAlignment="1">
      <alignment horizontal="center"/>
    </xf>
    <xf numFmtId="2" fontId="50" fillId="0" borderId="0" xfId="0" applyNumberFormat="1" applyFont="1" applyFill="1" applyAlignment="1">
      <alignment horizontal="center"/>
    </xf>
    <xf numFmtId="2" fontId="50" fillId="58" borderId="0" xfId="0" applyNumberFormat="1" applyFont="1" applyFill="1" applyAlignment="1">
      <alignment horizontal="center"/>
    </xf>
    <xf numFmtId="2" fontId="52" fillId="58" borderId="0" xfId="0" applyNumberFormat="1" applyFont="1" applyFill="1" applyAlignment="1">
      <alignment horizontal="center"/>
    </xf>
    <xf numFmtId="0" fontId="50" fillId="0" borderId="0" xfId="0" applyFont="1"/>
    <xf numFmtId="165" fontId="51" fillId="60" borderId="0" xfId="1" applyNumberFormat="1" applyFont="1" applyFill="1" applyBorder="1" applyAlignment="1">
      <alignment horizontal="center"/>
    </xf>
    <xf numFmtId="0" fontId="49" fillId="0" borderId="0" xfId="1" applyFont="1" applyFill="1" applyBorder="1"/>
    <xf numFmtId="164" fontId="50" fillId="0" borderId="0" xfId="0" applyNumberFormat="1" applyFont="1" applyFill="1" applyAlignment="1">
      <alignment horizontal="center"/>
    </xf>
    <xf numFmtId="0" fontId="50" fillId="0" borderId="0" xfId="0" applyFont="1" applyFill="1"/>
    <xf numFmtId="0" fontId="54" fillId="0" borderId="0" xfId="1" applyFont="1" applyBorder="1"/>
    <xf numFmtId="164" fontId="55" fillId="0" borderId="0" xfId="0" applyNumberFormat="1" applyFont="1" applyAlignment="1">
      <alignment horizontal="center"/>
    </xf>
    <xf numFmtId="2" fontId="55" fillId="0" borderId="0" xfId="0" applyNumberFormat="1" applyFont="1" applyAlignment="1">
      <alignment horizontal="center"/>
    </xf>
    <xf numFmtId="2" fontId="55" fillId="0" borderId="0" xfId="0" applyNumberFormat="1" applyFont="1" applyFill="1" applyAlignment="1">
      <alignment horizontal="center"/>
    </xf>
    <xf numFmtId="2" fontId="55" fillId="58" borderId="0" xfId="0" applyNumberFormat="1" applyFont="1" applyFill="1" applyAlignment="1">
      <alignment horizontal="center"/>
    </xf>
    <xf numFmtId="2" fontId="54" fillId="0" borderId="0" xfId="90" applyNumberFormat="1" applyFont="1" applyAlignment="1">
      <alignment horizontal="left"/>
    </xf>
    <xf numFmtId="0" fontId="55" fillId="0" borderId="0" xfId="0" applyFont="1"/>
    <xf numFmtId="165" fontId="56" fillId="60" borderId="0" xfId="1" applyNumberFormat="1" applyFont="1" applyFill="1" applyBorder="1" applyAlignment="1">
      <alignment horizontal="center"/>
    </xf>
    <xf numFmtId="0" fontId="54" fillId="0" borderId="0" xfId="1" applyFont="1" applyFill="1" applyBorder="1"/>
    <xf numFmtId="164" fontId="55" fillId="0" borderId="0" xfId="0" applyNumberFormat="1" applyFont="1" applyFill="1" applyAlignment="1">
      <alignment horizontal="center"/>
    </xf>
    <xf numFmtId="0" fontId="55" fillId="0" borderId="0" xfId="0" applyFont="1" applyFill="1"/>
    <xf numFmtId="0" fontId="57" fillId="0" borderId="0" xfId="1" applyNumberFormat="1" applyFont="1" applyBorder="1" applyAlignment="1"/>
    <xf numFmtId="2" fontId="52" fillId="0" borderId="0" xfId="0" applyNumberFormat="1" applyFont="1" applyFill="1" applyAlignment="1">
      <alignment horizontal="center"/>
    </xf>
    <xf numFmtId="2" fontId="58" fillId="0" borderId="0" xfId="0" applyNumberFormat="1" applyFont="1" applyFill="1" applyAlignment="1">
      <alignment horizontal="center"/>
    </xf>
    <xf numFmtId="2" fontId="58" fillId="58" borderId="0" xfId="0" applyNumberFormat="1" applyFont="1" applyFill="1" applyAlignment="1">
      <alignment horizontal="center"/>
    </xf>
    <xf numFmtId="164" fontId="52" fillId="0" borderId="0" xfId="0" applyNumberFormat="1" applyFont="1" applyAlignment="1">
      <alignment horizontal="center"/>
    </xf>
    <xf numFmtId="2" fontId="50" fillId="56" borderId="0" xfId="0" applyNumberFormat="1" applyFont="1" applyFill="1" applyAlignment="1">
      <alignment horizontal="center"/>
    </xf>
    <xf numFmtId="0" fontId="20" fillId="0" borderId="0" xfId="90" applyFont="1" applyFill="1" applyBorder="1" applyAlignment="1">
      <alignment horizontal="center"/>
    </xf>
    <xf numFmtId="0" fontId="0" fillId="0" borderId="0" xfId="0" applyFill="1" applyBorder="1" applyAlignment="1">
      <alignment horizontal="center"/>
    </xf>
    <xf numFmtId="0" fontId="55" fillId="0" borderId="0" xfId="0" applyFont="1" applyFill="1" applyAlignment="1">
      <alignment horizontal="center"/>
    </xf>
    <xf numFmtId="165" fontId="56" fillId="62" borderId="0" xfId="1" applyNumberFormat="1" applyFont="1" applyFill="1" applyBorder="1" applyAlignment="1">
      <alignment horizontal="center"/>
    </xf>
    <xf numFmtId="0" fontId="39" fillId="0" borderId="29" xfId="90" applyFont="1" applyBorder="1" applyAlignment="1">
      <alignment horizontal="center" wrapText="1"/>
    </xf>
    <xf numFmtId="49" fontId="39" fillId="0" borderId="29" xfId="1" applyNumberFormat="1" applyFont="1" applyBorder="1" applyAlignment="1">
      <alignment horizontal="center" wrapText="1"/>
    </xf>
    <xf numFmtId="49" fontId="39" fillId="55" borderId="29" xfId="1" applyNumberFormat="1" applyFont="1" applyFill="1" applyBorder="1" applyAlignment="1">
      <alignment horizontal="center" wrapText="1"/>
    </xf>
    <xf numFmtId="165" fontId="39" fillId="55" borderId="28" xfId="1" applyNumberFormat="1" applyFont="1" applyFill="1" applyBorder="1" applyAlignment="1">
      <alignment horizontal="center" wrapText="1"/>
    </xf>
    <xf numFmtId="0" fontId="49" fillId="0" borderId="0" xfId="90" applyFont="1" applyFill="1" applyBorder="1" applyAlignment="1">
      <alignment horizontal="center"/>
    </xf>
    <xf numFmtId="0" fontId="54" fillId="0" borderId="0" xfId="90" applyFont="1" applyFill="1" applyBorder="1" applyAlignment="1">
      <alignment horizontal="center"/>
    </xf>
    <xf numFmtId="0" fontId="20" fillId="0" borderId="0" xfId="90" applyFill="1" applyBorder="1" applyAlignment="1">
      <alignment horizontal="center"/>
    </xf>
    <xf numFmtId="0" fontId="0" fillId="0" borderId="27" xfId="0" applyFill="1" applyBorder="1" applyAlignment="1">
      <alignment horizontal="center"/>
    </xf>
    <xf numFmtId="0" fontId="0" fillId="0" borderId="0" xfId="0" applyFill="1" applyBorder="1"/>
    <xf numFmtId="0" fontId="50" fillId="0" borderId="0" xfId="0" applyFont="1" applyFill="1" applyBorder="1"/>
    <xf numFmtId="0" fontId="50" fillId="0" borderId="23" xfId="0" applyFont="1" applyFill="1" applyBorder="1"/>
    <xf numFmtId="0" fontId="17" fillId="55" borderId="25" xfId="0" applyFont="1" applyFill="1" applyBorder="1" applyAlignment="1">
      <alignment horizontal="center" wrapText="1"/>
    </xf>
    <xf numFmtId="2" fontId="17" fillId="0" borderId="25" xfId="0" applyNumberFormat="1" applyFont="1" applyFill="1" applyBorder="1" applyAlignment="1">
      <alignment horizontal="center" wrapText="1"/>
    </xf>
    <xf numFmtId="2" fontId="45" fillId="0" borderId="25" xfId="0" applyNumberFormat="1" applyFont="1" applyFill="1" applyBorder="1" applyAlignment="1">
      <alignment horizontal="center" wrapText="1"/>
    </xf>
    <xf numFmtId="0" fontId="0" fillId="0" borderId="25" xfId="0" applyFill="1" applyBorder="1" applyAlignment="1">
      <alignment horizontal="center"/>
    </xf>
    <xf numFmtId="2" fontId="44" fillId="0" borderId="0" xfId="0" applyNumberFormat="1" applyFont="1" applyFill="1" applyBorder="1" applyAlignment="1">
      <alignment horizontal="center"/>
    </xf>
    <xf numFmtId="165" fontId="51" fillId="59" borderId="26" xfId="1" applyNumberFormat="1" applyFont="1" applyFill="1" applyBorder="1" applyAlignment="1">
      <alignment horizontal="center"/>
    </xf>
    <xf numFmtId="165" fontId="40" fillId="59" borderId="26" xfId="1" applyNumberFormat="1" applyFont="1" applyFill="1" applyBorder="1" applyAlignment="1">
      <alignment horizontal="center"/>
    </xf>
    <xf numFmtId="2" fontId="17" fillId="59" borderId="32" xfId="0" applyNumberFormat="1" applyFont="1" applyFill="1" applyBorder="1" applyAlignment="1">
      <alignment horizontal="center"/>
    </xf>
    <xf numFmtId="165" fontId="56" fillId="59" borderId="26" xfId="1" applyNumberFormat="1" applyFont="1" applyFill="1" applyBorder="1" applyAlignment="1">
      <alignment horizontal="center"/>
    </xf>
    <xf numFmtId="2" fontId="17" fillId="57" borderId="27" xfId="0" applyNumberFormat="1" applyFont="1" applyFill="1" applyBorder="1" applyAlignment="1">
      <alignment horizontal="center"/>
    </xf>
    <xf numFmtId="2" fontId="50" fillId="57" borderId="27" xfId="0" applyNumberFormat="1" applyFont="1" applyFill="1" applyBorder="1" applyAlignment="1">
      <alignment horizontal="center"/>
    </xf>
    <xf numFmtId="2" fontId="55" fillId="57" borderId="27" xfId="0" applyNumberFormat="1" applyFont="1" applyFill="1" applyBorder="1" applyAlignment="1">
      <alignment horizontal="center"/>
    </xf>
    <xf numFmtId="165" fontId="40" fillId="0" borderId="0" xfId="1" applyNumberFormat="1" applyFont="1" applyFill="1" applyBorder="1" applyAlignment="1">
      <alignment horizontal="center"/>
    </xf>
    <xf numFmtId="165" fontId="51" fillId="57" borderId="26" xfId="1" applyNumberFormat="1" applyFont="1" applyFill="1" applyBorder="1" applyAlignment="1">
      <alignment horizontal="center"/>
    </xf>
    <xf numFmtId="165" fontId="40" fillId="57" borderId="26" xfId="1" applyNumberFormat="1" applyFont="1" applyFill="1" applyBorder="1" applyAlignment="1">
      <alignment horizontal="center"/>
    </xf>
    <xf numFmtId="165" fontId="56" fillId="57" borderId="26" xfId="1" applyNumberFormat="1" applyFont="1" applyFill="1" applyBorder="1" applyAlignment="1">
      <alignment horizontal="center"/>
    </xf>
    <xf numFmtId="165" fontId="51" fillId="57" borderId="22" xfId="1" applyNumberFormat="1" applyFont="1" applyFill="1" applyBorder="1" applyAlignment="1">
      <alignment horizontal="center"/>
    </xf>
    <xf numFmtId="2" fontId="50" fillId="57" borderId="24" xfId="0" applyNumberFormat="1" applyFont="1" applyFill="1" applyBorder="1" applyAlignment="1">
      <alignment horizontal="center"/>
    </xf>
    <xf numFmtId="165" fontId="51" fillId="0" borderId="0" xfId="1" applyNumberFormat="1" applyFont="1" applyFill="1" applyBorder="1" applyAlignment="1">
      <alignment horizontal="center"/>
    </xf>
    <xf numFmtId="165" fontId="56" fillId="0" borderId="0" xfId="1" applyNumberFormat="1" applyFont="1" applyFill="1" applyBorder="1" applyAlignment="1">
      <alignment horizontal="center"/>
    </xf>
    <xf numFmtId="2" fontId="45" fillId="56" borderId="25" xfId="0" applyNumberFormat="1" applyFont="1" applyFill="1" applyBorder="1" applyAlignment="1">
      <alignment horizontal="center" wrapText="1"/>
    </xf>
    <xf numFmtId="0" fontId="17" fillId="0" borderId="0" xfId="0" applyFont="1" applyFill="1" applyBorder="1" applyAlignment="1">
      <alignment horizontal="center"/>
    </xf>
    <xf numFmtId="0" fontId="60" fillId="0" borderId="0" xfId="0" applyFont="1" applyFill="1" applyBorder="1" applyAlignment="1">
      <alignment horizontal="center" wrapText="1"/>
    </xf>
    <xf numFmtId="0" fontId="49" fillId="0" borderId="0" xfId="1" applyFont="1" applyBorder="1" applyAlignment="1">
      <alignment horizontal="center"/>
    </xf>
    <xf numFmtId="164" fontId="19" fillId="0" borderId="0" xfId="1" applyNumberFormat="1" applyBorder="1" applyAlignment="1">
      <alignment horizontal="center"/>
    </xf>
    <xf numFmtId="0" fontId="49" fillId="0" borderId="0" xfId="1" applyFont="1" applyFill="1" applyBorder="1" applyAlignment="1">
      <alignment horizontal="center"/>
    </xf>
    <xf numFmtId="2" fontId="54" fillId="0" borderId="0" xfId="1" applyNumberFormat="1" applyFont="1" applyBorder="1" applyAlignment="1">
      <alignment horizontal="center"/>
    </xf>
    <xf numFmtId="2" fontId="20" fillId="0" borderId="0" xfId="1" applyNumberFormat="1" applyFont="1" applyBorder="1" applyAlignment="1">
      <alignment horizontal="center"/>
    </xf>
    <xf numFmtId="164" fontId="20" fillId="0" borderId="0" xfId="1" applyNumberFormat="1" applyFont="1" applyBorder="1" applyAlignment="1">
      <alignment horizontal="center"/>
    </xf>
    <xf numFmtId="164" fontId="54" fillId="0" borderId="0" xfId="1" applyNumberFormat="1" applyFont="1" applyBorder="1" applyAlignment="1">
      <alignment horizontal="center"/>
    </xf>
    <xf numFmtId="164" fontId="19" fillId="0" borderId="0" xfId="1" applyNumberFormat="1" applyFill="1" applyBorder="1" applyAlignment="1">
      <alignment horizontal="center"/>
    </xf>
    <xf numFmtId="164" fontId="42" fillId="0" borderId="0" xfId="1" applyNumberFormat="1" applyFont="1" applyBorder="1" applyAlignment="1">
      <alignment horizontal="center"/>
    </xf>
    <xf numFmtId="164" fontId="57" fillId="0" borderId="0" xfId="1" applyNumberFormat="1" applyFont="1" applyBorder="1" applyAlignment="1">
      <alignment horizontal="center"/>
    </xf>
    <xf numFmtId="164" fontId="54" fillId="0" borderId="0" xfId="1" applyNumberFormat="1" applyFont="1" applyFill="1" applyBorder="1" applyAlignment="1">
      <alignment horizontal="center"/>
    </xf>
    <xf numFmtId="165" fontId="51" fillId="0" borderId="27" xfId="1" applyNumberFormat="1" applyFont="1" applyFill="1" applyBorder="1" applyAlignment="1">
      <alignment horizontal="center"/>
    </xf>
    <xf numFmtId="165" fontId="56" fillId="0" borderId="27" xfId="1" applyNumberFormat="1" applyFont="1" applyFill="1" applyBorder="1" applyAlignment="1">
      <alignment horizontal="center"/>
    </xf>
    <xf numFmtId="164" fontId="42" fillId="0" borderId="0" xfId="1" applyNumberFormat="1" applyFont="1" applyFill="1" applyBorder="1" applyAlignment="1">
      <alignment horizontal="center"/>
    </xf>
    <xf numFmtId="0" fontId="50" fillId="0" borderId="27" xfId="0" applyFont="1" applyFill="1" applyBorder="1" applyAlignment="1">
      <alignment horizontal="center"/>
    </xf>
    <xf numFmtId="0" fontId="50" fillId="0" borderId="24" xfId="0" applyFont="1" applyFill="1" applyBorder="1" applyAlignment="1">
      <alignment horizontal="center"/>
    </xf>
    <xf numFmtId="0" fontId="17" fillId="0" borderId="0" xfId="0" applyFont="1" applyFill="1" applyBorder="1" applyAlignment="1">
      <alignment horizontal="right"/>
    </xf>
    <xf numFmtId="2" fontId="39" fillId="0" borderId="25" xfId="1" applyNumberFormat="1" applyFont="1" applyBorder="1" applyAlignment="1">
      <alignment horizontal="center"/>
    </xf>
    <xf numFmtId="165" fontId="39" fillId="0" borderId="32" xfId="1" applyNumberFormat="1" applyFont="1" applyBorder="1" applyAlignment="1">
      <alignment horizontal="center"/>
    </xf>
    <xf numFmtId="2" fontId="45" fillId="0" borderId="25" xfId="0" applyNumberFormat="1" applyFont="1" applyBorder="1" applyAlignment="1">
      <alignment horizontal="center"/>
    </xf>
    <xf numFmtId="2" fontId="17" fillId="0" borderId="25" xfId="0" applyNumberFormat="1" applyFont="1" applyBorder="1" applyAlignment="1">
      <alignment horizontal="center"/>
    </xf>
    <xf numFmtId="2" fontId="17" fillId="0" borderId="25" xfId="0" applyNumberFormat="1" applyFont="1" applyFill="1" applyBorder="1" applyAlignment="1">
      <alignment horizontal="center"/>
    </xf>
    <xf numFmtId="2" fontId="17" fillId="58" borderId="25" xfId="0" applyNumberFormat="1" applyFont="1" applyFill="1" applyBorder="1" applyAlignment="1">
      <alignment horizontal="center"/>
    </xf>
    <xf numFmtId="165" fontId="39" fillId="0" borderId="25" xfId="1" applyNumberFormat="1" applyFont="1" applyBorder="1" applyAlignment="1">
      <alignment horizontal="center"/>
    </xf>
    <xf numFmtId="165" fontId="39" fillId="59" borderId="31" xfId="1" applyNumberFormat="1" applyFont="1" applyFill="1" applyBorder="1" applyAlignment="1">
      <alignment horizontal="center"/>
    </xf>
    <xf numFmtId="2" fontId="45" fillId="0" borderId="25" xfId="0" applyNumberFormat="1" applyFont="1" applyFill="1" applyBorder="1" applyAlignment="1">
      <alignment horizontal="center"/>
    </xf>
    <xf numFmtId="165" fontId="39" fillId="57" borderId="31" xfId="1" applyNumberFormat="1" applyFont="1" applyFill="1" applyBorder="1" applyAlignment="1">
      <alignment horizontal="center"/>
    </xf>
    <xf numFmtId="2" fontId="0" fillId="57" borderId="27" xfId="0" applyNumberFormat="1" applyFont="1" applyFill="1" applyBorder="1" applyAlignment="1">
      <alignment horizontal="center"/>
    </xf>
    <xf numFmtId="2" fontId="17" fillId="0" borderId="0" xfId="0" applyNumberFormat="1" applyFont="1" applyFill="1" applyBorder="1" applyAlignment="1">
      <alignment horizontal="right"/>
    </xf>
    <xf numFmtId="2" fontId="0" fillId="0" borderId="0" xfId="0" applyNumberFormat="1" applyFill="1" applyBorder="1" applyAlignment="1">
      <alignment horizontal="center"/>
    </xf>
    <xf numFmtId="0" fontId="50" fillId="0" borderId="0" xfId="0" applyFont="1" applyFill="1" applyBorder="1" applyAlignment="1">
      <alignment horizontal="center"/>
    </xf>
    <xf numFmtId="0" fontId="50" fillId="0" borderId="0" xfId="0" applyFont="1" applyFill="1" applyBorder="1" applyAlignment="1">
      <alignment horizontal="right"/>
    </xf>
    <xf numFmtId="2" fontId="51" fillId="59" borderId="27" xfId="1" applyNumberFormat="1" applyFont="1" applyFill="1" applyBorder="1" applyAlignment="1">
      <alignment horizontal="center"/>
    </xf>
    <xf numFmtId="2" fontId="40" fillId="59" borderId="27" xfId="1" applyNumberFormat="1" applyFont="1" applyFill="1" applyBorder="1" applyAlignment="1">
      <alignment horizontal="center"/>
    </xf>
    <xf numFmtId="2" fontId="56" fillId="59" borderId="27" xfId="1" applyNumberFormat="1" applyFont="1" applyFill="1" applyBorder="1" applyAlignment="1">
      <alignment horizontal="center"/>
    </xf>
    <xf numFmtId="2" fontId="51" fillId="59" borderId="0" xfId="1" applyNumberFormat="1" applyFont="1" applyFill="1" applyBorder="1" applyAlignment="1">
      <alignment horizontal="center"/>
    </xf>
    <xf numFmtId="165" fontId="0" fillId="57" borderId="0" xfId="0" applyNumberFormat="1" applyFill="1" applyBorder="1" applyAlignment="1">
      <alignment horizontal="center"/>
    </xf>
    <xf numFmtId="0" fontId="55" fillId="0" borderId="0" xfId="0" applyFont="1" applyFill="1" applyBorder="1" applyAlignment="1">
      <alignment horizontal="right"/>
    </xf>
    <xf numFmtId="0" fontId="0" fillId="0" borderId="0" xfId="0" applyFont="1" applyFill="1" applyBorder="1" applyAlignment="1">
      <alignment horizontal="right"/>
    </xf>
    <xf numFmtId="165" fontId="0" fillId="59" borderId="0" xfId="0" applyNumberFormat="1" applyFont="1" applyFill="1" applyBorder="1" applyAlignment="1">
      <alignment horizontal="center"/>
    </xf>
    <xf numFmtId="2" fontId="40" fillId="59" borderId="0" xfId="1" applyNumberFormat="1" applyFont="1" applyFill="1" applyBorder="1" applyAlignment="1">
      <alignment horizontal="center"/>
    </xf>
    <xf numFmtId="0" fontId="60" fillId="0" borderId="23" xfId="0" applyFont="1" applyFill="1" applyBorder="1" applyAlignment="1">
      <alignment horizontal="center"/>
    </xf>
    <xf numFmtId="0" fontId="60" fillId="0" borderId="23" xfId="0" applyFont="1" applyFill="1" applyBorder="1" applyAlignment="1">
      <alignment horizontal="center" wrapText="1"/>
    </xf>
    <xf numFmtId="0" fontId="0" fillId="0" borderId="23" xfId="0" applyBorder="1"/>
    <xf numFmtId="2" fontId="60" fillId="0" borderId="23" xfId="0" applyNumberFormat="1" applyFont="1" applyFill="1" applyBorder="1" applyAlignment="1">
      <alignment horizontal="center"/>
    </xf>
    <xf numFmtId="0" fontId="59" fillId="0" borderId="23" xfId="0" applyFont="1" applyFill="1" applyBorder="1" applyAlignment="1">
      <alignment horizontal="center"/>
    </xf>
    <xf numFmtId="0" fontId="60" fillId="0" borderId="23" xfId="0" applyFont="1" applyBorder="1" applyAlignment="1">
      <alignment horizontal="center"/>
    </xf>
    <xf numFmtId="49" fontId="60" fillId="0" borderId="23" xfId="0" applyNumberFormat="1" applyFont="1" applyFill="1" applyBorder="1" applyAlignment="1">
      <alignment horizontal="center" wrapText="1"/>
    </xf>
    <xf numFmtId="2" fontId="0" fillId="0" borderId="23" xfId="0" applyNumberFormat="1" applyFill="1" applyBorder="1" applyAlignment="1">
      <alignment horizontal="center" wrapText="1"/>
    </xf>
    <xf numFmtId="2" fontId="60" fillId="0" borderId="23" xfId="0" applyNumberFormat="1" applyFont="1" applyFill="1" applyBorder="1" applyAlignment="1">
      <alignment horizontal="center" wrapText="1"/>
    </xf>
    <xf numFmtId="0" fontId="0" fillId="0" borderId="0" xfId="0" applyBorder="1"/>
    <xf numFmtId="2" fontId="17" fillId="57" borderId="33" xfId="0" applyNumberFormat="1" applyFont="1" applyFill="1" applyBorder="1" applyAlignment="1">
      <alignment horizontal="center"/>
    </xf>
    <xf numFmtId="49" fontId="39" fillId="0" borderId="31" xfId="90" applyNumberFormat="1" applyFont="1" applyBorder="1" applyAlignment="1">
      <alignment horizontal="center"/>
    </xf>
    <xf numFmtId="0" fontId="17" fillId="0" borderId="25" xfId="0" applyFont="1" applyBorder="1" applyAlignment="1">
      <alignment horizontal="center"/>
    </xf>
    <xf numFmtId="0" fontId="0" fillId="0" borderId="31" xfId="0" applyBorder="1" applyAlignment="1">
      <alignment horizontal="center"/>
    </xf>
    <xf numFmtId="49" fontId="49" fillId="0" borderId="23" xfId="1" applyNumberFormat="1" applyFont="1" applyBorder="1" applyAlignment="1">
      <alignment horizontal="left"/>
    </xf>
    <xf numFmtId="1" fontId="49" fillId="0" borderId="23" xfId="1" applyNumberFormat="1" applyFont="1" applyBorder="1" applyAlignment="1">
      <alignment horizontal="center"/>
    </xf>
    <xf numFmtId="165" fontId="51" fillId="0" borderId="24" xfId="1" applyNumberFormat="1" applyFont="1" applyFill="1" applyBorder="1" applyAlignment="1">
      <alignment horizontal="center"/>
    </xf>
    <xf numFmtId="0" fontId="20" fillId="0" borderId="20" xfId="90" applyFill="1" applyBorder="1" applyAlignment="1">
      <alignment horizontal="center"/>
    </xf>
    <xf numFmtId="0" fontId="50" fillId="0" borderId="23" xfId="0" applyFont="1" applyFill="1" applyBorder="1" applyAlignment="1">
      <alignment horizontal="center"/>
    </xf>
    <xf numFmtId="0" fontId="54" fillId="0" borderId="20" xfId="1" applyFont="1" applyFill="1" applyBorder="1"/>
    <xf numFmtId="0" fontId="50" fillId="0" borderId="20" xfId="0" applyFont="1" applyFill="1" applyBorder="1" applyAlignment="1">
      <alignment horizontal="center"/>
    </xf>
    <xf numFmtId="0" fontId="55" fillId="0" borderId="21" xfId="0" applyFont="1" applyFill="1" applyBorder="1" applyAlignment="1">
      <alignment horizontal="center"/>
    </xf>
    <xf numFmtId="0" fontId="66" fillId="0" borderId="0" xfId="0" applyFont="1" applyFill="1" applyBorder="1" applyAlignment="1">
      <alignment horizontal="center"/>
    </xf>
    <xf numFmtId="0" fontId="66" fillId="0" borderId="0" xfId="0" applyFont="1" applyFill="1" applyBorder="1" applyAlignment="1">
      <alignment horizontal="right"/>
    </xf>
    <xf numFmtId="0" fontId="39" fillId="0" borderId="29" xfId="90" applyFont="1" applyFill="1" applyBorder="1" applyAlignment="1">
      <alignment horizontal="center" wrapText="1"/>
    </xf>
    <xf numFmtId="1" fontId="49" fillId="0" borderId="0" xfId="90" applyNumberFormat="1" applyFont="1" applyFill="1" applyBorder="1" applyAlignment="1">
      <alignment horizontal="center"/>
    </xf>
    <xf numFmtId="1" fontId="55" fillId="0" borderId="0" xfId="0" applyNumberFormat="1" applyFont="1" applyFill="1" applyBorder="1" applyAlignment="1">
      <alignment horizontal="center"/>
    </xf>
    <xf numFmtId="1" fontId="54" fillId="0" borderId="0" xfId="90" applyNumberFormat="1" applyFont="1" applyFill="1" applyBorder="1" applyAlignment="1">
      <alignment horizontal="center"/>
    </xf>
    <xf numFmtId="0" fontId="49" fillId="0" borderId="23" xfId="90" applyFont="1" applyFill="1" applyBorder="1" applyAlignment="1">
      <alignment horizontal="center"/>
    </xf>
    <xf numFmtId="2" fontId="0" fillId="0" borderId="0" xfId="0" applyNumberFormat="1" applyBorder="1"/>
    <xf numFmtId="165" fontId="51" fillId="0" borderId="22" xfId="1" applyNumberFormat="1" applyFont="1" applyFill="1" applyBorder="1" applyAlignment="1">
      <alignment horizontal="center"/>
    </xf>
    <xf numFmtId="164" fontId="50" fillId="0" borderId="23" xfId="0" applyNumberFormat="1" applyFont="1" applyBorder="1" applyAlignment="1">
      <alignment horizontal="center"/>
    </xf>
    <xf numFmtId="2" fontId="50" fillId="0" borderId="23" xfId="0" applyNumberFormat="1" applyFont="1" applyBorder="1" applyAlignment="1">
      <alignment horizontal="center"/>
    </xf>
    <xf numFmtId="2" fontId="50" fillId="58" borderId="23" xfId="0" applyNumberFormat="1" applyFont="1" applyFill="1" applyBorder="1" applyAlignment="1">
      <alignment horizontal="center"/>
    </xf>
    <xf numFmtId="165" fontId="51" fillId="59" borderId="22" xfId="1" applyNumberFormat="1" applyFont="1" applyFill="1" applyBorder="1" applyAlignment="1">
      <alignment horizontal="center"/>
    </xf>
    <xf numFmtId="2" fontId="51" fillId="59" borderId="24" xfId="1" applyNumberFormat="1" applyFont="1" applyFill="1" applyBorder="1" applyAlignment="1">
      <alignment horizontal="center"/>
    </xf>
    <xf numFmtId="2" fontId="52" fillId="0" borderId="23" xfId="0" applyNumberFormat="1" applyFont="1" applyFill="1" applyBorder="1" applyAlignment="1">
      <alignment horizontal="center"/>
    </xf>
    <xf numFmtId="2" fontId="44" fillId="0" borderId="19" xfId="0" applyNumberFormat="1" applyFont="1" applyFill="1" applyBorder="1" applyAlignment="1">
      <alignment horizontal="center"/>
    </xf>
    <xf numFmtId="2" fontId="0" fillId="0" borderId="20" xfId="0" applyNumberFormat="1" applyFill="1" applyBorder="1" applyAlignment="1">
      <alignment horizontal="center"/>
    </xf>
    <xf numFmtId="2" fontId="17" fillId="0" borderId="20" xfId="0" applyNumberFormat="1" applyFont="1" applyFill="1" applyBorder="1" applyAlignment="1">
      <alignment horizontal="right"/>
    </xf>
    <xf numFmtId="165" fontId="64" fillId="59" borderId="20" xfId="0" applyNumberFormat="1" applyFont="1" applyFill="1" applyBorder="1" applyAlignment="1">
      <alignment horizontal="center"/>
    </xf>
    <xf numFmtId="2" fontId="65" fillId="59" borderId="20" xfId="1" applyNumberFormat="1" applyFont="1" applyFill="1" applyBorder="1" applyAlignment="1">
      <alignment horizontal="center"/>
    </xf>
    <xf numFmtId="2" fontId="44" fillId="0" borderId="20" xfId="0" applyNumberFormat="1" applyFont="1" applyFill="1" applyBorder="1" applyAlignment="1">
      <alignment horizontal="center"/>
    </xf>
    <xf numFmtId="0" fontId="44" fillId="0" borderId="20" xfId="0" applyFont="1" applyFill="1" applyBorder="1" applyAlignment="1">
      <alignment horizontal="center"/>
    </xf>
    <xf numFmtId="2" fontId="44" fillId="0" borderId="20" xfId="0" applyNumberFormat="1" applyFont="1" applyFill="1" applyBorder="1" applyAlignment="1">
      <alignment horizontal="right"/>
    </xf>
    <xf numFmtId="165" fontId="64" fillId="57" borderId="20" xfId="0" applyNumberFormat="1" applyFont="1" applyFill="1" applyBorder="1" applyAlignment="1">
      <alignment horizontal="center"/>
    </xf>
    <xf numFmtId="2" fontId="65" fillId="57" borderId="21" xfId="1" applyNumberFormat="1" applyFont="1" applyFill="1" applyBorder="1" applyAlignment="1">
      <alignment horizontal="center"/>
    </xf>
    <xf numFmtId="2" fontId="44" fillId="0" borderId="26" xfId="0" applyNumberFormat="1" applyFont="1" applyFill="1" applyBorder="1" applyAlignment="1">
      <alignment horizontal="center"/>
    </xf>
    <xf numFmtId="2" fontId="40" fillId="57" borderId="27" xfId="1" applyNumberFormat="1" applyFont="1" applyFill="1" applyBorder="1" applyAlignment="1">
      <alignment horizontal="center"/>
    </xf>
    <xf numFmtId="2" fontId="44" fillId="0" borderId="22" xfId="0" applyNumberFormat="1" applyFont="1" applyFill="1" applyBorder="1" applyAlignment="1">
      <alignment horizontal="center"/>
    </xf>
    <xf numFmtId="2" fontId="0" fillId="0" borderId="23" xfId="0" applyNumberFormat="1" applyFill="1" applyBorder="1" applyAlignment="1">
      <alignment horizontal="center"/>
    </xf>
    <xf numFmtId="2" fontId="17" fillId="0" borderId="23" xfId="0" applyNumberFormat="1" applyFont="1" applyFill="1" applyBorder="1" applyAlignment="1">
      <alignment horizontal="right"/>
    </xf>
    <xf numFmtId="0" fontId="50" fillId="0" borderId="23" xfId="0" applyFont="1" applyFill="1" applyBorder="1" applyAlignment="1">
      <alignment horizontal="right"/>
    </xf>
    <xf numFmtId="165" fontId="50" fillId="59" borderId="23" xfId="0" applyNumberFormat="1" applyFont="1" applyFill="1" applyBorder="1" applyAlignment="1">
      <alignment horizontal="center"/>
    </xf>
    <xf numFmtId="2" fontId="51" fillId="59" borderId="23" xfId="1" applyNumberFormat="1" applyFont="1" applyFill="1" applyBorder="1" applyAlignment="1">
      <alignment horizontal="center"/>
    </xf>
    <xf numFmtId="2" fontId="44" fillId="0" borderId="23" xfId="0" applyNumberFormat="1" applyFont="1" applyFill="1" applyBorder="1" applyAlignment="1">
      <alignment horizontal="center"/>
    </xf>
    <xf numFmtId="165" fontId="50" fillId="57" borderId="23" xfId="0" applyNumberFormat="1" applyFont="1" applyFill="1" applyBorder="1" applyAlignment="1">
      <alignment horizontal="center"/>
    </xf>
    <xf numFmtId="2" fontId="51" fillId="57" borderId="24" xfId="1" applyNumberFormat="1" applyFont="1" applyFill="1" applyBorder="1" applyAlignment="1">
      <alignment horizontal="center"/>
    </xf>
    <xf numFmtId="165" fontId="52" fillId="59" borderId="0" xfId="0" applyNumberFormat="1" applyFont="1" applyFill="1" applyBorder="1" applyAlignment="1">
      <alignment horizontal="center"/>
    </xf>
    <xf numFmtId="2" fontId="52" fillId="0" borderId="19" xfId="0" applyNumberFormat="1" applyFont="1" applyFill="1" applyBorder="1" applyAlignment="1">
      <alignment horizontal="right"/>
    </xf>
    <xf numFmtId="0" fontId="52" fillId="0" borderId="0" xfId="0" applyFont="1" applyFill="1" applyBorder="1" applyAlignment="1">
      <alignment horizontal="right"/>
    </xf>
    <xf numFmtId="0" fontId="48" fillId="63" borderId="25" xfId="0" applyFont="1" applyFill="1" applyBorder="1" applyAlignment="1">
      <alignment horizontal="center" wrapText="1"/>
    </xf>
    <xf numFmtId="2" fontId="48" fillId="63" borderId="0" xfId="0" applyNumberFormat="1" applyFont="1" applyFill="1" applyBorder="1" applyAlignment="1">
      <alignment horizontal="center" wrapText="1"/>
    </xf>
    <xf numFmtId="1" fontId="17" fillId="0" borderId="0" xfId="0" applyNumberFormat="1" applyFont="1" applyFill="1" applyBorder="1" applyAlignment="1">
      <alignment horizontal="center"/>
    </xf>
    <xf numFmtId="164" fontId="39" fillId="0" borderId="0" xfId="90" applyNumberFormat="1" applyFont="1" applyAlignment="1">
      <alignment horizontal="center" wrapText="1"/>
    </xf>
    <xf numFmtId="2" fontId="39" fillId="0" borderId="0" xfId="90" applyNumberFormat="1" applyFont="1" applyAlignment="1">
      <alignment horizontal="center" wrapText="1"/>
    </xf>
    <xf numFmtId="0" fontId="0" fillId="0" borderId="0" xfId="0" applyAlignment="1">
      <alignment wrapText="1"/>
    </xf>
    <xf numFmtId="2" fontId="20" fillId="0" borderId="0" xfId="90" applyNumberFormat="1" applyFill="1" applyAlignment="1">
      <alignment horizontal="center"/>
    </xf>
    <xf numFmtId="164" fontId="20" fillId="0" borderId="0" xfId="90" applyNumberFormat="1" applyBorder="1" applyAlignment="1">
      <alignment horizontal="center"/>
    </xf>
    <xf numFmtId="0" fontId="17" fillId="0" borderId="0" xfId="0" applyFont="1" applyAlignment="1">
      <alignment horizontal="center" wrapText="1"/>
    </xf>
    <xf numFmtId="0" fontId="39" fillId="0" borderId="25" xfId="90" applyFont="1" applyBorder="1" applyAlignment="1">
      <alignment horizontal="center"/>
    </xf>
    <xf numFmtId="164" fontId="43" fillId="0" borderId="25" xfId="90" applyNumberFormat="1" applyFont="1" applyFill="1" applyBorder="1" applyAlignment="1">
      <alignment horizontal="center"/>
    </xf>
    <xf numFmtId="165" fontId="43" fillId="0" borderId="25" xfId="90" applyNumberFormat="1" applyFont="1" applyFill="1" applyBorder="1" applyAlignment="1">
      <alignment horizontal="center"/>
    </xf>
    <xf numFmtId="0" fontId="17" fillId="0" borderId="25" xfId="0" applyFont="1" applyFill="1" applyBorder="1" applyAlignment="1">
      <alignment horizontal="right"/>
    </xf>
    <xf numFmtId="1" fontId="0" fillId="0" borderId="25" xfId="0" applyNumberFormat="1" applyFill="1" applyBorder="1" applyAlignment="1">
      <alignment horizontal="center"/>
    </xf>
    <xf numFmtId="1" fontId="44" fillId="0" borderId="25" xfId="0" applyNumberFormat="1" applyFont="1" applyBorder="1" applyAlignment="1">
      <alignment horizontal="center"/>
    </xf>
    <xf numFmtId="1" fontId="0" fillId="0" borderId="25" xfId="0" applyNumberFormat="1" applyBorder="1" applyAlignment="1">
      <alignment horizontal="center"/>
    </xf>
    <xf numFmtId="1" fontId="0" fillId="0" borderId="25" xfId="0" applyNumberFormat="1" applyFont="1" applyFill="1" applyBorder="1" applyAlignment="1">
      <alignment horizontal="center"/>
    </xf>
    <xf numFmtId="1" fontId="44" fillId="0" borderId="25" xfId="0" applyNumberFormat="1" applyFont="1" applyFill="1" applyBorder="1" applyAlignment="1">
      <alignment horizontal="center"/>
    </xf>
    <xf numFmtId="1" fontId="0" fillId="0" borderId="25" xfId="0" applyNumberFormat="1" applyFont="1" applyBorder="1" applyAlignment="1">
      <alignment horizontal="center"/>
    </xf>
    <xf numFmtId="0" fontId="17" fillId="0" borderId="25" xfId="0" applyFont="1" applyFill="1" applyBorder="1" applyAlignment="1">
      <alignment horizontal="center"/>
    </xf>
    <xf numFmtId="0" fontId="49" fillId="0" borderId="0" xfId="90" applyFont="1"/>
    <xf numFmtId="0" fontId="67" fillId="0" borderId="0" xfId="90" applyNumberFormat="1" applyFont="1" applyFill="1" applyBorder="1" applyAlignment="1"/>
    <xf numFmtId="0" fontId="54" fillId="0" borderId="0" xfId="90" applyFont="1"/>
    <xf numFmtId="0" fontId="57" fillId="0" borderId="0" xfId="90" applyNumberFormat="1" applyFont="1" applyFill="1" applyBorder="1" applyAlignment="1"/>
    <xf numFmtId="0" fontId="39" fillId="0" borderId="0" xfId="90" applyFont="1" applyAlignment="1">
      <alignment wrapText="1"/>
    </xf>
    <xf numFmtId="0" fontId="39" fillId="0" borderId="0" xfId="90" applyFont="1" applyAlignment="1">
      <alignment horizontal="center" wrapText="1"/>
    </xf>
    <xf numFmtId="0" fontId="39" fillId="0" borderId="0" xfId="90" applyFont="1" applyAlignment="1">
      <alignment horizontal="center"/>
    </xf>
    <xf numFmtId="0" fontId="20" fillId="0" borderId="0" xfId="90" applyAlignment="1">
      <alignment horizontal="center"/>
    </xf>
    <xf numFmtId="0" fontId="42" fillId="0" borderId="0" xfId="90" applyNumberFormat="1" applyFont="1" applyAlignment="1">
      <alignment horizontal="center"/>
    </xf>
    <xf numFmtId="0" fontId="49" fillId="0" borderId="0" xfId="90" applyFont="1" applyFill="1" applyAlignment="1">
      <alignment horizontal="center"/>
    </xf>
    <xf numFmtId="0" fontId="49" fillId="0" borderId="0" xfId="90" applyFont="1" applyAlignment="1">
      <alignment horizontal="center"/>
    </xf>
    <xf numFmtId="0" fontId="54" fillId="0" borderId="0" xfId="90" applyFont="1" applyFill="1" applyAlignment="1">
      <alignment horizontal="center"/>
    </xf>
    <xf numFmtId="0" fontId="54" fillId="0" borderId="0" xfId="90" applyFont="1" applyAlignment="1">
      <alignment horizontal="center"/>
    </xf>
    <xf numFmtId="0" fontId="57" fillId="0" borderId="0" xfId="90" applyNumberFormat="1" applyFont="1" applyAlignment="1">
      <alignment horizontal="center"/>
    </xf>
    <xf numFmtId="0" fontId="67" fillId="0" borderId="0" xfId="90" applyNumberFormat="1" applyFont="1" applyAlignment="1">
      <alignment horizontal="center"/>
    </xf>
    <xf numFmtId="2" fontId="20" fillId="0" borderId="0" xfId="90" applyNumberFormat="1" applyAlignment="1">
      <alignment horizontal="center"/>
    </xf>
    <xf numFmtId="164" fontId="41" fillId="0" borderId="0" xfId="38" applyNumberFormat="1" applyFont="1" applyFill="1" applyBorder="1" applyAlignment="1">
      <alignment horizontal="center" wrapText="1"/>
    </xf>
    <xf numFmtId="164" fontId="53" fillId="0" borderId="0" xfId="38" applyNumberFormat="1" applyFont="1" applyFill="1" applyBorder="1" applyAlignment="1">
      <alignment horizontal="center" wrapText="1"/>
    </xf>
    <xf numFmtId="164" fontId="49" fillId="0" borderId="0" xfId="90" applyNumberFormat="1" applyFont="1" applyAlignment="1">
      <alignment horizontal="center"/>
    </xf>
    <xf numFmtId="2" fontId="49" fillId="0" borderId="0" xfId="90" applyNumberFormat="1" applyFont="1" applyAlignment="1">
      <alignment horizontal="center"/>
    </xf>
    <xf numFmtId="164" fontId="56" fillId="0" borderId="0" xfId="38" applyNumberFormat="1" applyFont="1" applyFill="1" applyBorder="1" applyAlignment="1">
      <alignment horizontal="center" wrapText="1"/>
    </xf>
    <xf numFmtId="164" fontId="54" fillId="0" borderId="0" xfId="90" applyNumberFormat="1" applyFont="1" applyAlignment="1">
      <alignment horizontal="center"/>
    </xf>
    <xf numFmtId="2" fontId="54" fillId="0" borderId="0" xfId="90" applyNumberFormat="1" applyFont="1" applyAlignment="1">
      <alignment horizontal="center"/>
    </xf>
    <xf numFmtId="164" fontId="20" fillId="0" borderId="0" xfId="90" applyNumberFormat="1" applyAlignment="1">
      <alignment horizontal="center"/>
    </xf>
    <xf numFmtId="0" fontId="20" fillId="0" borderId="0" xfId="90" applyAlignment="1">
      <alignment horizontal="left"/>
    </xf>
    <xf numFmtId="0" fontId="39" fillId="0" borderId="25" xfId="90" applyFont="1" applyBorder="1"/>
    <xf numFmtId="0" fontId="39" fillId="59" borderId="25" xfId="90" applyFont="1" applyFill="1" applyBorder="1" applyAlignment="1">
      <alignment horizontal="center"/>
    </xf>
    <xf numFmtId="0" fontId="39" fillId="61" borderId="25" xfId="90" applyFont="1" applyFill="1" applyBorder="1" applyAlignment="1">
      <alignment horizontal="center"/>
    </xf>
    <xf numFmtId="0" fontId="39" fillId="0" borderId="25" xfId="90" applyFont="1" applyBorder="1" applyAlignment="1">
      <alignment horizontal="left" wrapText="1"/>
    </xf>
    <xf numFmtId="164" fontId="19" fillId="0" borderId="0" xfId="90" applyNumberFormat="1" applyFont="1" applyAlignment="1">
      <alignment horizontal="left"/>
    </xf>
    <xf numFmtId="164" fontId="19" fillId="0" borderId="0" xfId="90" applyNumberFormat="1" applyFont="1" applyFill="1" applyAlignment="1">
      <alignment horizontal="left"/>
    </xf>
    <xf numFmtId="165" fontId="19" fillId="0" borderId="0" xfId="90" applyNumberFormat="1" applyFont="1" applyAlignment="1">
      <alignment horizontal="left"/>
    </xf>
    <xf numFmtId="164" fontId="49" fillId="0" borderId="0" xfId="90" applyNumberFormat="1" applyFont="1" applyBorder="1" applyAlignment="1">
      <alignment horizontal="center"/>
    </xf>
    <xf numFmtId="164" fontId="54" fillId="0" borderId="0" xfId="90" applyNumberFormat="1" applyFont="1" applyBorder="1" applyAlignment="1">
      <alignment horizontal="center"/>
    </xf>
    <xf numFmtId="164" fontId="20" fillId="0" borderId="0" xfId="90" applyNumberFormat="1" applyFont="1" applyBorder="1" applyAlignment="1">
      <alignment horizontal="center"/>
    </xf>
    <xf numFmtId="164" fontId="49" fillId="0" borderId="0" xfId="90" applyNumberFormat="1" applyFont="1" applyFill="1" applyBorder="1" applyAlignment="1">
      <alignment horizontal="center"/>
    </xf>
    <xf numFmtId="164" fontId="54" fillId="0" borderId="0" xfId="90" applyNumberFormat="1" applyFont="1" applyFill="1" applyBorder="1" applyAlignment="1">
      <alignment horizontal="center"/>
    </xf>
    <xf numFmtId="164" fontId="20" fillId="0" borderId="0" xfId="90" applyNumberFormat="1" applyFont="1" applyFill="1" applyBorder="1" applyAlignment="1">
      <alignment horizontal="center"/>
    </xf>
    <xf numFmtId="164" fontId="49" fillId="0" borderId="23" xfId="90" applyNumberFormat="1" applyFont="1" applyBorder="1" applyAlignment="1">
      <alignment horizontal="center"/>
    </xf>
    <xf numFmtId="0" fontId="20" fillId="0" borderId="25" xfId="90" applyBorder="1"/>
    <xf numFmtId="0" fontId="60" fillId="0" borderId="25" xfId="0" applyFont="1" applyFill="1" applyBorder="1" applyAlignment="1">
      <alignment horizontal="center" wrapText="1"/>
    </xf>
    <xf numFmtId="0" fontId="68" fillId="59" borderId="25" xfId="90" applyFont="1" applyFill="1" applyBorder="1" applyAlignment="1">
      <alignment horizontal="center" wrapText="1"/>
    </xf>
    <xf numFmtId="0" fontId="68" fillId="61" borderId="25" xfId="90" applyFont="1" applyFill="1" applyBorder="1" applyAlignment="1">
      <alignment horizontal="center" wrapText="1"/>
    </xf>
    <xf numFmtId="0" fontId="68" fillId="0" borderId="25" xfId="90" applyFont="1" applyBorder="1" applyAlignment="1">
      <alignment horizontal="center" wrapText="1"/>
    </xf>
    <xf numFmtId="0" fontId="20" fillId="0" borderId="25" xfId="90" applyBorder="1" applyAlignment="1">
      <alignment horizontal="center"/>
    </xf>
    <xf numFmtId="0" fontId="17" fillId="0" borderId="34" xfId="0" applyFont="1" applyFill="1" applyBorder="1" applyAlignment="1">
      <alignment horizontal="right"/>
    </xf>
    <xf numFmtId="0" fontId="20" fillId="0" borderId="34" xfId="90" applyBorder="1"/>
    <xf numFmtId="2" fontId="49" fillId="59" borderId="0" xfId="90" applyNumberFormat="1" applyFont="1" applyFill="1" applyAlignment="1">
      <alignment horizontal="center"/>
    </xf>
    <xf numFmtId="2" fontId="54" fillId="59" borderId="0" xfId="90" applyNumberFormat="1" applyFont="1" applyFill="1" applyAlignment="1">
      <alignment horizontal="center"/>
    </xf>
    <xf numFmtId="2" fontId="20" fillId="59" borderId="0" xfId="90" applyNumberFormat="1" applyFill="1" applyAlignment="1">
      <alignment horizontal="center"/>
    </xf>
    <xf numFmtId="2" fontId="54" fillId="61" borderId="0" xfId="90" applyNumberFormat="1" applyFont="1" applyFill="1" applyAlignment="1">
      <alignment horizontal="center"/>
    </xf>
    <xf numFmtId="2" fontId="20" fillId="61" borderId="0" xfId="90" applyNumberFormat="1" applyFill="1" applyAlignment="1">
      <alignment horizontal="center"/>
    </xf>
    <xf numFmtId="0" fontId="19" fillId="0" borderId="0" xfId="90" applyFont="1" applyAlignment="1">
      <alignment horizontal="left"/>
    </xf>
    <xf numFmtId="0" fontId="39" fillId="55" borderId="34" xfId="90" applyFont="1" applyFill="1" applyBorder="1" applyAlignment="1">
      <alignment horizontal="center" wrapText="1"/>
    </xf>
    <xf numFmtId="0" fontId="17" fillId="55" borderId="34" xfId="0" applyFont="1" applyFill="1" applyBorder="1" applyAlignment="1">
      <alignment horizontal="center" wrapText="1"/>
    </xf>
    <xf numFmtId="0" fontId="39" fillId="0" borderId="34" xfId="90" applyFont="1" applyBorder="1" applyAlignment="1">
      <alignment horizontal="center" wrapText="1"/>
    </xf>
    <xf numFmtId="0" fontId="39" fillId="59" borderId="34" xfId="90" applyFont="1" applyFill="1" applyBorder="1" applyAlignment="1">
      <alignment horizontal="center" wrapText="1"/>
    </xf>
    <xf numFmtId="0" fontId="39" fillId="61" borderId="34" xfId="90" applyFont="1" applyFill="1" applyBorder="1" applyAlignment="1">
      <alignment horizontal="center" wrapText="1"/>
    </xf>
    <xf numFmtId="0" fontId="39" fillId="0" borderId="25" xfId="90" applyFont="1" applyBorder="1" applyAlignment="1">
      <alignment horizontal="center" wrapText="1"/>
    </xf>
    <xf numFmtId="0" fontId="39" fillId="0" borderId="25" xfId="90" applyFont="1" applyBorder="1" applyAlignment="1">
      <alignment wrapText="1"/>
    </xf>
    <xf numFmtId="164" fontId="70" fillId="0" borderId="0" xfId="90" applyNumberFormat="1" applyFont="1" applyAlignment="1">
      <alignment horizontal="center"/>
    </xf>
    <xf numFmtId="0" fontId="59" fillId="0" borderId="34" xfId="0" applyFont="1" applyFill="1" applyBorder="1" applyAlignment="1">
      <alignment horizontal="center"/>
    </xf>
    <xf numFmtId="0" fontId="60" fillId="0" borderId="34" xfId="0" applyFont="1" applyFill="1" applyBorder="1" applyAlignment="1">
      <alignment horizontal="center"/>
    </xf>
    <xf numFmtId="164" fontId="19" fillId="0" borderId="0" xfId="90" applyNumberFormat="1" applyFont="1" applyAlignment="1">
      <alignment horizontal="center"/>
    </xf>
    <xf numFmtId="0" fontId="19" fillId="0" borderId="0" xfId="90" applyFont="1"/>
    <xf numFmtId="0" fontId="60" fillId="0" borderId="34" xfId="0" applyFont="1" applyFill="1" applyBorder="1" applyAlignment="1">
      <alignment horizontal="center" wrapText="1"/>
    </xf>
    <xf numFmtId="2" fontId="17" fillId="58" borderId="34" xfId="0" applyNumberFormat="1" applyFont="1" applyFill="1" applyBorder="1" applyAlignment="1">
      <alignment horizontal="center"/>
    </xf>
    <xf numFmtId="2" fontId="60" fillId="0" borderId="0" xfId="0" applyNumberFormat="1" applyFont="1" applyFill="1" applyBorder="1" applyAlignment="1">
      <alignment horizontal="center"/>
    </xf>
    <xf numFmtId="0" fontId="39" fillId="56" borderId="34" xfId="90" applyFont="1" applyFill="1" applyBorder="1" applyAlignment="1">
      <alignment horizontal="center" wrapText="1"/>
    </xf>
    <xf numFmtId="2" fontId="49" fillId="0" borderId="0" xfId="90" applyNumberFormat="1" applyFont="1" applyFill="1" applyAlignment="1">
      <alignment horizontal="center"/>
    </xf>
    <xf numFmtId="2" fontId="54" fillId="0" borderId="0" xfId="90" applyNumberFormat="1" applyFont="1" applyFill="1" applyAlignment="1">
      <alignment horizontal="center"/>
    </xf>
    <xf numFmtId="2" fontId="19" fillId="0" borderId="0" xfId="90" applyNumberFormat="1" applyFont="1" applyAlignment="1">
      <alignment horizontal="center"/>
    </xf>
    <xf numFmtId="164" fontId="19" fillId="0" borderId="0" xfId="90" applyNumberFormat="1" applyFont="1" applyBorder="1" applyAlignment="1">
      <alignment horizontal="center"/>
    </xf>
    <xf numFmtId="0" fontId="68" fillId="0" borderId="31" xfId="90" applyFont="1" applyFill="1" applyBorder="1" applyAlignment="1">
      <alignment horizontal="center"/>
    </xf>
    <xf numFmtId="0" fontId="60" fillId="0" borderId="25" xfId="0" applyFont="1" applyFill="1" applyBorder="1" applyAlignment="1">
      <alignment horizontal="center"/>
    </xf>
    <xf numFmtId="0" fontId="68" fillId="0" borderId="25" xfId="90" applyFont="1" applyFill="1" applyBorder="1" applyAlignment="1">
      <alignment horizontal="center"/>
    </xf>
    <xf numFmtId="0" fontId="60" fillId="0" borderId="32" xfId="0" applyFont="1" applyFill="1" applyBorder="1" applyAlignment="1">
      <alignment horizontal="center"/>
    </xf>
    <xf numFmtId="0" fontId="19" fillId="0" borderId="31" xfId="90" applyFont="1" applyFill="1" applyBorder="1" applyAlignment="1">
      <alignment horizontal="center"/>
    </xf>
    <xf numFmtId="0" fontId="19" fillId="0" borderId="25" xfId="90" applyFont="1" applyFill="1" applyBorder="1" applyAlignment="1">
      <alignment horizontal="center"/>
    </xf>
    <xf numFmtId="0" fontId="0" fillId="0" borderId="32" xfId="0" applyFont="1" applyFill="1" applyBorder="1" applyAlignment="1">
      <alignment horizontal="center"/>
    </xf>
    <xf numFmtId="0" fontId="50" fillId="0" borderId="0" xfId="0" applyFont="1" applyAlignment="1">
      <alignment horizontal="right"/>
    </xf>
    <xf numFmtId="2" fontId="0" fillId="0" borderId="19" xfId="0" applyNumberFormat="1" applyFill="1" applyBorder="1" applyAlignment="1">
      <alignment horizontal="center"/>
    </xf>
    <xf numFmtId="2" fontId="0" fillId="0" borderId="21" xfId="0" applyNumberFormat="1" applyFill="1" applyBorder="1" applyAlignment="1">
      <alignment horizontal="center"/>
    </xf>
    <xf numFmtId="2" fontId="0" fillId="0" borderId="26" xfId="0" applyNumberFormat="1" applyFill="1" applyBorder="1" applyAlignment="1">
      <alignment horizontal="center"/>
    </xf>
    <xf numFmtId="2" fontId="0" fillId="0" borderId="27" xfId="0" applyNumberFormat="1" applyFill="1" applyBorder="1" applyAlignment="1">
      <alignment horizontal="center"/>
    </xf>
    <xf numFmtId="0" fontId="60" fillId="0" borderId="0" xfId="0" applyFont="1" applyFill="1" applyBorder="1" applyAlignment="1">
      <alignment horizontal="right"/>
    </xf>
    <xf numFmtId="2" fontId="44" fillId="0" borderId="0" xfId="0" applyNumberFormat="1" applyFont="1" applyFill="1" applyBorder="1" applyAlignment="1">
      <alignment horizontal="left"/>
    </xf>
    <xf numFmtId="2" fontId="0" fillId="0" borderId="22" xfId="0" applyNumberFormat="1" applyFill="1" applyBorder="1" applyAlignment="1">
      <alignment horizontal="center"/>
    </xf>
    <xf numFmtId="0" fontId="60" fillId="0" borderId="23" xfId="0" applyFont="1" applyFill="1" applyBorder="1" applyAlignment="1">
      <alignment horizontal="right"/>
    </xf>
    <xf numFmtId="2" fontId="44" fillId="0" borderId="23" xfId="0" applyNumberFormat="1" applyFont="1" applyFill="1" applyBorder="1" applyAlignment="1">
      <alignment horizontal="left"/>
    </xf>
    <xf numFmtId="2" fontId="0" fillId="0" borderId="24" xfId="0" applyNumberFormat="1" applyFill="1" applyBorder="1" applyAlignment="1">
      <alignment horizontal="center"/>
    </xf>
    <xf numFmtId="2" fontId="45" fillId="0" borderId="20" xfId="0" applyNumberFormat="1" applyFont="1" applyFill="1" applyBorder="1" applyAlignment="1">
      <alignment horizontal="right"/>
    </xf>
    <xf numFmtId="0" fontId="17" fillId="0" borderId="20" xfId="0" applyFont="1" applyFill="1" applyBorder="1" applyAlignment="1">
      <alignment horizontal="center"/>
    </xf>
    <xf numFmtId="2" fontId="45" fillId="0" borderId="20" xfId="0" applyNumberFormat="1" applyFont="1" applyFill="1" applyBorder="1" applyAlignment="1">
      <alignment horizontal="center"/>
    </xf>
    <xf numFmtId="2" fontId="44" fillId="64" borderId="0" xfId="0" applyNumberFormat="1" applyFont="1" applyFill="1" applyBorder="1" applyAlignment="1">
      <alignment horizontal="center"/>
    </xf>
    <xf numFmtId="2" fontId="44" fillId="64" borderId="23" xfId="0" applyNumberFormat="1" applyFont="1" applyFill="1" applyBorder="1" applyAlignment="1">
      <alignment horizontal="center"/>
    </xf>
    <xf numFmtId="0" fontId="59" fillId="0" borderId="0" xfId="0" applyFont="1"/>
    <xf numFmtId="49" fontId="19" fillId="0" borderId="0" xfId="90" applyNumberFormat="1" applyFont="1" applyAlignment="1">
      <alignment horizontal="left"/>
    </xf>
    <xf numFmtId="2" fontId="52" fillId="0" borderId="0" xfId="0" applyNumberFormat="1" applyFont="1" applyFill="1" applyBorder="1" applyAlignment="1">
      <alignment horizontal="center"/>
    </xf>
    <xf numFmtId="2" fontId="55" fillId="0" borderId="0" xfId="0" applyNumberFormat="1" applyFont="1" applyFill="1" applyBorder="1" applyAlignment="1">
      <alignment horizontal="center"/>
    </xf>
    <xf numFmtId="0" fontId="73" fillId="0" borderId="0" xfId="0" applyFont="1" applyAlignment="1">
      <alignment horizontal="center" vertical="center"/>
    </xf>
    <xf numFmtId="0" fontId="44" fillId="0" borderId="31" xfId="90" applyFont="1" applyFill="1" applyBorder="1" applyAlignment="1">
      <alignment horizontal="center" wrapText="1"/>
    </xf>
    <xf numFmtId="0" fontId="44" fillId="0" borderId="25" xfId="90" applyFont="1" applyFill="1" applyBorder="1" applyAlignment="1">
      <alignment horizontal="center" wrapText="1"/>
    </xf>
    <xf numFmtId="0" fontId="44" fillId="0" borderId="32" xfId="90" applyFont="1" applyFill="1" applyBorder="1" applyAlignment="1">
      <alignment horizontal="center" wrapText="1"/>
    </xf>
    <xf numFmtId="0" fontId="45" fillId="0" borderId="35" xfId="90" applyFont="1" applyFill="1" applyBorder="1" applyAlignment="1">
      <alignment horizontal="center" wrapText="1"/>
    </xf>
    <xf numFmtId="0" fontId="45" fillId="0" borderId="34" xfId="90" applyFont="1" applyFill="1" applyBorder="1" applyAlignment="1">
      <alignment horizontal="center" wrapText="1"/>
    </xf>
    <xf numFmtId="0" fontId="45" fillId="0" borderId="33" xfId="90" applyFont="1" applyFill="1" applyBorder="1" applyAlignment="1">
      <alignment horizontal="center" wrapText="1"/>
    </xf>
    <xf numFmtId="0" fontId="17" fillId="0" borderId="0" xfId="0" applyFont="1" applyFill="1" applyAlignment="1">
      <alignment horizontal="center" wrapText="1"/>
    </xf>
    <xf numFmtId="0" fontId="19" fillId="0" borderId="0" xfId="90" applyFont="1" applyAlignment="1">
      <alignment horizontal="center"/>
    </xf>
    <xf numFmtId="0" fontId="20" fillId="0" borderId="0" xfId="90" applyFont="1" applyAlignment="1">
      <alignment horizontal="center"/>
    </xf>
    <xf numFmtId="0" fontId="20" fillId="0" borderId="0" xfId="90" applyFont="1" applyBorder="1" applyAlignment="1">
      <alignment horizontal="center"/>
    </xf>
    <xf numFmtId="2" fontId="52" fillId="58" borderId="23" xfId="0" applyNumberFormat="1" applyFont="1" applyFill="1" applyBorder="1" applyAlignment="1">
      <alignment horizontal="center"/>
    </xf>
    <xf numFmtId="2" fontId="70" fillId="0" borderId="0" xfId="90" applyNumberFormat="1" applyFont="1" applyAlignment="1">
      <alignment horizontal="center"/>
    </xf>
    <xf numFmtId="0" fontId="49" fillId="0" borderId="34" xfId="1" applyFont="1" applyBorder="1"/>
    <xf numFmtId="0" fontId="19" fillId="0" borderId="0" xfId="1" applyFont="1" applyBorder="1"/>
    <xf numFmtId="0" fontId="19" fillId="0" borderId="0" xfId="1" applyFont="1" applyFill="1" applyBorder="1"/>
    <xf numFmtId="0" fontId="49" fillId="0" borderId="34" xfId="90" applyFont="1" applyFill="1" applyBorder="1" applyAlignment="1">
      <alignment horizontal="center"/>
    </xf>
    <xf numFmtId="164" fontId="49" fillId="0" borderId="34" xfId="90" applyNumberFormat="1" applyFont="1" applyBorder="1" applyAlignment="1">
      <alignment horizontal="center"/>
    </xf>
    <xf numFmtId="0" fontId="49" fillId="0" borderId="34" xfId="1" applyFont="1" applyBorder="1" applyAlignment="1">
      <alignment horizontal="center"/>
    </xf>
    <xf numFmtId="165" fontId="51" fillId="0" borderId="33" xfId="1" applyNumberFormat="1" applyFont="1" applyFill="1" applyBorder="1" applyAlignment="1">
      <alignment horizontal="center"/>
    </xf>
    <xf numFmtId="165" fontId="51" fillId="0" borderId="34" xfId="1" applyNumberFormat="1" applyFont="1" applyFill="1" applyBorder="1" applyAlignment="1">
      <alignment horizontal="center"/>
    </xf>
    <xf numFmtId="164" fontId="50" fillId="0" borderId="34" xfId="0" applyNumberFormat="1" applyFont="1" applyBorder="1" applyAlignment="1">
      <alignment horizontal="center"/>
    </xf>
    <xf numFmtId="2" fontId="50" fillId="0" borderId="34" xfId="0" applyNumberFormat="1" applyFont="1" applyBorder="1" applyAlignment="1">
      <alignment horizontal="center"/>
    </xf>
    <xf numFmtId="2" fontId="58" fillId="0" borderId="34" xfId="0" applyNumberFormat="1" applyFont="1" applyFill="1" applyBorder="1" applyAlignment="1">
      <alignment horizontal="center"/>
    </xf>
    <xf numFmtId="2" fontId="58" fillId="58" borderId="34" xfId="0" applyNumberFormat="1" applyFont="1" applyFill="1" applyBorder="1" applyAlignment="1">
      <alignment horizontal="center"/>
    </xf>
    <xf numFmtId="2" fontId="50" fillId="58" borderId="34" xfId="0" applyNumberFormat="1" applyFont="1" applyFill="1" applyBorder="1" applyAlignment="1">
      <alignment horizontal="center"/>
    </xf>
    <xf numFmtId="165" fontId="51" fillId="60" borderId="34" xfId="1" applyNumberFormat="1" applyFont="1" applyFill="1" applyBorder="1" applyAlignment="1">
      <alignment horizontal="center"/>
    </xf>
    <xf numFmtId="165" fontId="51" fillId="59" borderId="35" xfId="1" applyNumberFormat="1" applyFont="1" applyFill="1" applyBorder="1" applyAlignment="1">
      <alignment horizontal="center"/>
    </xf>
    <xf numFmtId="2" fontId="51" fillId="59" borderId="33" xfId="1" applyNumberFormat="1" applyFont="1" applyFill="1" applyBorder="1" applyAlignment="1">
      <alignment horizontal="center"/>
    </xf>
    <xf numFmtId="2" fontId="52" fillId="0" borderId="34" xfId="0" applyNumberFormat="1" applyFont="1" applyFill="1" applyBorder="1" applyAlignment="1">
      <alignment horizontal="center"/>
    </xf>
    <xf numFmtId="2" fontId="50" fillId="0" borderId="34" xfId="0" applyNumberFormat="1" applyFont="1" applyFill="1" applyBorder="1" applyAlignment="1">
      <alignment horizontal="center"/>
    </xf>
    <xf numFmtId="165" fontId="51" fillId="57" borderId="35" xfId="1" applyNumberFormat="1" applyFont="1" applyFill="1" applyBorder="1" applyAlignment="1">
      <alignment horizontal="center"/>
    </xf>
    <xf numFmtId="2" fontId="50" fillId="57" borderId="33" xfId="0" applyNumberFormat="1" applyFont="1" applyFill="1" applyBorder="1" applyAlignment="1">
      <alignment horizontal="center"/>
    </xf>
    <xf numFmtId="0" fontId="39" fillId="0" borderId="30" xfId="129" applyFont="1" applyBorder="1" applyAlignment="1">
      <alignment horizontal="center" wrapText="1"/>
    </xf>
    <xf numFmtId="0" fontId="49" fillId="0" borderId="35" xfId="129" applyFont="1" applyBorder="1" applyAlignment="1">
      <alignment horizontal="center"/>
    </xf>
    <xf numFmtId="0" fontId="49" fillId="0" borderId="26" xfId="129" applyFont="1" applyBorder="1" applyAlignment="1">
      <alignment horizontal="center"/>
    </xf>
    <xf numFmtId="0" fontId="54" fillId="0" borderId="26" xfId="129" applyFont="1" applyBorder="1" applyAlignment="1">
      <alignment horizontal="center"/>
    </xf>
    <xf numFmtId="0" fontId="19" fillId="0" borderId="26" xfId="129" applyFont="1" applyBorder="1" applyAlignment="1">
      <alignment horizontal="center"/>
    </xf>
    <xf numFmtId="0" fontId="49" fillId="0" borderId="26" xfId="129" applyFont="1" applyFill="1" applyBorder="1" applyAlignment="1">
      <alignment horizontal="center"/>
    </xf>
    <xf numFmtId="0" fontId="54" fillId="0" borderId="26" xfId="129" applyFont="1" applyFill="1" applyBorder="1" applyAlignment="1">
      <alignment horizontal="center"/>
    </xf>
    <xf numFmtId="0" fontId="19" fillId="0" borderId="26" xfId="129" applyFont="1" applyFill="1" applyBorder="1" applyAlignment="1">
      <alignment horizontal="center"/>
    </xf>
    <xf numFmtId="0" fontId="49" fillId="0" borderId="22" xfId="129" applyFont="1" applyBorder="1" applyAlignment="1">
      <alignment horizontal="center"/>
    </xf>
    <xf numFmtId="0" fontId="19" fillId="0" borderId="0" xfId="129" applyFont="1" applyFill="1" applyBorder="1" applyAlignment="1">
      <alignment horizontal="center"/>
    </xf>
    <xf numFmtId="0" fontId="39" fillId="0" borderId="0" xfId="129" applyFont="1" applyFill="1" applyBorder="1" applyAlignment="1">
      <alignment horizontal="left"/>
    </xf>
    <xf numFmtId="0" fontId="55" fillId="0" borderId="19" xfId="0" applyFont="1" applyFill="1" applyBorder="1" applyAlignment="1">
      <alignment horizontal="center"/>
    </xf>
    <xf numFmtId="0" fontId="50" fillId="0" borderId="26" xfId="0" applyFont="1" applyFill="1" applyBorder="1" applyAlignment="1">
      <alignment horizontal="center"/>
    </xf>
    <xf numFmtId="0" fontId="50" fillId="0" borderId="22" xfId="0" applyFont="1" applyFill="1" applyBorder="1" applyAlignment="1">
      <alignment horizontal="center"/>
    </xf>
    <xf numFmtId="165" fontId="52" fillId="57" borderId="0" xfId="0" applyNumberFormat="1" applyFont="1" applyFill="1" applyBorder="1" applyAlignment="1">
      <alignment horizontal="center"/>
    </xf>
    <xf numFmtId="2" fontId="51" fillId="57" borderId="27" xfId="1" applyNumberFormat="1" applyFont="1" applyFill="1" applyBorder="1" applyAlignment="1">
      <alignment horizontal="center"/>
    </xf>
    <xf numFmtId="0" fontId="49" fillId="0" borderId="0" xfId="129" applyFont="1" applyAlignment="1">
      <alignment horizontal="center"/>
    </xf>
    <xf numFmtId="0" fontId="19" fillId="0" borderId="0" xfId="129"/>
    <xf numFmtId="0" fontId="19" fillId="0" borderId="0" xfId="129" applyBorder="1"/>
    <xf numFmtId="0" fontId="39" fillId="0" borderId="31" xfId="129" applyFont="1" applyBorder="1" applyAlignment="1">
      <alignment horizontal="center" wrapText="1"/>
    </xf>
    <xf numFmtId="0" fontId="39" fillId="0" borderId="34" xfId="129" applyFont="1" applyBorder="1"/>
    <xf numFmtId="0" fontId="19" fillId="0" borderId="0" xfId="129" applyFont="1" applyAlignment="1">
      <alignment horizontal="center"/>
    </xf>
    <xf numFmtId="0" fontId="54" fillId="0" borderId="0" xfId="129" applyFont="1" applyAlignment="1">
      <alignment horizontal="center"/>
    </xf>
    <xf numFmtId="164" fontId="44" fillId="0" borderId="26" xfId="90" applyNumberFormat="1" applyFont="1" applyFill="1" applyBorder="1" applyAlignment="1">
      <alignment horizontal="center"/>
    </xf>
    <xf numFmtId="164" fontId="44" fillId="0" borderId="0" xfId="90" applyNumberFormat="1" applyFont="1" applyFill="1" applyBorder="1" applyAlignment="1">
      <alignment horizontal="center"/>
    </xf>
    <xf numFmtId="164" fontId="2" fillId="0" borderId="0" xfId="44" applyNumberFormat="1" applyFont="1" applyFill="1" applyBorder="1" applyAlignment="1">
      <alignment horizontal="center"/>
    </xf>
    <xf numFmtId="164" fontId="2" fillId="0" borderId="27" xfId="0" applyNumberFormat="1" applyFont="1" applyBorder="1" applyAlignment="1">
      <alignment horizontal="center"/>
    </xf>
    <xf numFmtId="164" fontId="44" fillId="0" borderId="22" xfId="90" applyNumberFormat="1" applyFont="1" applyFill="1" applyBorder="1" applyAlignment="1">
      <alignment horizontal="center"/>
    </xf>
    <xf numFmtId="164" fontId="44" fillId="0" borderId="23" xfId="90" applyNumberFormat="1" applyFont="1" applyFill="1" applyBorder="1" applyAlignment="1">
      <alignment horizontal="center"/>
    </xf>
    <xf numFmtId="164" fontId="2" fillId="0" borderId="24" xfId="0" applyNumberFormat="1" applyFont="1" applyBorder="1" applyAlignment="1">
      <alignment horizontal="center"/>
    </xf>
    <xf numFmtId="164" fontId="2" fillId="0" borderId="0" xfId="0" applyNumberFormat="1" applyFont="1" applyBorder="1" applyAlignment="1">
      <alignment horizontal="center"/>
    </xf>
    <xf numFmtId="164" fontId="2" fillId="0" borderId="0" xfId="0" applyNumberFormat="1" applyFont="1" applyAlignment="1">
      <alignment horizontal="center"/>
    </xf>
    <xf numFmtId="0" fontId="0" fillId="0" borderId="0" xfId="0" applyFont="1" applyFill="1" applyBorder="1" applyAlignment="1">
      <alignment horizontal="center"/>
    </xf>
    <xf numFmtId="0" fontId="60" fillId="0" borderId="0" xfId="0" applyFont="1" applyFill="1" applyBorder="1" applyAlignment="1">
      <alignment horizontal="center"/>
    </xf>
    <xf numFmtId="0" fontId="44" fillId="0" borderId="0" xfId="90" applyFont="1" applyFill="1" applyBorder="1" applyAlignment="1">
      <alignment horizontal="center" wrapText="1"/>
    </xf>
    <xf numFmtId="0" fontId="45" fillId="0" borderId="0" xfId="90" applyFont="1" applyFill="1" applyBorder="1" applyAlignment="1">
      <alignment horizontal="center" wrapText="1"/>
    </xf>
    <xf numFmtId="164" fontId="19" fillId="0" borderId="0" xfId="90" applyNumberFormat="1" applyFont="1" applyFill="1" applyBorder="1" applyAlignment="1">
      <alignment horizontal="left"/>
    </xf>
    <xf numFmtId="0" fontId="17" fillId="0" borderId="0" xfId="0" applyNumberFormat="1" applyFont="1" applyAlignment="1">
      <alignment horizontal="center"/>
    </xf>
    <xf numFmtId="0" fontId="55" fillId="0" borderId="20" xfId="0" applyFont="1" applyFill="1" applyBorder="1" applyAlignment="1">
      <alignment horizontal="center"/>
    </xf>
    <xf numFmtId="1" fontId="58" fillId="0" borderId="0" xfId="0" applyNumberFormat="1" applyFont="1" applyFill="1" applyBorder="1" applyAlignment="1">
      <alignment horizontal="center"/>
    </xf>
    <xf numFmtId="0" fontId="0" fillId="0" borderId="20" xfId="0" applyFill="1" applyBorder="1" applyAlignment="1">
      <alignment horizontal="center"/>
    </xf>
    <xf numFmtId="2" fontId="45" fillId="58" borderId="34" xfId="0" applyNumberFormat="1" applyFont="1" applyFill="1" applyBorder="1" applyAlignment="1">
      <alignment horizontal="center" wrapText="1"/>
    </xf>
    <xf numFmtId="2" fontId="19" fillId="0" borderId="0" xfId="90" applyNumberFormat="1" applyFont="1" applyFill="1" applyBorder="1" applyAlignment="1">
      <alignment horizontal="center"/>
    </xf>
    <xf numFmtId="1" fontId="19" fillId="0" borderId="0" xfId="90" applyNumberFormat="1" applyFont="1" applyFill="1" applyBorder="1" applyAlignment="1">
      <alignment horizontal="center"/>
    </xf>
    <xf numFmtId="1" fontId="81" fillId="61" borderId="0" xfId="0" applyNumberFormat="1" applyFont="1" applyFill="1" applyAlignment="1">
      <alignment horizontal="center"/>
    </xf>
    <xf numFmtId="2" fontId="81" fillId="0" borderId="0" xfId="0" applyNumberFormat="1" applyFont="1" applyAlignment="1">
      <alignment horizontal="center"/>
    </xf>
    <xf numFmtId="2" fontId="81" fillId="59" borderId="0" xfId="0" applyNumberFormat="1" applyFont="1" applyFill="1" applyAlignment="1">
      <alignment horizontal="center"/>
    </xf>
    <xf numFmtId="2" fontId="81" fillId="61" borderId="0" xfId="0" applyNumberFormat="1" applyFont="1" applyFill="1" applyAlignment="1">
      <alignment horizontal="center"/>
    </xf>
    <xf numFmtId="1" fontId="39" fillId="0" borderId="0" xfId="38" applyNumberFormat="1" applyFont="1" applyFill="1" applyBorder="1" applyAlignment="1">
      <alignment horizontal="center" wrapText="1"/>
    </xf>
    <xf numFmtId="0" fontId="81" fillId="0" borderId="0" xfId="0" applyFont="1"/>
    <xf numFmtId="1" fontId="80" fillId="0" borderId="0" xfId="38" applyNumberFormat="1" applyFont="1" applyFill="1" applyBorder="1" applyAlignment="1">
      <alignment horizontal="center" wrapText="1"/>
    </xf>
    <xf numFmtId="164" fontId="19" fillId="0" borderId="0" xfId="90" applyNumberFormat="1" applyFont="1" applyFill="1" applyBorder="1" applyAlignment="1">
      <alignment horizontal="center"/>
    </xf>
    <xf numFmtId="1" fontId="39" fillId="0" borderId="0" xfId="90" applyNumberFormat="1" applyFont="1" applyFill="1" applyBorder="1" applyAlignment="1">
      <alignment horizontal="center" vertical="top" wrapText="1"/>
    </xf>
    <xf numFmtId="1" fontId="39" fillId="0" borderId="0" xfId="90" applyNumberFormat="1" applyFont="1" applyFill="1" applyBorder="1" applyAlignment="1">
      <alignment horizontal="center"/>
    </xf>
    <xf numFmtId="0" fontId="81" fillId="0" borderId="0" xfId="0" applyFont="1" applyBorder="1"/>
    <xf numFmtId="165" fontId="56" fillId="65" borderId="0" xfId="1" applyNumberFormat="1" applyFont="1" applyFill="1" applyBorder="1" applyAlignment="1">
      <alignment horizontal="center"/>
    </xf>
    <xf numFmtId="165" fontId="56" fillId="65" borderId="0" xfId="1" applyNumberFormat="1" applyFont="1" applyFill="1" applyBorder="1" applyAlignment="1" applyProtection="1">
      <alignment horizontal="center"/>
    </xf>
    <xf numFmtId="165" fontId="56" fillId="62" borderId="0" xfId="1" applyNumberFormat="1" applyFont="1" applyFill="1" applyBorder="1" applyAlignment="1" applyProtection="1">
      <alignment horizontal="center"/>
    </xf>
    <xf numFmtId="2" fontId="50" fillId="58" borderId="34" xfId="0" applyNumberFormat="1" applyFont="1" applyFill="1" applyBorder="1" applyAlignment="1" applyProtection="1">
      <alignment horizontal="center"/>
    </xf>
    <xf numFmtId="2" fontId="50" fillId="58" borderId="0" xfId="0" applyNumberFormat="1" applyFont="1" applyFill="1" applyAlignment="1" applyProtection="1">
      <alignment horizontal="center"/>
    </xf>
    <xf numFmtId="2" fontId="55" fillId="58" borderId="0" xfId="0" applyNumberFormat="1" applyFont="1" applyFill="1" applyAlignment="1" applyProtection="1">
      <alignment horizontal="center"/>
    </xf>
    <xf numFmtId="2" fontId="0" fillId="58" borderId="0" xfId="0" applyNumberFormat="1" applyFill="1" applyAlignment="1" applyProtection="1">
      <alignment horizontal="center"/>
    </xf>
    <xf numFmtId="2" fontId="50" fillId="56" borderId="0" xfId="0" applyNumberFormat="1" applyFont="1" applyFill="1" applyAlignment="1" applyProtection="1">
      <alignment horizontal="center"/>
    </xf>
    <xf numFmtId="2" fontId="50" fillId="58" borderId="23" xfId="0" applyNumberFormat="1" applyFont="1" applyFill="1" applyBorder="1" applyAlignment="1" applyProtection="1">
      <alignment horizontal="center"/>
    </xf>
    <xf numFmtId="2" fontId="66" fillId="0" borderId="0" xfId="0" applyNumberFormat="1" applyFont="1" applyFill="1" applyAlignment="1">
      <alignment horizontal="right"/>
    </xf>
    <xf numFmtId="2" fontId="66" fillId="0" borderId="0" xfId="0" applyNumberFormat="1" applyFont="1" applyFill="1" applyAlignment="1">
      <alignment horizontal="center"/>
    </xf>
    <xf numFmtId="0" fontId="59" fillId="0" borderId="0" xfId="0" applyFont="1" applyAlignment="1">
      <alignment wrapText="1"/>
    </xf>
    <xf numFmtId="0" fontId="0" fillId="0" borderId="0" xfId="0" applyAlignment="1">
      <alignment wrapText="1"/>
    </xf>
    <xf numFmtId="0" fontId="76" fillId="0" borderId="34" xfId="0" applyFont="1" applyBorder="1" applyAlignment="1">
      <alignment horizontal="center"/>
    </xf>
    <xf numFmtId="0" fontId="77" fillId="0" borderId="34" xfId="0" applyFont="1" applyBorder="1" applyAlignment="1">
      <alignment horizontal="center"/>
    </xf>
    <xf numFmtId="0" fontId="59" fillId="0" borderId="25" xfId="0" applyFont="1" applyBorder="1" applyAlignment="1">
      <alignment horizontal="left" vertical="center" wrapText="1"/>
    </xf>
    <xf numFmtId="0" fontId="0" fillId="0" borderId="25" xfId="0" applyBorder="1" applyAlignment="1">
      <alignment horizontal="left" vertical="center" wrapText="1"/>
    </xf>
    <xf numFmtId="0" fontId="59" fillId="0" borderId="36" xfId="0" applyFont="1" applyBorder="1" applyAlignment="1">
      <alignment horizontal="left" vertical="center" wrapText="1"/>
    </xf>
    <xf numFmtId="0" fontId="0" fillId="0" borderId="36" xfId="0" applyBorder="1" applyAlignment="1">
      <alignment horizontal="left" vertical="center" wrapText="1"/>
    </xf>
    <xf numFmtId="165" fontId="39" fillId="59" borderId="30" xfId="1" applyNumberFormat="1" applyFont="1" applyFill="1" applyBorder="1" applyAlignment="1">
      <alignment horizontal="center" wrapText="1"/>
    </xf>
    <xf numFmtId="0" fontId="0" fillId="0" borderId="28" xfId="0" applyBorder="1" applyAlignment="1">
      <alignment horizontal="center" wrapText="1"/>
    </xf>
    <xf numFmtId="165" fontId="39" fillId="57" borderId="30" xfId="1" applyNumberFormat="1" applyFont="1" applyFill="1" applyBorder="1" applyAlignment="1">
      <alignment horizontal="center" wrapText="1"/>
    </xf>
    <xf numFmtId="0" fontId="39" fillId="0" borderId="19" xfId="90" applyFont="1"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cellXfs>
  <cellStyles count="132">
    <cellStyle name="20% - Accent1 2" xfId="63"/>
    <cellStyle name="20% - Accent1 3" xfId="86"/>
    <cellStyle name="20% - Accent1 4" xfId="2"/>
    <cellStyle name="20% - Accent2 2" xfId="67"/>
    <cellStyle name="20% - Accent2 3" xfId="105"/>
    <cellStyle name="20% - Accent2 4" xfId="3"/>
    <cellStyle name="20% - Accent3 2" xfId="71"/>
    <cellStyle name="20% - Accent3 3" xfId="102"/>
    <cellStyle name="20% - Accent3 4" xfId="4"/>
    <cellStyle name="20% - Accent4 2" xfId="75"/>
    <cellStyle name="20% - Accent4 3" xfId="99"/>
    <cellStyle name="20% - Accent4 4" xfId="5"/>
    <cellStyle name="20% - Accent5 2" xfId="79"/>
    <cellStyle name="20% - Accent5 3" xfId="96"/>
    <cellStyle name="20% - Accent5 4" xfId="6"/>
    <cellStyle name="20% - Accent6 2" xfId="83"/>
    <cellStyle name="20% - Accent6 3" xfId="93"/>
    <cellStyle name="20% - Accent6 4" xfId="7"/>
    <cellStyle name="40% - Accent1 2" xfId="64"/>
    <cellStyle name="40% - Accent1 3" xfId="89"/>
    <cellStyle name="40% - Accent1 4" xfId="8"/>
    <cellStyle name="40% - Accent2 2" xfId="68"/>
    <cellStyle name="40% - Accent2 3" xfId="104"/>
    <cellStyle name="40% - Accent2 4" xfId="9"/>
    <cellStyle name="40% - Accent3 2" xfId="72"/>
    <cellStyle name="40% - Accent3 3" xfId="101"/>
    <cellStyle name="40% - Accent3 4" xfId="10"/>
    <cellStyle name="40% - Accent4 2" xfId="76"/>
    <cellStyle name="40% - Accent4 3" xfId="98"/>
    <cellStyle name="40% - Accent4 4" xfId="11"/>
    <cellStyle name="40% - Accent5 2" xfId="80"/>
    <cellStyle name="40% - Accent5 3" xfId="95"/>
    <cellStyle name="40% - Accent5 4" xfId="12"/>
    <cellStyle name="40% - Accent6 2" xfId="84"/>
    <cellStyle name="40% - Accent6 3" xfId="92"/>
    <cellStyle name="40% - Accent6 4" xfId="13"/>
    <cellStyle name="60% - Accent1 2" xfId="65"/>
    <cellStyle name="60% - Accent1 3" xfId="88"/>
    <cellStyle name="60% - Accent1 4" xfId="14"/>
    <cellStyle name="60% - Accent2 2" xfId="69"/>
    <cellStyle name="60% - Accent2 3" xfId="103"/>
    <cellStyle name="60% - Accent2 4" xfId="15"/>
    <cellStyle name="60% - Accent3 2" xfId="73"/>
    <cellStyle name="60% - Accent3 3" xfId="100"/>
    <cellStyle name="60% - Accent3 4" xfId="16"/>
    <cellStyle name="60% - Accent4 2" xfId="77"/>
    <cellStyle name="60% - Accent4 3" xfId="97"/>
    <cellStyle name="60% - Accent4 4" xfId="17"/>
    <cellStyle name="60% - Accent5 2" xfId="81"/>
    <cellStyle name="60% - Accent5 3" xfId="94"/>
    <cellStyle name="60% - Accent5 4" xfId="18"/>
    <cellStyle name="60% - Accent6 2" xfId="85"/>
    <cellStyle name="60% - Accent6 3" xfId="91"/>
    <cellStyle name="60% - Accent6 4" xfId="19"/>
    <cellStyle name="Accent1 2" xfId="62"/>
    <cellStyle name="Accent1 3" xfId="87"/>
    <cellStyle name="Accent1 4" xfId="20"/>
    <cellStyle name="Accent2 2" xfId="66"/>
    <cellStyle name="Accent2 3" xfId="106"/>
    <cellStyle name="Accent2 4" xfId="21"/>
    <cellStyle name="Accent3 2" xfId="70"/>
    <cellStyle name="Accent3 3" xfId="107"/>
    <cellStyle name="Accent3 4" xfId="22"/>
    <cellStyle name="Accent4 2" xfId="74"/>
    <cellStyle name="Accent4 3" xfId="108"/>
    <cellStyle name="Accent4 4" xfId="23"/>
    <cellStyle name="Accent5 2" xfId="78"/>
    <cellStyle name="Accent5 3" xfId="109"/>
    <cellStyle name="Accent5 4" xfId="24"/>
    <cellStyle name="Accent6 2" xfId="82"/>
    <cellStyle name="Accent6 3" xfId="110"/>
    <cellStyle name="Accent6 4" xfId="25"/>
    <cellStyle name="Bad 2" xfId="51"/>
    <cellStyle name="Bad 3" xfId="111"/>
    <cellStyle name="Bad 4" xfId="26"/>
    <cellStyle name="Calculation 2" xfId="55"/>
    <cellStyle name="Calculation 3" xfId="112"/>
    <cellStyle name="Calculation 4" xfId="27"/>
    <cellStyle name="Check Cell 2" xfId="57"/>
    <cellStyle name="Check Cell 3" xfId="113"/>
    <cellStyle name="Check Cell 4" xfId="28"/>
    <cellStyle name="Explanatory Text 2" xfId="60"/>
    <cellStyle name="Explanatory Text 3" xfId="114"/>
    <cellStyle name="Explanatory Text 4" xfId="29"/>
    <cellStyle name="Good 2" xfId="50"/>
    <cellStyle name="Good 3" xfId="115"/>
    <cellStyle name="Good 4" xfId="30"/>
    <cellStyle name="Heading 1 2" xfId="46"/>
    <cellStyle name="Heading 1 3" xfId="116"/>
    <cellStyle name="Heading 1 4" xfId="31"/>
    <cellStyle name="Heading 2 2" xfId="47"/>
    <cellStyle name="Heading 2 3" xfId="117"/>
    <cellStyle name="Heading 2 4" xfId="32"/>
    <cellStyle name="Heading 3 2" xfId="48"/>
    <cellStyle name="Heading 3 3" xfId="118"/>
    <cellStyle name="Heading 3 4" xfId="33"/>
    <cellStyle name="Heading 4 2" xfId="49"/>
    <cellStyle name="Heading 4 3" xfId="119"/>
    <cellStyle name="Heading 4 4" xfId="34"/>
    <cellStyle name="Input 2" xfId="53"/>
    <cellStyle name="Input 3" xfId="120"/>
    <cellStyle name="Input 4" xfId="35"/>
    <cellStyle name="Linked Cell 2" xfId="56"/>
    <cellStyle name="Linked Cell 3" xfId="121"/>
    <cellStyle name="Linked Cell 4" xfId="36"/>
    <cellStyle name="Neutral 2" xfId="52"/>
    <cellStyle name="Neutral 3" xfId="122"/>
    <cellStyle name="Neutral 4" xfId="37"/>
    <cellStyle name="Normal" xfId="0" builtinId="0"/>
    <cellStyle name="Normal 2" xfId="44"/>
    <cellStyle name="Normal 3" xfId="90"/>
    <cellStyle name="Normal 3 2" xfId="129"/>
    <cellStyle name="Normal 4" xfId="1"/>
    <cellStyle name="Normal_Sheet1" xfId="38"/>
    <cellStyle name="Note 2" xfId="59"/>
    <cellStyle name="Note 3" xfId="123"/>
    <cellStyle name="Note 3 2" xfId="130"/>
    <cellStyle name="Note 4" xfId="39"/>
    <cellStyle name="Note 4 2" xfId="128"/>
    <cellStyle name="Output 2" xfId="54"/>
    <cellStyle name="Output 3" xfId="124"/>
    <cellStyle name="Output 4" xfId="40"/>
    <cellStyle name="TableTitle" xfId="131"/>
    <cellStyle name="Title 2" xfId="45"/>
    <cellStyle name="Title 3" xfId="125"/>
    <cellStyle name="Title 4" xfId="41"/>
    <cellStyle name="Total 2" xfId="61"/>
    <cellStyle name="Total 3" xfId="126"/>
    <cellStyle name="Total 4" xfId="42"/>
    <cellStyle name="Warning Text 2" xfId="58"/>
    <cellStyle name="Warning Text 3" xfId="127"/>
    <cellStyle name="Warning Text 4" xfId="43"/>
  </cellStyles>
  <dxfs count="0"/>
  <tableStyles count="0" defaultTableStyle="TableStyleMedium2" defaultPivotStyle="PivotStyleLight16"/>
  <colors>
    <mruColors>
      <color rgb="FF006600"/>
      <color rgb="FFFFFFFF"/>
      <color rgb="FFCCFFCC"/>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6.xml"/><Relationship Id="rId14" Type="http://schemas.microsoft.com/office/2006/relationships/vbaProject" Target="vbaProject.bin"/></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9366701969271385"/>
          <c:y val="7.1486209890888538E-2"/>
          <c:w val="0.74899704788363453"/>
          <c:h val="0.75154761598441788"/>
        </c:manualLayout>
      </c:layout>
      <c:scatterChart>
        <c:scatterStyle val="lineMarker"/>
        <c:ser>
          <c:idx val="2"/>
          <c:order val="0"/>
          <c:tx>
            <c:v>Sample Results</c:v>
          </c:tx>
          <c:spPr>
            <a:ln w="22225">
              <a:solidFill>
                <a:schemeClr val="accent5"/>
              </a:solidFill>
            </a:ln>
          </c:spPr>
          <c:marker>
            <c:symbol val="none"/>
          </c:marker>
          <c:xVal>
            <c:numRef>
              <c:f>Measured_Main_Stem_Data!$C$3:$C$18</c:f>
              <c:numCache>
                <c:formatCode>0.00</c:formatCode>
                <c:ptCount val="16"/>
                <c:pt idx="0">
                  <c:v>1.2E-2</c:v>
                </c:pt>
                <c:pt idx="1">
                  <c:v>1.4999999999999999E-2</c:v>
                </c:pt>
                <c:pt idx="2">
                  <c:v>7.0000000000000007E-2</c:v>
                </c:pt>
                <c:pt idx="3">
                  <c:v>0.27</c:v>
                </c:pt>
                <c:pt idx="4">
                  <c:v>0.21</c:v>
                </c:pt>
                <c:pt idx="5">
                  <c:v>0.18</c:v>
                </c:pt>
                <c:pt idx="6">
                  <c:v>0.15</c:v>
                </c:pt>
                <c:pt idx="7">
                  <c:v>0.18</c:v>
                </c:pt>
                <c:pt idx="8">
                  <c:v>0.22</c:v>
                </c:pt>
                <c:pt idx="9">
                  <c:v>0.22</c:v>
                </c:pt>
                <c:pt idx="10">
                  <c:v>0.3</c:v>
                </c:pt>
                <c:pt idx="11">
                  <c:v>0.32</c:v>
                </c:pt>
                <c:pt idx="12">
                  <c:v>0.31</c:v>
                </c:pt>
                <c:pt idx="13">
                  <c:v>0.3</c:v>
                </c:pt>
                <c:pt idx="14">
                  <c:v>0.6</c:v>
                </c:pt>
                <c:pt idx="15">
                  <c:v>0</c:v>
                </c:pt>
              </c:numCache>
            </c:numRef>
          </c:xVal>
          <c:yVal>
            <c:numRef>
              <c:f>Measured_Main_Stem_Data!$F$3:$F$18</c:f>
              <c:numCache>
                <c:formatCode>0.00</c:formatCode>
                <c:ptCount val="16"/>
                <c:pt idx="0">
                  <c:v>1.2E-2</c:v>
                </c:pt>
                <c:pt idx="1">
                  <c:v>1.4999999999999999E-2</c:v>
                </c:pt>
                <c:pt idx="2">
                  <c:v>7.0000000000000007E-2</c:v>
                </c:pt>
                <c:pt idx="3">
                  <c:v>0.27</c:v>
                </c:pt>
                <c:pt idx="4">
                  <c:v>0.21</c:v>
                </c:pt>
                <c:pt idx="5">
                  <c:v>0.18</c:v>
                </c:pt>
                <c:pt idx="6">
                  <c:v>0.15</c:v>
                </c:pt>
                <c:pt idx="7">
                  <c:v>0.18</c:v>
                </c:pt>
                <c:pt idx="8">
                  <c:v>0.22</c:v>
                </c:pt>
                <c:pt idx="9">
                  <c:v>0.22</c:v>
                </c:pt>
                <c:pt idx="10">
                  <c:v>0.3</c:v>
                </c:pt>
                <c:pt idx="11">
                  <c:v>0.32</c:v>
                </c:pt>
                <c:pt idx="12">
                  <c:v>0.31</c:v>
                </c:pt>
                <c:pt idx="13">
                  <c:v>0.3</c:v>
                </c:pt>
                <c:pt idx="14">
                  <c:v>0.6</c:v>
                </c:pt>
                <c:pt idx="15">
                  <c:v>0</c:v>
                </c:pt>
              </c:numCache>
            </c:numRef>
          </c:yVal>
        </c:ser>
        <c:ser>
          <c:idx val="3"/>
          <c:order val="1"/>
          <c:tx>
            <c:v>Measured Model</c:v>
          </c:tx>
          <c:spPr>
            <a:ln w="28575">
              <a:noFill/>
            </a:ln>
          </c:spPr>
          <c:marker>
            <c:symbol val="square"/>
            <c:size val="7"/>
            <c:spPr>
              <a:solidFill>
                <a:schemeClr val="accent6">
                  <a:lumMod val="75000"/>
                </a:schemeClr>
              </a:solidFill>
              <a:ln>
                <a:solidFill>
                  <a:srgbClr val="000000"/>
                </a:solidFill>
              </a:ln>
            </c:spPr>
          </c:marker>
          <c:xVal>
            <c:numRef>
              <c:f>Measured_Main_Stem_Data!$C$3:$C$16</c:f>
              <c:numCache>
                <c:formatCode>0.00</c:formatCode>
                <c:ptCount val="14"/>
                <c:pt idx="0">
                  <c:v>1.2E-2</c:v>
                </c:pt>
                <c:pt idx="1">
                  <c:v>1.4999999999999999E-2</c:v>
                </c:pt>
                <c:pt idx="2">
                  <c:v>7.0000000000000007E-2</c:v>
                </c:pt>
                <c:pt idx="3">
                  <c:v>0.27</c:v>
                </c:pt>
                <c:pt idx="4">
                  <c:v>0.21</c:v>
                </c:pt>
                <c:pt idx="5">
                  <c:v>0.18</c:v>
                </c:pt>
                <c:pt idx="6">
                  <c:v>0.15</c:v>
                </c:pt>
                <c:pt idx="7">
                  <c:v>0.18</c:v>
                </c:pt>
                <c:pt idx="8">
                  <c:v>0.22</c:v>
                </c:pt>
                <c:pt idx="9">
                  <c:v>0.22</c:v>
                </c:pt>
                <c:pt idx="10">
                  <c:v>0.3</c:v>
                </c:pt>
                <c:pt idx="11">
                  <c:v>0.32</c:v>
                </c:pt>
                <c:pt idx="12">
                  <c:v>0.31</c:v>
                </c:pt>
                <c:pt idx="13">
                  <c:v>0.3</c:v>
                </c:pt>
              </c:numCache>
            </c:numRef>
          </c:xVal>
          <c:yVal>
            <c:numRef>
              <c:f>Measured_Main_Stem_Data!$H$3:$H$16</c:f>
              <c:numCache>
                <c:formatCode>0.00</c:formatCode>
                <c:ptCount val="14"/>
                <c:pt idx="1">
                  <c:v>1.4999999999999999E-2</c:v>
                </c:pt>
                <c:pt idx="2">
                  <c:v>7.6773796937856506E-2</c:v>
                </c:pt>
                <c:pt idx="3">
                  <c:v>0.27144837919040904</c:v>
                </c:pt>
                <c:pt idx="4">
                  <c:v>0.21125481699445567</c:v>
                </c:pt>
                <c:pt idx="5">
                  <c:v>0.18225037427931312</c:v>
                </c:pt>
                <c:pt idx="6">
                  <c:v>0.1522319285884991</c:v>
                </c:pt>
                <c:pt idx="7">
                  <c:v>0.18322879787901455</c:v>
                </c:pt>
                <c:pt idx="8">
                  <c:v>0.22180726960927141</c:v>
                </c:pt>
                <c:pt idx="9">
                  <c:v>0.22213844466856209</c:v>
                </c:pt>
                <c:pt idx="10">
                  <c:v>0.3017197597124015</c:v>
                </c:pt>
                <c:pt idx="11">
                  <c:v>0.32208922215700941</c:v>
                </c:pt>
                <c:pt idx="12">
                  <c:v>0.31114892526496596</c:v>
                </c:pt>
                <c:pt idx="13">
                  <c:v>0.30130911196056215</c:v>
                </c:pt>
              </c:numCache>
            </c:numRef>
          </c:yVal>
        </c:ser>
        <c:ser>
          <c:idx val="1"/>
          <c:order val="2"/>
          <c:tx>
            <c:v>Predictive Model</c:v>
          </c:tx>
          <c:spPr>
            <a:ln w="28575">
              <a:noFill/>
            </a:ln>
          </c:spPr>
          <c:marker>
            <c:symbol val="triangle"/>
            <c:size val="7"/>
            <c:spPr>
              <a:solidFill>
                <a:srgbClr val="C00000"/>
              </a:solidFill>
              <a:ln>
                <a:solidFill>
                  <a:schemeClr val="tx1"/>
                </a:solidFill>
              </a:ln>
            </c:spPr>
          </c:marker>
          <c:xVal>
            <c:numRef>
              <c:f>Measured_Main_Stem_Data!$C$3:$C$16</c:f>
              <c:numCache>
                <c:formatCode>0.00</c:formatCode>
                <c:ptCount val="14"/>
                <c:pt idx="0">
                  <c:v>1.2E-2</c:v>
                </c:pt>
                <c:pt idx="1">
                  <c:v>1.4999999999999999E-2</c:v>
                </c:pt>
                <c:pt idx="2">
                  <c:v>7.0000000000000007E-2</c:v>
                </c:pt>
                <c:pt idx="3">
                  <c:v>0.27</c:v>
                </c:pt>
                <c:pt idx="4">
                  <c:v>0.21</c:v>
                </c:pt>
                <c:pt idx="5">
                  <c:v>0.18</c:v>
                </c:pt>
                <c:pt idx="6">
                  <c:v>0.15</c:v>
                </c:pt>
                <c:pt idx="7">
                  <c:v>0.18</c:v>
                </c:pt>
                <c:pt idx="8">
                  <c:v>0.22</c:v>
                </c:pt>
                <c:pt idx="9">
                  <c:v>0.22</c:v>
                </c:pt>
                <c:pt idx="10">
                  <c:v>0.3</c:v>
                </c:pt>
                <c:pt idx="11">
                  <c:v>0.32</c:v>
                </c:pt>
                <c:pt idx="12">
                  <c:v>0.31</c:v>
                </c:pt>
                <c:pt idx="13">
                  <c:v>0.3</c:v>
                </c:pt>
              </c:numCache>
            </c:numRef>
          </c:xVal>
          <c:yVal>
            <c:numRef>
              <c:f>Measured_Main_Stem_Data!$G$3:$G$16</c:f>
              <c:numCache>
                <c:formatCode>0.00</c:formatCode>
                <c:ptCount val="14"/>
                <c:pt idx="1">
                  <c:v>1.4999999999999999E-2</c:v>
                </c:pt>
                <c:pt idx="2">
                  <c:v>7.4208304895317628E-2</c:v>
                </c:pt>
                <c:pt idx="3">
                  <c:v>0.24157751462985061</c:v>
                </c:pt>
                <c:pt idx="4">
                  <c:v>0.21854891316756855</c:v>
                </c:pt>
                <c:pt idx="5">
                  <c:v>0.18400071682638913</c:v>
                </c:pt>
                <c:pt idx="6">
                  <c:v>0.18377556699246403</c:v>
                </c:pt>
                <c:pt idx="7">
                  <c:v>0.18377556699246397</c:v>
                </c:pt>
                <c:pt idx="8">
                  <c:v>0.21868171984073514</c:v>
                </c:pt>
                <c:pt idx="9">
                  <c:v>0.23784624812138033</c:v>
                </c:pt>
                <c:pt idx="10">
                  <c:v>0.31232649658515155</c:v>
                </c:pt>
                <c:pt idx="11">
                  <c:v>0.30072718870763265</c:v>
                </c:pt>
                <c:pt idx="12">
                  <c:v>0.30524634114490656</c:v>
                </c:pt>
                <c:pt idx="13">
                  <c:v>0.29905554084440644</c:v>
                </c:pt>
              </c:numCache>
            </c:numRef>
          </c:yVal>
        </c:ser>
        <c:dLbls/>
        <c:axId val="88807296"/>
        <c:axId val="88813568"/>
      </c:scatterChart>
      <c:valAx>
        <c:axId val="88807296"/>
        <c:scaling>
          <c:orientation val="minMax"/>
          <c:max val="0.6000000000000002"/>
        </c:scaling>
        <c:axPos val="b"/>
        <c:title>
          <c:tx>
            <c:rich>
              <a:bodyPr/>
              <a:lstStyle/>
              <a:p>
                <a:pPr>
                  <a:defRPr sz="1200"/>
                </a:pPr>
                <a:r>
                  <a:rPr lang="en-US" sz="1200"/>
                  <a:t>Measured total phosphorus concentration, in milligrams per liter</a:t>
                </a:r>
              </a:p>
            </c:rich>
          </c:tx>
          <c:layout>
            <c:manualLayout>
              <c:xMode val="edge"/>
              <c:yMode val="edge"/>
              <c:x val="0.17027520682721681"/>
              <c:y val="0.90042388001442852"/>
            </c:manualLayout>
          </c:layout>
        </c:title>
        <c:numFmt formatCode="0.00" sourceLinked="0"/>
        <c:majorTickMark val="in"/>
        <c:tickLblPos val="nextTo"/>
        <c:txPr>
          <a:bodyPr/>
          <a:lstStyle/>
          <a:p>
            <a:pPr>
              <a:defRPr sz="1400" b="1"/>
            </a:pPr>
            <a:endParaRPr lang="en-US"/>
          </a:p>
        </c:txPr>
        <c:crossAx val="88813568"/>
        <c:crosses val="autoZero"/>
        <c:crossBetween val="midCat"/>
        <c:majorUnit val="0.1"/>
      </c:valAx>
      <c:valAx>
        <c:axId val="88813568"/>
        <c:scaling>
          <c:orientation val="minMax"/>
          <c:max val="0.6000000000000002"/>
        </c:scaling>
        <c:axPos val="l"/>
        <c:title>
          <c:tx>
            <c:rich>
              <a:bodyPr rot="-5400000" vert="horz"/>
              <a:lstStyle/>
              <a:p>
                <a:pPr>
                  <a:defRPr sz="1100"/>
                </a:pPr>
                <a:r>
                  <a:rPr lang="en-US" sz="1100"/>
                  <a:t>Modeled</a:t>
                </a:r>
                <a:r>
                  <a:rPr lang="en-US" sz="1100" baseline="0"/>
                  <a:t>  </a:t>
                </a:r>
                <a:r>
                  <a:rPr lang="en-US" sz="1100"/>
                  <a:t>total phosphorus concentration, in milligrams per liter</a:t>
                </a:r>
              </a:p>
            </c:rich>
          </c:tx>
          <c:layout>
            <c:manualLayout>
              <c:xMode val="edge"/>
              <c:yMode val="edge"/>
              <c:x val="4.9642625081221586E-3"/>
              <c:y val="9.2916916895534024E-2"/>
            </c:manualLayout>
          </c:layout>
        </c:title>
        <c:numFmt formatCode="#,##0.00" sourceLinked="0"/>
        <c:majorTickMark val="in"/>
        <c:tickLblPos val="nextTo"/>
        <c:txPr>
          <a:bodyPr/>
          <a:lstStyle/>
          <a:p>
            <a:pPr>
              <a:defRPr sz="1400" b="1"/>
            </a:pPr>
            <a:endParaRPr lang="en-US"/>
          </a:p>
        </c:txPr>
        <c:crossAx val="88807296"/>
        <c:crosses val="autoZero"/>
        <c:crossBetween val="midCat"/>
      </c:valAx>
    </c:plotArea>
    <c:legend>
      <c:legendPos val="r"/>
      <c:layout>
        <c:manualLayout>
          <c:xMode val="edge"/>
          <c:yMode val="edge"/>
          <c:x val="0.57955723370835954"/>
          <c:y val="0.52349594447176662"/>
          <c:w val="0.33727187610320652"/>
          <c:h val="0.21196743731493792"/>
        </c:manualLayout>
      </c:layout>
      <c:overlay val="1"/>
      <c:txPr>
        <a:bodyPr/>
        <a:lstStyle/>
        <a:p>
          <a:pPr>
            <a:defRPr sz="1400" b="1"/>
          </a:pPr>
          <a:endParaRPr lang="en-US"/>
        </a:p>
      </c:txPr>
    </c:legend>
    <c:plotVisOnly val="1"/>
    <c:dispBlanksAs val="gap"/>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a:pPr>
            <a:r>
              <a:rPr lang="en-US"/>
              <a:t>Total Phosphorus Concentration Estimates and Measured Main-stem Concentrations, Week of August 20, 2012, Lower Boise River, Southwestern Idaho</a:t>
            </a:r>
          </a:p>
        </c:rich>
      </c:tx>
      <c:layout>
        <c:manualLayout>
          <c:xMode val="edge"/>
          <c:yMode val="edge"/>
          <c:x val="9.4479420841625542E-2"/>
          <c:y val="3.0444923582736733E-2"/>
        </c:manualLayout>
      </c:layout>
      <c:spPr>
        <a:noFill/>
        <a:ln w="25400">
          <a:noFill/>
        </a:ln>
      </c:spPr>
    </c:title>
    <c:plotArea>
      <c:layout>
        <c:manualLayout>
          <c:layoutTarget val="inner"/>
          <c:xMode val="edge"/>
          <c:yMode val="edge"/>
          <c:x val="6.6515464759082918E-2"/>
          <c:y val="0.13642885245442804"/>
          <c:w val="0.80632619834199049"/>
          <c:h val="0.590776735929885"/>
        </c:manualLayout>
      </c:layout>
      <c:scatterChart>
        <c:scatterStyle val="lineMarker"/>
        <c:ser>
          <c:idx val="4"/>
          <c:order val="0"/>
          <c:spPr>
            <a:ln w="19050">
              <a:solidFill>
                <a:srgbClr val="7030A0"/>
              </a:solidFill>
            </a:ln>
          </c:spPr>
          <c:marker>
            <c:symbol val="none"/>
          </c:marker>
          <c:xVal>
            <c:numRef>
              <c:f>Major_inflows!$B$4:$B$5</c:f>
              <c:numCache>
                <c:formatCode>General</c:formatCode>
                <c:ptCount val="2"/>
                <c:pt idx="0">
                  <c:v>50.01</c:v>
                </c:pt>
                <c:pt idx="1">
                  <c:v>50.01</c:v>
                </c:pt>
              </c:numCache>
            </c:numRef>
          </c:xVal>
          <c:yVal>
            <c:numRef>
              <c:f>Major_inflows!$E$4:$E$5</c:f>
              <c:numCache>
                <c:formatCode>General</c:formatCode>
                <c:ptCount val="2"/>
                <c:pt idx="0">
                  <c:v>0</c:v>
                </c:pt>
                <c:pt idx="1">
                  <c:v>4000</c:v>
                </c:pt>
              </c:numCache>
            </c:numRef>
          </c:yVal>
        </c:ser>
        <c:ser>
          <c:idx val="5"/>
          <c:order val="1"/>
          <c:spPr>
            <a:ln w="19050">
              <a:solidFill>
                <a:srgbClr val="7030A0"/>
              </a:solidFill>
            </a:ln>
          </c:spPr>
          <c:marker>
            <c:symbol val="none"/>
          </c:marker>
          <c:xVal>
            <c:numRef>
              <c:f>Major_inflows!$B$6:$B$7</c:f>
              <c:numCache>
                <c:formatCode>General</c:formatCode>
                <c:ptCount val="2"/>
                <c:pt idx="0">
                  <c:v>44.16</c:v>
                </c:pt>
                <c:pt idx="1">
                  <c:v>44.16</c:v>
                </c:pt>
              </c:numCache>
            </c:numRef>
          </c:xVal>
          <c:yVal>
            <c:numRef>
              <c:f>Major_inflows!$E$6:$E$7</c:f>
              <c:numCache>
                <c:formatCode>General</c:formatCode>
                <c:ptCount val="2"/>
                <c:pt idx="0">
                  <c:v>0</c:v>
                </c:pt>
                <c:pt idx="1">
                  <c:v>4000</c:v>
                </c:pt>
              </c:numCache>
            </c:numRef>
          </c:yVal>
        </c:ser>
        <c:ser>
          <c:idx val="6"/>
          <c:order val="2"/>
          <c:spPr>
            <a:ln w="19050">
              <a:solidFill>
                <a:srgbClr val="7030A0"/>
              </a:solidFill>
            </a:ln>
          </c:spPr>
          <c:marker>
            <c:symbol val="none"/>
          </c:marker>
          <c:xVal>
            <c:numRef>
              <c:f>Major_inflows!$B$8:$B$9</c:f>
              <c:numCache>
                <c:formatCode>General</c:formatCode>
                <c:ptCount val="2"/>
                <c:pt idx="0">
                  <c:v>30.310000000000002</c:v>
                </c:pt>
                <c:pt idx="1">
                  <c:v>30.310000000000002</c:v>
                </c:pt>
              </c:numCache>
            </c:numRef>
          </c:xVal>
          <c:yVal>
            <c:numRef>
              <c:f>Major_inflows!$E$8:$E$9</c:f>
              <c:numCache>
                <c:formatCode>General</c:formatCode>
                <c:ptCount val="2"/>
                <c:pt idx="0">
                  <c:v>0</c:v>
                </c:pt>
                <c:pt idx="1">
                  <c:v>4000</c:v>
                </c:pt>
              </c:numCache>
            </c:numRef>
          </c:yVal>
        </c:ser>
        <c:ser>
          <c:idx val="7"/>
          <c:order val="3"/>
          <c:spPr>
            <a:ln w="19050">
              <a:solidFill>
                <a:srgbClr val="7030A0"/>
              </a:solidFill>
            </a:ln>
          </c:spPr>
          <c:marker>
            <c:symbol val="none"/>
          </c:marker>
          <c:xVal>
            <c:numRef>
              <c:f>Major_inflows!$B$10:$B$11</c:f>
              <c:numCache>
                <c:formatCode>General</c:formatCode>
                <c:ptCount val="2"/>
                <c:pt idx="0">
                  <c:v>24.95</c:v>
                </c:pt>
                <c:pt idx="1">
                  <c:v>24.95</c:v>
                </c:pt>
              </c:numCache>
            </c:numRef>
          </c:xVal>
          <c:yVal>
            <c:numRef>
              <c:f>Major_inflows!$E$10:$E$11</c:f>
              <c:numCache>
                <c:formatCode>General</c:formatCode>
                <c:ptCount val="2"/>
                <c:pt idx="0">
                  <c:v>0</c:v>
                </c:pt>
                <c:pt idx="1">
                  <c:v>4000</c:v>
                </c:pt>
              </c:numCache>
            </c:numRef>
          </c:yVal>
        </c:ser>
        <c:ser>
          <c:idx val="8"/>
          <c:order val="4"/>
          <c:spPr>
            <a:ln w="31750">
              <a:solidFill>
                <a:srgbClr val="7030A0"/>
              </a:solidFill>
            </a:ln>
          </c:spPr>
          <c:marker>
            <c:symbol val="none"/>
          </c:marker>
          <c:xVal>
            <c:numRef>
              <c:f>Major_inflows!$B$12:$B$13</c:f>
              <c:numCache>
                <c:formatCode>General</c:formatCode>
                <c:ptCount val="2"/>
                <c:pt idx="0">
                  <c:v>22.55</c:v>
                </c:pt>
                <c:pt idx="1">
                  <c:v>22.55</c:v>
                </c:pt>
              </c:numCache>
            </c:numRef>
          </c:xVal>
          <c:yVal>
            <c:numRef>
              <c:f>Major_inflows!$E$12:$E$13</c:f>
              <c:numCache>
                <c:formatCode>General</c:formatCode>
                <c:ptCount val="2"/>
                <c:pt idx="0">
                  <c:v>0</c:v>
                </c:pt>
                <c:pt idx="1">
                  <c:v>4000</c:v>
                </c:pt>
              </c:numCache>
            </c:numRef>
          </c:yVal>
        </c:ser>
        <c:ser>
          <c:idx val="9"/>
          <c:order val="5"/>
          <c:spPr>
            <a:ln w="25400">
              <a:solidFill>
                <a:srgbClr val="00B050"/>
              </a:solidFill>
            </a:ln>
          </c:spPr>
          <c:marker>
            <c:symbol val="none"/>
          </c:marker>
          <c:xVal>
            <c:numRef>
              <c:f>Major_inflows!$B$14:$B$15</c:f>
              <c:numCache>
                <c:formatCode>General</c:formatCode>
                <c:ptCount val="2"/>
                <c:pt idx="0">
                  <c:v>22.44</c:v>
                </c:pt>
                <c:pt idx="1">
                  <c:v>22.44</c:v>
                </c:pt>
              </c:numCache>
            </c:numRef>
          </c:xVal>
          <c:yVal>
            <c:numRef>
              <c:f>Major_inflows!$E$14:$E$15</c:f>
              <c:numCache>
                <c:formatCode>General</c:formatCode>
                <c:ptCount val="2"/>
                <c:pt idx="0">
                  <c:v>0</c:v>
                </c:pt>
                <c:pt idx="1">
                  <c:v>4000</c:v>
                </c:pt>
              </c:numCache>
            </c:numRef>
          </c:yVal>
        </c:ser>
        <c:ser>
          <c:idx val="10"/>
          <c:order val="6"/>
          <c:spPr>
            <a:ln w="19050">
              <a:solidFill>
                <a:srgbClr val="7030A0"/>
              </a:solidFill>
            </a:ln>
          </c:spPr>
          <c:marker>
            <c:symbol val="none"/>
          </c:marker>
          <c:xVal>
            <c:numRef>
              <c:f>Major_inflows!$B$16:$B$17</c:f>
              <c:numCache>
                <c:formatCode>General</c:formatCode>
                <c:ptCount val="2"/>
                <c:pt idx="0">
                  <c:v>10.53</c:v>
                </c:pt>
                <c:pt idx="1">
                  <c:v>10.53</c:v>
                </c:pt>
              </c:numCache>
            </c:numRef>
          </c:xVal>
          <c:yVal>
            <c:numRef>
              <c:f>Major_inflows!$E$16:$E$17</c:f>
              <c:numCache>
                <c:formatCode>General</c:formatCode>
                <c:ptCount val="2"/>
                <c:pt idx="0">
                  <c:v>0</c:v>
                </c:pt>
                <c:pt idx="1">
                  <c:v>4000</c:v>
                </c:pt>
              </c:numCache>
            </c:numRef>
          </c:yVal>
        </c:ser>
        <c:ser>
          <c:idx val="1"/>
          <c:order val="7"/>
          <c:tx>
            <c:v>Measured Main-stem Concentration</c:v>
          </c:tx>
          <c:spPr>
            <a:ln>
              <a:noFill/>
            </a:ln>
          </c:spPr>
          <c:marker>
            <c:symbol val="square"/>
            <c:size val="6"/>
            <c:spPr>
              <a:solidFill>
                <a:schemeClr val="accent6">
                  <a:lumMod val="75000"/>
                </a:schemeClr>
              </a:solidFill>
              <a:ln>
                <a:solidFill>
                  <a:schemeClr val="tx1"/>
                </a:solidFill>
              </a:ln>
            </c:spPr>
          </c:marker>
          <c:xVal>
            <c:numRef>
              <c:f>Measured_Main_Stem_Data!$A$3:$A$16</c:f>
              <c:numCache>
                <c:formatCode>0.0</c:formatCode>
                <c:ptCount val="14"/>
                <c:pt idx="0">
                  <c:v>61.1</c:v>
                </c:pt>
                <c:pt idx="1">
                  <c:v>50.17</c:v>
                </c:pt>
                <c:pt idx="2">
                  <c:v>47.5</c:v>
                </c:pt>
                <c:pt idx="3">
                  <c:v>42.8</c:v>
                </c:pt>
                <c:pt idx="4">
                  <c:v>41.779999999999994</c:v>
                </c:pt>
                <c:pt idx="5">
                  <c:v>39.65</c:v>
                </c:pt>
                <c:pt idx="6">
                  <c:v>36.4</c:v>
                </c:pt>
                <c:pt idx="7">
                  <c:v>31.43</c:v>
                </c:pt>
                <c:pt idx="8">
                  <c:v>28.84</c:v>
                </c:pt>
                <c:pt idx="9">
                  <c:v>23.98</c:v>
                </c:pt>
                <c:pt idx="10">
                  <c:v>21.43</c:v>
                </c:pt>
                <c:pt idx="11">
                  <c:v>15.66</c:v>
                </c:pt>
                <c:pt idx="12">
                  <c:v>8.77</c:v>
                </c:pt>
                <c:pt idx="13">
                  <c:v>3.8</c:v>
                </c:pt>
              </c:numCache>
            </c:numRef>
          </c:xVal>
          <c:yVal>
            <c:numRef>
              <c:f>Measured_Main_Stem_Data!$C$3:$C$16</c:f>
              <c:numCache>
                <c:formatCode>0.00</c:formatCode>
                <c:ptCount val="14"/>
                <c:pt idx="0">
                  <c:v>1.2E-2</c:v>
                </c:pt>
                <c:pt idx="1">
                  <c:v>1.4999999999999999E-2</c:v>
                </c:pt>
                <c:pt idx="2">
                  <c:v>7.0000000000000007E-2</c:v>
                </c:pt>
                <c:pt idx="3">
                  <c:v>0.27</c:v>
                </c:pt>
                <c:pt idx="4">
                  <c:v>0.21</c:v>
                </c:pt>
                <c:pt idx="5">
                  <c:v>0.18</c:v>
                </c:pt>
                <c:pt idx="6">
                  <c:v>0.15</c:v>
                </c:pt>
                <c:pt idx="7">
                  <c:v>0.18</c:v>
                </c:pt>
                <c:pt idx="8">
                  <c:v>0.22</c:v>
                </c:pt>
                <c:pt idx="9">
                  <c:v>0.22</c:v>
                </c:pt>
                <c:pt idx="10">
                  <c:v>0.3</c:v>
                </c:pt>
                <c:pt idx="11">
                  <c:v>0.32</c:v>
                </c:pt>
                <c:pt idx="12">
                  <c:v>0.31</c:v>
                </c:pt>
                <c:pt idx="13">
                  <c:v>0.3</c:v>
                </c:pt>
              </c:numCache>
            </c:numRef>
          </c:yVal>
        </c:ser>
        <c:ser>
          <c:idx val="11"/>
          <c:order val="8"/>
          <c:tx>
            <c:v>Main-stem Concentration - Measured Model</c:v>
          </c:tx>
          <c:spPr>
            <a:ln w="22225"/>
          </c:spPr>
          <c:marker>
            <c:symbol val="none"/>
          </c:marker>
          <c:xVal>
            <c:numRef>
              <c:f>Aug.20.2012_Model!$D$10:$D$76</c:f>
              <c:numCache>
                <c:formatCode>0.0</c:formatCode>
                <c:ptCount val="67"/>
                <c:pt idx="0">
                  <c:v>50.17</c:v>
                </c:pt>
                <c:pt idx="1">
                  <c:v>50.01</c:v>
                </c:pt>
                <c:pt idx="2">
                  <c:v>47.69</c:v>
                </c:pt>
                <c:pt idx="3">
                  <c:v>47.5</c:v>
                </c:pt>
                <c:pt idx="4">
                  <c:v>46.01</c:v>
                </c:pt>
                <c:pt idx="5">
                  <c:v>45.51</c:v>
                </c:pt>
                <c:pt idx="6">
                  <c:v>44.809999999999995</c:v>
                </c:pt>
                <c:pt idx="7">
                  <c:v>44.5</c:v>
                </c:pt>
                <c:pt idx="8">
                  <c:v>44.16</c:v>
                </c:pt>
                <c:pt idx="9">
                  <c:v>43.5</c:v>
                </c:pt>
                <c:pt idx="10">
                  <c:v>43.07</c:v>
                </c:pt>
                <c:pt idx="11">
                  <c:v>43.07</c:v>
                </c:pt>
                <c:pt idx="12">
                  <c:v>42.849999999999994</c:v>
                </c:pt>
                <c:pt idx="13">
                  <c:v>42.8</c:v>
                </c:pt>
                <c:pt idx="14">
                  <c:v>42.7</c:v>
                </c:pt>
                <c:pt idx="15">
                  <c:v>42.4</c:v>
                </c:pt>
                <c:pt idx="16">
                  <c:v>42.019999999999996</c:v>
                </c:pt>
                <c:pt idx="17">
                  <c:v>41.89</c:v>
                </c:pt>
                <c:pt idx="18">
                  <c:v>41.779999999999994</c:v>
                </c:pt>
                <c:pt idx="19">
                  <c:v>41.41</c:v>
                </c:pt>
                <c:pt idx="20">
                  <c:v>40.199999999999996</c:v>
                </c:pt>
                <c:pt idx="21">
                  <c:v>39.65</c:v>
                </c:pt>
                <c:pt idx="22">
                  <c:v>36.629999999999995</c:v>
                </c:pt>
                <c:pt idx="23">
                  <c:v>36.4</c:v>
                </c:pt>
                <c:pt idx="24">
                  <c:v>36.32</c:v>
                </c:pt>
                <c:pt idx="25">
                  <c:v>36.269999999999996</c:v>
                </c:pt>
                <c:pt idx="26">
                  <c:v>35.739999999999995</c:v>
                </c:pt>
                <c:pt idx="27">
                  <c:v>31.43</c:v>
                </c:pt>
                <c:pt idx="28">
                  <c:v>30.310000000000002</c:v>
                </c:pt>
                <c:pt idx="29">
                  <c:v>28.84</c:v>
                </c:pt>
                <c:pt idx="30">
                  <c:v>27.23</c:v>
                </c:pt>
                <c:pt idx="31">
                  <c:v>27.1</c:v>
                </c:pt>
                <c:pt idx="32">
                  <c:v>26.95</c:v>
                </c:pt>
                <c:pt idx="33">
                  <c:v>25.57</c:v>
                </c:pt>
                <c:pt idx="34">
                  <c:v>24.95</c:v>
                </c:pt>
                <c:pt idx="35">
                  <c:v>24.57</c:v>
                </c:pt>
                <c:pt idx="36">
                  <c:v>24.43</c:v>
                </c:pt>
                <c:pt idx="37">
                  <c:v>24.03</c:v>
                </c:pt>
                <c:pt idx="38">
                  <c:v>24.02</c:v>
                </c:pt>
                <c:pt idx="39">
                  <c:v>23.98</c:v>
                </c:pt>
                <c:pt idx="40">
                  <c:v>23.19</c:v>
                </c:pt>
                <c:pt idx="41">
                  <c:v>23.09</c:v>
                </c:pt>
                <c:pt idx="42">
                  <c:v>22.55</c:v>
                </c:pt>
                <c:pt idx="43">
                  <c:v>22.44</c:v>
                </c:pt>
                <c:pt idx="44">
                  <c:v>21.43</c:v>
                </c:pt>
                <c:pt idx="45">
                  <c:v>20.079999999999998</c:v>
                </c:pt>
                <c:pt idx="46">
                  <c:v>20.079999999999998</c:v>
                </c:pt>
                <c:pt idx="47">
                  <c:v>20.080000000000002</c:v>
                </c:pt>
                <c:pt idx="48">
                  <c:v>20</c:v>
                </c:pt>
                <c:pt idx="49">
                  <c:v>19.07</c:v>
                </c:pt>
                <c:pt idx="50">
                  <c:v>18.059999999999999</c:v>
                </c:pt>
                <c:pt idx="51">
                  <c:v>15.66</c:v>
                </c:pt>
                <c:pt idx="52">
                  <c:v>14.98</c:v>
                </c:pt>
                <c:pt idx="53">
                  <c:v>14.219999999999999</c:v>
                </c:pt>
                <c:pt idx="54">
                  <c:v>13.329999999999998</c:v>
                </c:pt>
                <c:pt idx="55">
                  <c:v>12.329999999999998</c:v>
                </c:pt>
                <c:pt idx="56">
                  <c:v>11.09</c:v>
                </c:pt>
                <c:pt idx="57">
                  <c:v>10.93</c:v>
                </c:pt>
                <c:pt idx="58">
                  <c:v>10.53</c:v>
                </c:pt>
                <c:pt idx="59">
                  <c:v>10</c:v>
                </c:pt>
                <c:pt idx="60">
                  <c:v>8.77</c:v>
                </c:pt>
                <c:pt idx="61">
                  <c:v>8.0500000000000007</c:v>
                </c:pt>
                <c:pt idx="62">
                  <c:v>7.47</c:v>
                </c:pt>
                <c:pt idx="63">
                  <c:v>6.33</c:v>
                </c:pt>
                <c:pt idx="64">
                  <c:v>4.32</c:v>
                </c:pt>
                <c:pt idx="65">
                  <c:v>3.9099999999999997</c:v>
                </c:pt>
                <c:pt idx="66">
                  <c:v>3.8</c:v>
                </c:pt>
              </c:numCache>
            </c:numRef>
          </c:xVal>
          <c:yVal>
            <c:numRef>
              <c:f>Aug.20.2012_Model!$W$10:$W$76</c:f>
              <c:numCache>
                <c:formatCode>0.000</c:formatCode>
                <c:ptCount val="67"/>
                <c:pt idx="0">
                  <c:v>1.4999999999999999E-2</c:v>
                </c:pt>
                <c:pt idx="1">
                  <c:v>7.4237715137028509E-2</c:v>
                </c:pt>
                <c:pt idx="2">
                  <c:v>7.6575672183417043E-2</c:v>
                </c:pt>
                <c:pt idx="3">
                  <c:v>7.6773796937856506E-2</c:v>
                </c:pt>
                <c:pt idx="4">
                  <c:v>8.4163895106651773E-2</c:v>
                </c:pt>
                <c:pt idx="5">
                  <c:v>8.7249013327519803E-2</c:v>
                </c:pt>
                <c:pt idx="6">
                  <c:v>9.1641053490891633E-2</c:v>
                </c:pt>
                <c:pt idx="7">
                  <c:v>9.3959433988736865E-2</c:v>
                </c:pt>
                <c:pt idx="8">
                  <c:v>0.26535301806439243</c:v>
                </c:pt>
                <c:pt idx="9">
                  <c:v>0.26831751721739233</c:v>
                </c:pt>
                <c:pt idx="10">
                  <c:v>0.27023278299461817</c:v>
                </c:pt>
                <c:pt idx="11">
                  <c:v>0.27023526034121648</c:v>
                </c:pt>
                <c:pt idx="12">
                  <c:v>0.27122419838812278</c:v>
                </c:pt>
                <c:pt idx="13">
                  <c:v>0.27144837919040904</c:v>
                </c:pt>
                <c:pt idx="14">
                  <c:v>0.26514354952162283</c:v>
                </c:pt>
                <c:pt idx="15">
                  <c:v>0.24717575035857353</c:v>
                </c:pt>
                <c:pt idx="16">
                  <c:v>0.22627359768501468</c:v>
                </c:pt>
                <c:pt idx="17">
                  <c:v>0.21665197930700519</c:v>
                </c:pt>
                <c:pt idx="18">
                  <c:v>0.21125481699445567</c:v>
                </c:pt>
                <c:pt idx="19">
                  <c:v>0.2131938196471358</c:v>
                </c:pt>
                <c:pt idx="20">
                  <c:v>0.18250622593075755</c:v>
                </c:pt>
                <c:pt idx="21">
                  <c:v>0.18225037427931312</c:v>
                </c:pt>
                <c:pt idx="22">
                  <c:v>0.15434295552477983</c:v>
                </c:pt>
                <c:pt idx="23">
                  <c:v>0.1522319285884991</c:v>
                </c:pt>
                <c:pt idx="24">
                  <c:v>0.15315290742237961</c:v>
                </c:pt>
                <c:pt idx="25">
                  <c:v>0.15386474505559897</c:v>
                </c:pt>
                <c:pt idx="26">
                  <c:v>0.15697366628557388</c:v>
                </c:pt>
                <c:pt idx="27">
                  <c:v>0.18322879787901455</c:v>
                </c:pt>
                <c:pt idx="28">
                  <c:v>0.21817913707553951</c:v>
                </c:pt>
                <c:pt idx="29">
                  <c:v>0.22180726960927141</c:v>
                </c:pt>
                <c:pt idx="30">
                  <c:v>0.21564340171236432</c:v>
                </c:pt>
                <c:pt idx="31">
                  <c:v>0.22056825581694045</c:v>
                </c:pt>
                <c:pt idx="32">
                  <c:v>0.21912078281253303</c:v>
                </c:pt>
                <c:pt idx="33">
                  <c:v>0.2193604710983332</c:v>
                </c:pt>
                <c:pt idx="34">
                  <c:v>0.23533105128339651</c:v>
                </c:pt>
                <c:pt idx="35">
                  <c:v>0.23023851499355769</c:v>
                </c:pt>
                <c:pt idx="36">
                  <c:v>0.23067995777805878</c:v>
                </c:pt>
                <c:pt idx="37">
                  <c:v>0.22298390037518628</c:v>
                </c:pt>
                <c:pt idx="38">
                  <c:v>0.22213523676168792</c:v>
                </c:pt>
                <c:pt idx="39">
                  <c:v>0.22213844466856209</c:v>
                </c:pt>
                <c:pt idx="40">
                  <c:v>0.22314922530229722</c:v>
                </c:pt>
                <c:pt idx="41">
                  <c:v>0.22327931643085039</c:v>
                </c:pt>
                <c:pt idx="42">
                  <c:v>0.27548453287582014</c:v>
                </c:pt>
                <c:pt idx="43">
                  <c:v>0.30138835770447953</c:v>
                </c:pt>
                <c:pt idx="44">
                  <c:v>0.3017197597124015</c:v>
                </c:pt>
                <c:pt idx="45">
                  <c:v>0.3057335913721142</c:v>
                </c:pt>
                <c:pt idx="46">
                  <c:v>0.30730236598446442</c:v>
                </c:pt>
                <c:pt idx="47">
                  <c:v>0.30767896961223917</c:v>
                </c:pt>
                <c:pt idx="48">
                  <c:v>0.30797848168891528</c:v>
                </c:pt>
                <c:pt idx="49">
                  <c:v>0.31133219605451373</c:v>
                </c:pt>
                <c:pt idx="50">
                  <c:v>0.31415088455378737</c:v>
                </c:pt>
                <c:pt idx="51">
                  <c:v>0.32208922215700941</c:v>
                </c:pt>
                <c:pt idx="52">
                  <c:v>0.32065849560073995</c:v>
                </c:pt>
                <c:pt idx="53">
                  <c:v>0.31910910779317608</c:v>
                </c:pt>
                <c:pt idx="54">
                  <c:v>0.31730966069484734</c:v>
                </c:pt>
                <c:pt idx="55">
                  <c:v>0.31239616864984687</c:v>
                </c:pt>
                <c:pt idx="56">
                  <c:v>0.30969376546361899</c:v>
                </c:pt>
                <c:pt idx="57">
                  <c:v>0.3037151947790766</c:v>
                </c:pt>
                <c:pt idx="58">
                  <c:v>0.31308392845856275</c:v>
                </c:pt>
                <c:pt idx="59">
                  <c:v>0.31251735485753812</c:v>
                </c:pt>
                <c:pt idx="60">
                  <c:v>0.31114892526496596</c:v>
                </c:pt>
                <c:pt idx="61">
                  <c:v>0.30964028422085776</c:v>
                </c:pt>
                <c:pt idx="62">
                  <c:v>0.30836060395603537</c:v>
                </c:pt>
                <c:pt idx="63">
                  <c:v>0.306518552327878</c:v>
                </c:pt>
                <c:pt idx="64">
                  <c:v>0.30224018141077352</c:v>
                </c:pt>
                <c:pt idx="65">
                  <c:v>0.30154820148771372</c:v>
                </c:pt>
                <c:pt idx="66">
                  <c:v>0.30130911196056215</c:v>
                </c:pt>
              </c:numCache>
            </c:numRef>
          </c:yVal>
        </c:ser>
        <c:ser>
          <c:idx val="3"/>
          <c:order val="9"/>
          <c:tx>
            <c:v>Main-stem Concentration - Predictive Model</c:v>
          </c:tx>
          <c:spPr>
            <a:ln w="22225">
              <a:solidFill>
                <a:srgbClr val="FF0000"/>
              </a:solidFill>
            </a:ln>
          </c:spPr>
          <c:marker>
            <c:symbol val="none"/>
          </c:marker>
          <c:xVal>
            <c:numRef>
              <c:f>Aug.20.2012_Model!$D$10:$D$76</c:f>
              <c:numCache>
                <c:formatCode>0.0</c:formatCode>
                <c:ptCount val="67"/>
                <c:pt idx="0">
                  <c:v>50.17</c:v>
                </c:pt>
                <c:pt idx="1">
                  <c:v>50.01</c:v>
                </c:pt>
                <c:pt idx="2">
                  <c:v>47.69</c:v>
                </c:pt>
                <c:pt idx="3">
                  <c:v>47.5</c:v>
                </c:pt>
                <c:pt idx="4">
                  <c:v>46.01</c:v>
                </c:pt>
                <c:pt idx="5">
                  <c:v>45.51</c:v>
                </c:pt>
                <c:pt idx="6">
                  <c:v>44.809999999999995</c:v>
                </c:pt>
                <c:pt idx="7">
                  <c:v>44.5</c:v>
                </c:pt>
                <c:pt idx="8">
                  <c:v>44.16</c:v>
                </c:pt>
                <c:pt idx="9">
                  <c:v>43.5</c:v>
                </c:pt>
                <c:pt idx="10">
                  <c:v>43.07</c:v>
                </c:pt>
                <c:pt idx="11">
                  <c:v>43.07</c:v>
                </c:pt>
                <c:pt idx="12">
                  <c:v>42.849999999999994</c:v>
                </c:pt>
                <c:pt idx="13">
                  <c:v>42.8</c:v>
                </c:pt>
                <c:pt idx="14">
                  <c:v>42.7</c:v>
                </c:pt>
                <c:pt idx="15">
                  <c:v>42.4</c:v>
                </c:pt>
                <c:pt idx="16">
                  <c:v>42.019999999999996</c:v>
                </c:pt>
                <c:pt idx="17">
                  <c:v>41.89</c:v>
                </c:pt>
                <c:pt idx="18">
                  <c:v>41.779999999999994</c:v>
                </c:pt>
                <c:pt idx="19">
                  <c:v>41.41</c:v>
                </c:pt>
                <c:pt idx="20">
                  <c:v>40.199999999999996</c:v>
                </c:pt>
                <c:pt idx="21">
                  <c:v>39.65</c:v>
                </c:pt>
                <c:pt idx="22">
                  <c:v>36.629999999999995</c:v>
                </c:pt>
                <c:pt idx="23">
                  <c:v>36.4</c:v>
                </c:pt>
                <c:pt idx="24">
                  <c:v>36.32</c:v>
                </c:pt>
                <c:pt idx="25">
                  <c:v>36.269999999999996</c:v>
                </c:pt>
                <c:pt idx="26">
                  <c:v>35.739999999999995</c:v>
                </c:pt>
                <c:pt idx="27">
                  <c:v>31.43</c:v>
                </c:pt>
                <c:pt idx="28">
                  <c:v>30.310000000000002</c:v>
                </c:pt>
                <c:pt idx="29">
                  <c:v>28.84</c:v>
                </c:pt>
                <c:pt idx="30">
                  <c:v>27.23</c:v>
                </c:pt>
                <c:pt idx="31">
                  <c:v>27.1</c:v>
                </c:pt>
                <c:pt idx="32">
                  <c:v>26.95</c:v>
                </c:pt>
                <c:pt idx="33">
                  <c:v>25.57</c:v>
                </c:pt>
                <c:pt idx="34">
                  <c:v>24.95</c:v>
                </c:pt>
                <c:pt idx="35">
                  <c:v>24.57</c:v>
                </c:pt>
                <c:pt idx="36">
                  <c:v>24.43</c:v>
                </c:pt>
                <c:pt idx="37">
                  <c:v>24.03</c:v>
                </c:pt>
                <c:pt idx="38">
                  <c:v>24.02</c:v>
                </c:pt>
                <c:pt idx="39">
                  <c:v>23.98</c:v>
                </c:pt>
                <c:pt idx="40">
                  <c:v>23.19</c:v>
                </c:pt>
                <c:pt idx="41">
                  <c:v>23.09</c:v>
                </c:pt>
                <c:pt idx="42">
                  <c:v>22.55</c:v>
                </c:pt>
                <c:pt idx="43">
                  <c:v>22.44</c:v>
                </c:pt>
                <c:pt idx="44">
                  <c:v>21.43</c:v>
                </c:pt>
                <c:pt idx="45">
                  <c:v>20.079999999999998</c:v>
                </c:pt>
                <c:pt idx="46">
                  <c:v>20.079999999999998</c:v>
                </c:pt>
                <c:pt idx="47">
                  <c:v>20.080000000000002</c:v>
                </c:pt>
                <c:pt idx="48">
                  <c:v>20</c:v>
                </c:pt>
                <c:pt idx="49">
                  <c:v>19.07</c:v>
                </c:pt>
                <c:pt idx="50">
                  <c:v>18.059999999999999</c:v>
                </c:pt>
                <c:pt idx="51">
                  <c:v>15.66</c:v>
                </c:pt>
                <c:pt idx="52">
                  <c:v>14.98</c:v>
                </c:pt>
                <c:pt idx="53">
                  <c:v>14.219999999999999</c:v>
                </c:pt>
                <c:pt idx="54">
                  <c:v>13.329999999999998</c:v>
                </c:pt>
                <c:pt idx="55">
                  <c:v>12.329999999999998</c:v>
                </c:pt>
                <c:pt idx="56">
                  <c:v>11.09</c:v>
                </c:pt>
                <c:pt idx="57">
                  <c:v>10.93</c:v>
                </c:pt>
                <c:pt idx="58">
                  <c:v>10.53</c:v>
                </c:pt>
                <c:pt idx="59">
                  <c:v>10</c:v>
                </c:pt>
                <c:pt idx="60">
                  <c:v>8.77</c:v>
                </c:pt>
                <c:pt idx="61">
                  <c:v>8.0500000000000007</c:v>
                </c:pt>
                <c:pt idx="62">
                  <c:v>7.47</c:v>
                </c:pt>
                <c:pt idx="63">
                  <c:v>6.33</c:v>
                </c:pt>
                <c:pt idx="64">
                  <c:v>4.32</c:v>
                </c:pt>
                <c:pt idx="65">
                  <c:v>3.9099999999999997</c:v>
                </c:pt>
                <c:pt idx="66">
                  <c:v>3.8</c:v>
                </c:pt>
              </c:numCache>
            </c:numRef>
          </c:xVal>
          <c:yVal>
            <c:numRef>
              <c:f>Aug.20.2012_Model!$Q$10:$Q$76</c:f>
              <c:numCache>
                <c:formatCode>0.000</c:formatCode>
                <c:ptCount val="67"/>
                <c:pt idx="0">
                  <c:v>1.4999999999999999E-2</c:v>
                </c:pt>
                <c:pt idx="1">
                  <c:v>7.4208304895317628E-2</c:v>
                </c:pt>
                <c:pt idx="2">
                  <c:v>7.4208304895317628E-2</c:v>
                </c:pt>
                <c:pt idx="3">
                  <c:v>7.4208304895317628E-2</c:v>
                </c:pt>
                <c:pt idx="4">
                  <c:v>7.3787798713203526E-2</c:v>
                </c:pt>
                <c:pt idx="5">
                  <c:v>7.3626380159175372E-2</c:v>
                </c:pt>
                <c:pt idx="6">
                  <c:v>7.3447036557406392E-2</c:v>
                </c:pt>
                <c:pt idx="7">
                  <c:v>7.3376216389720583E-2</c:v>
                </c:pt>
                <c:pt idx="8">
                  <c:v>0.24354146742922786</c:v>
                </c:pt>
                <c:pt idx="9">
                  <c:v>0.24257059297534425</c:v>
                </c:pt>
                <c:pt idx="10">
                  <c:v>0.24195876762605714</c:v>
                </c:pt>
                <c:pt idx="11">
                  <c:v>0.24195876762605711</c:v>
                </c:pt>
                <c:pt idx="12">
                  <c:v>0.24164781083591971</c:v>
                </c:pt>
                <c:pt idx="13">
                  <c:v>0.24157751462985061</c:v>
                </c:pt>
                <c:pt idx="14">
                  <c:v>0.23928714809430268</c:v>
                </c:pt>
                <c:pt idx="15">
                  <c:v>0.23288749866087918</c:v>
                </c:pt>
                <c:pt idx="16">
                  <c:v>0.22563721578267851</c:v>
                </c:pt>
                <c:pt idx="17">
                  <c:v>0.22036254990378465</c:v>
                </c:pt>
                <c:pt idx="18">
                  <c:v>0.21854891316756855</c:v>
                </c:pt>
                <c:pt idx="19">
                  <c:v>0.21854891316756858</c:v>
                </c:pt>
                <c:pt idx="20">
                  <c:v>0.18400071682638913</c:v>
                </c:pt>
                <c:pt idx="21">
                  <c:v>0.18400071682638913</c:v>
                </c:pt>
                <c:pt idx="22">
                  <c:v>0.18377927294870344</c:v>
                </c:pt>
                <c:pt idx="23">
                  <c:v>0.18377556699246403</c:v>
                </c:pt>
                <c:pt idx="24">
                  <c:v>0.18377556699246403</c:v>
                </c:pt>
                <c:pt idx="25">
                  <c:v>0.183775566992464</c:v>
                </c:pt>
                <c:pt idx="26">
                  <c:v>0.183775566992464</c:v>
                </c:pt>
                <c:pt idx="27">
                  <c:v>0.18377556699246397</c:v>
                </c:pt>
                <c:pt idx="28">
                  <c:v>0.21386269181418641</c:v>
                </c:pt>
                <c:pt idx="29">
                  <c:v>0.21868171984073514</c:v>
                </c:pt>
                <c:pt idx="30">
                  <c:v>0.21531393423274831</c:v>
                </c:pt>
                <c:pt idx="31">
                  <c:v>0.22039770897943758</c:v>
                </c:pt>
                <c:pt idx="32">
                  <c:v>0.21913022667581528</c:v>
                </c:pt>
                <c:pt idx="33">
                  <c:v>0.22082539273790616</c:v>
                </c:pt>
                <c:pt idx="34">
                  <c:v>0.23703689621232371</c:v>
                </c:pt>
                <c:pt idx="35">
                  <c:v>0.23724290523022257</c:v>
                </c:pt>
                <c:pt idx="36">
                  <c:v>0.2374491522021272</c:v>
                </c:pt>
                <c:pt idx="37">
                  <c:v>0.23780147248429817</c:v>
                </c:pt>
                <c:pt idx="38">
                  <c:v>0.23781045398554965</c:v>
                </c:pt>
                <c:pt idx="39">
                  <c:v>0.23784624812138033</c:v>
                </c:pt>
                <c:pt idx="40">
                  <c:v>0.23795226105065281</c:v>
                </c:pt>
                <c:pt idx="41">
                  <c:v>0.23796556247657932</c:v>
                </c:pt>
                <c:pt idx="42">
                  <c:v>0.28911045239426608</c:v>
                </c:pt>
                <c:pt idx="43">
                  <c:v>0.31289552911835566</c:v>
                </c:pt>
                <c:pt idx="44">
                  <c:v>0.31232649658515155</c:v>
                </c:pt>
                <c:pt idx="45">
                  <c:v>0.30995032492711072</c:v>
                </c:pt>
                <c:pt idx="46">
                  <c:v>0.30995032492711072</c:v>
                </c:pt>
                <c:pt idx="47">
                  <c:v>0.30995032492711072</c:v>
                </c:pt>
                <c:pt idx="48">
                  <c:v>0.30976947556940126</c:v>
                </c:pt>
                <c:pt idx="49">
                  <c:v>0.30774445842922354</c:v>
                </c:pt>
                <c:pt idx="50">
                  <c:v>0.30547163681414408</c:v>
                </c:pt>
                <c:pt idx="51">
                  <c:v>0.30072718870763265</c:v>
                </c:pt>
                <c:pt idx="52">
                  <c:v>0.30025987286278821</c:v>
                </c:pt>
                <c:pt idx="53">
                  <c:v>0.30151295951981233</c:v>
                </c:pt>
                <c:pt idx="54">
                  <c:v>0.30093909318713813</c:v>
                </c:pt>
                <c:pt idx="55">
                  <c:v>0.2977619246948574</c:v>
                </c:pt>
                <c:pt idx="56">
                  <c:v>0.29702739416064089</c:v>
                </c:pt>
                <c:pt idx="57">
                  <c:v>0.29189901708052085</c:v>
                </c:pt>
                <c:pt idx="58">
                  <c:v>0.30596617538533721</c:v>
                </c:pt>
                <c:pt idx="59">
                  <c:v>0.30574744097072165</c:v>
                </c:pt>
                <c:pt idx="60">
                  <c:v>0.30524634114490656</c:v>
                </c:pt>
                <c:pt idx="61">
                  <c:v>0.30436621606939412</c:v>
                </c:pt>
                <c:pt idx="62">
                  <c:v>0.30364102113877872</c:v>
                </c:pt>
                <c:pt idx="63">
                  <c:v>0.30214682917096336</c:v>
                </c:pt>
                <c:pt idx="64">
                  <c:v>0.29970561427047915</c:v>
                </c:pt>
                <c:pt idx="65">
                  <c:v>0.29919163440034302</c:v>
                </c:pt>
                <c:pt idx="66">
                  <c:v>0.29905554084440644</c:v>
                </c:pt>
              </c:numCache>
            </c:numRef>
          </c:yVal>
        </c:ser>
        <c:ser>
          <c:idx val="0"/>
          <c:order val="10"/>
          <c:tx>
            <c:v>SR-HRC Target</c:v>
          </c:tx>
          <c:spPr>
            <a:ln w="22225">
              <a:solidFill>
                <a:srgbClr val="FF66FF"/>
              </a:solidFill>
              <a:prstDash val="sysDash"/>
            </a:ln>
          </c:spPr>
          <c:marker>
            <c:symbol val="none"/>
          </c:marker>
          <c:xVal>
            <c:numRef>
              <c:f>Major_inflows!$B$22:$B$23</c:f>
              <c:numCache>
                <c:formatCode>General</c:formatCode>
                <c:ptCount val="2"/>
                <c:pt idx="0">
                  <c:v>70</c:v>
                </c:pt>
                <c:pt idx="1">
                  <c:v>0</c:v>
                </c:pt>
              </c:numCache>
            </c:numRef>
          </c:xVal>
          <c:yVal>
            <c:numRef>
              <c:f>Major_inflows!$C$22:$C$23</c:f>
              <c:numCache>
                <c:formatCode>General</c:formatCode>
                <c:ptCount val="2"/>
                <c:pt idx="0">
                  <c:v>7.0000000000000007E-2</c:v>
                </c:pt>
                <c:pt idx="1">
                  <c:v>7.0000000000000007E-2</c:v>
                </c:pt>
              </c:numCache>
            </c:numRef>
          </c:yVal>
        </c:ser>
        <c:dLbls/>
        <c:axId val="132128768"/>
        <c:axId val="132130688"/>
      </c:scatterChart>
      <c:valAx>
        <c:axId val="132128768"/>
        <c:scaling>
          <c:orientation val="maxMin"/>
          <c:max val="65"/>
          <c:min val="0"/>
        </c:scaling>
        <c:axPos val="b"/>
        <c:title>
          <c:tx>
            <c:rich>
              <a:bodyPr/>
              <a:lstStyle/>
              <a:p>
                <a:pPr>
                  <a:defRPr/>
                </a:pPr>
                <a:r>
                  <a:rPr lang="en-US"/>
                  <a:t>River Mile</a:t>
                </a:r>
              </a:p>
            </c:rich>
          </c:tx>
          <c:layout>
            <c:manualLayout>
              <c:xMode val="edge"/>
              <c:yMode val="edge"/>
              <c:x val="0.45192386959740571"/>
              <c:y val="0.77995782262853974"/>
            </c:manualLayout>
          </c:layout>
          <c:spPr>
            <a:noFill/>
            <a:ln w="25400">
              <a:noFill/>
            </a:ln>
          </c:spPr>
        </c:title>
        <c:numFmt formatCode="#,##0" sourceLinked="0"/>
        <c:majorTickMark val="in"/>
        <c:tickLblPos val="nextTo"/>
        <c:spPr>
          <a:ln w="3175">
            <a:solidFill>
              <a:srgbClr val="000000"/>
            </a:solidFill>
            <a:prstDash val="solid"/>
          </a:ln>
        </c:spPr>
        <c:txPr>
          <a:bodyPr rot="0" vert="horz"/>
          <a:lstStyle/>
          <a:p>
            <a:pPr>
              <a:defRPr/>
            </a:pPr>
            <a:endParaRPr lang="en-US"/>
          </a:p>
        </c:txPr>
        <c:crossAx val="132130688"/>
        <c:crosses val="autoZero"/>
        <c:crossBetween val="midCat"/>
        <c:majorUnit val="5"/>
      </c:valAx>
      <c:valAx>
        <c:axId val="132130688"/>
        <c:scaling>
          <c:orientation val="minMax"/>
          <c:max val="0.70000000000000018"/>
          <c:min val="0"/>
        </c:scaling>
        <c:axPos val="r"/>
        <c:title>
          <c:tx>
            <c:rich>
              <a:bodyPr/>
              <a:lstStyle/>
              <a:p>
                <a:pPr>
                  <a:defRPr/>
                </a:pPr>
                <a:r>
                  <a:rPr lang="en-US"/>
                  <a:t>Total phosphorus concentration, in milligrams per liter</a:t>
                </a:r>
              </a:p>
            </c:rich>
          </c:tx>
          <c:layout>
            <c:manualLayout>
              <c:xMode val="edge"/>
              <c:yMode val="edge"/>
              <c:x val="0.9548344149289032"/>
              <c:y val="8.0053367005372453E-2"/>
            </c:manualLayout>
          </c:layout>
          <c:spPr>
            <a:noFill/>
            <a:ln w="25400">
              <a:noFill/>
            </a:ln>
          </c:spPr>
        </c:title>
        <c:numFmt formatCode="#,##0.0" sourceLinked="0"/>
        <c:majorTickMark val="in"/>
        <c:tickLblPos val="nextTo"/>
        <c:spPr>
          <a:ln w="3175">
            <a:solidFill>
              <a:srgbClr val="000000"/>
            </a:solidFill>
            <a:prstDash val="solid"/>
          </a:ln>
        </c:spPr>
        <c:txPr>
          <a:bodyPr rot="0" vert="horz"/>
          <a:lstStyle/>
          <a:p>
            <a:pPr>
              <a:defRPr/>
            </a:pPr>
            <a:endParaRPr lang="en-US"/>
          </a:p>
        </c:txPr>
        <c:crossAx val="132128768"/>
        <c:crosses val="autoZero"/>
        <c:crossBetween val="midCat"/>
        <c:majorUnit val="0.1"/>
        <c:minorUnit val="1.0000000000000004E-2"/>
      </c:valAx>
      <c:spPr>
        <a:noFill/>
        <a:ln w="12700">
          <a:solidFill>
            <a:srgbClr val="808080"/>
          </a:solidFill>
          <a:prstDash val="solid"/>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10"/>
        <c:delete val="1"/>
      </c:legendEntry>
      <c:layout>
        <c:manualLayout>
          <c:xMode val="edge"/>
          <c:yMode val="edge"/>
          <c:x val="1.1918894753540745E-3"/>
          <c:y val="0.82893889398469678"/>
          <c:w val="0.52463222866372472"/>
          <c:h val="0.15895823158262562"/>
        </c:manualLayout>
      </c:layout>
    </c:legend>
    <c:plotVisOnly val="1"/>
    <c:dispBlanksAs val="gap"/>
  </c:chart>
  <c:spPr>
    <a:noFill/>
    <a:ln w="3175">
      <a:solidFill>
        <a:srgbClr val="000000"/>
      </a:solidFill>
      <a:prstDash val="solid"/>
    </a:ln>
  </c:spPr>
  <c:txPr>
    <a:bodyPr/>
    <a:lstStyle/>
    <a:p>
      <a:pPr>
        <a:defRPr sz="1400" b="1" i="0" u="none" strike="noStrike" baseline="0">
          <a:solidFill>
            <a:srgbClr val="000000"/>
          </a:solidFill>
          <a:latin typeface="Arial Narrow" panose="020B0606020202030204" pitchFamily="34" charset="0"/>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a:pPr>
            <a:r>
              <a:rPr lang="en-US"/>
              <a:t>Total Phosphorus Load Estimates and Measured Main-stem Loads, 
Week of August 20, 2012, Lower Boise River, Southwestern Idaho</a:t>
            </a:r>
          </a:p>
        </c:rich>
      </c:tx>
      <c:layout>
        <c:manualLayout>
          <c:xMode val="edge"/>
          <c:yMode val="edge"/>
          <c:x val="0.20294146607866745"/>
          <c:y val="3.6498391677679237E-2"/>
        </c:manualLayout>
      </c:layout>
      <c:spPr>
        <a:noFill/>
        <a:ln w="25400">
          <a:noFill/>
        </a:ln>
      </c:spPr>
    </c:title>
    <c:plotArea>
      <c:layout>
        <c:manualLayout>
          <c:layoutTarget val="inner"/>
          <c:xMode val="edge"/>
          <c:yMode val="edge"/>
          <c:x val="6.6515464759082918E-2"/>
          <c:y val="0.16268451011651744"/>
          <c:w val="0.80632619834199049"/>
          <c:h val="0.54636612099540105"/>
        </c:manualLayout>
      </c:layout>
      <c:scatterChart>
        <c:scatterStyle val="lineMarker"/>
        <c:ser>
          <c:idx val="10"/>
          <c:order val="0"/>
          <c:spPr>
            <a:ln w="19050">
              <a:solidFill>
                <a:srgbClr val="7030A0"/>
              </a:solidFill>
            </a:ln>
          </c:spPr>
          <c:marker>
            <c:symbol val="none"/>
          </c:marker>
          <c:xVal>
            <c:numRef>
              <c:f>Major_inflows!$B$16:$B$17</c:f>
              <c:numCache>
                <c:formatCode>General</c:formatCode>
                <c:ptCount val="2"/>
                <c:pt idx="0">
                  <c:v>10.53</c:v>
                </c:pt>
                <c:pt idx="1">
                  <c:v>10.53</c:v>
                </c:pt>
              </c:numCache>
            </c:numRef>
          </c:xVal>
          <c:yVal>
            <c:numRef>
              <c:f>Major_inflows!$E$16:$E$17</c:f>
              <c:numCache>
                <c:formatCode>General</c:formatCode>
                <c:ptCount val="2"/>
                <c:pt idx="0">
                  <c:v>0</c:v>
                </c:pt>
                <c:pt idx="1">
                  <c:v>4000</c:v>
                </c:pt>
              </c:numCache>
            </c:numRef>
          </c:yVal>
        </c:ser>
        <c:ser>
          <c:idx val="4"/>
          <c:order val="1"/>
          <c:spPr>
            <a:ln w="19050">
              <a:solidFill>
                <a:srgbClr val="7030A0"/>
              </a:solidFill>
            </a:ln>
          </c:spPr>
          <c:marker>
            <c:symbol val="none"/>
          </c:marker>
          <c:xVal>
            <c:numRef>
              <c:f>Major_inflows!$B$4:$B$5</c:f>
              <c:numCache>
                <c:formatCode>General</c:formatCode>
                <c:ptCount val="2"/>
                <c:pt idx="0">
                  <c:v>50.01</c:v>
                </c:pt>
                <c:pt idx="1">
                  <c:v>50.01</c:v>
                </c:pt>
              </c:numCache>
            </c:numRef>
          </c:xVal>
          <c:yVal>
            <c:numRef>
              <c:f>Major_inflows!$E$4:$E$5</c:f>
              <c:numCache>
                <c:formatCode>General</c:formatCode>
                <c:ptCount val="2"/>
                <c:pt idx="0">
                  <c:v>0</c:v>
                </c:pt>
                <c:pt idx="1">
                  <c:v>4000</c:v>
                </c:pt>
              </c:numCache>
            </c:numRef>
          </c:yVal>
        </c:ser>
        <c:ser>
          <c:idx val="5"/>
          <c:order val="2"/>
          <c:spPr>
            <a:ln w="19050">
              <a:solidFill>
                <a:srgbClr val="7030A0"/>
              </a:solidFill>
            </a:ln>
          </c:spPr>
          <c:marker>
            <c:symbol val="none"/>
          </c:marker>
          <c:xVal>
            <c:numRef>
              <c:f>Major_inflows!$B$6:$B$7</c:f>
              <c:numCache>
                <c:formatCode>General</c:formatCode>
                <c:ptCount val="2"/>
                <c:pt idx="0">
                  <c:v>44.16</c:v>
                </c:pt>
                <c:pt idx="1">
                  <c:v>44.16</c:v>
                </c:pt>
              </c:numCache>
            </c:numRef>
          </c:xVal>
          <c:yVal>
            <c:numRef>
              <c:f>Major_inflows!$E$6:$E$7</c:f>
              <c:numCache>
                <c:formatCode>General</c:formatCode>
                <c:ptCount val="2"/>
                <c:pt idx="0">
                  <c:v>0</c:v>
                </c:pt>
                <c:pt idx="1">
                  <c:v>4000</c:v>
                </c:pt>
              </c:numCache>
            </c:numRef>
          </c:yVal>
        </c:ser>
        <c:ser>
          <c:idx val="9"/>
          <c:order val="3"/>
          <c:spPr>
            <a:ln w="25400">
              <a:solidFill>
                <a:srgbClr val="00B050"/>
              </a:solidFill>
            </a:ln>
          </c:spPr>
          <c:marker>
            <c:symbol val="none"/>
          </c:marker>
          <c:xVal>
            <c:numRef>
              <c:f>Major_inflows!$B$14:$B$15</c:f>
              <c:numCache>
                <c:formatCode>General</c:formatCode>
                <c:ptCount val="2"/>
                <c:pt idx="0">
                  <c:v>22.44</c:v>
                </c:pt>
                <c:pt idx="1">
                  <c:v>22.44</c:v>
                </c:pt>
              </c:numCache>
            </c:numRef>
          </c:xVal>
          <c:yVal>
            <c:numRef>
              <c:f>Major_inflows!$E$14:$E$15</c:f>
              <c:numCache>
                <c:formatCode>General</c:formatCode>
                <c:ptCount val="2"/>
                <c:pt idx="0">
                  <c:v>0</c:v>
                </c:pt>
                <c:pt idx="1">
                  <c:v>4000</c:v>
                </c:pt>
              </c:numCache>
            </c:numRef>
          </c:yVal>
        </c:ser>
        <c:ser>
          <c:idx val="8"/>
          <c:order val="4"/>
          <c:spPr>
            <a:ln w="31750">
              <a:solidFill>
                <a:srgbClr val="7030A0"/>
              </a:solidFill>
            </a:ln>
          </c:spPr>
          <c:marker>
            <c:symbol val="none"/>
          </c:marker>
          <c:xVal>
            <c:numRef>
              <c:f>Major_inflows!$B$12:$B$13</c:f>
              <c:numCache>
                <c:formatCode>General</c:formatCode>
                <c:ptCount val="2"/>
                <c:pt idx="0">
                  <c:v>22.55</c:v>
                </c:pt>
                <c:pt idx="1">
                  <c:v>22.55</c:v>
                </c:pt>
              </c:numCache>
            </c:numRef>
          </c:xVal>
          <c:yVal>
            <c:numRef>
              <c:f>Major_inflows!$E$12:$E$13</c:f>
              <c:numCache>
                <c:formatCode>General</c:formatCode>
                <c:ptCount val="2"/>
                <c:pt idx="0">
                  <c:v>0</c:v>
                </c:pt>
                <c:pt idx="1">
                  <c:v>4000</c:v>
                </c:pt>
              </c:numCache>
            </c:numRef>
          </c:yVal>
        </c:ser>
        <c:ser>
          <c:idx val="6"/>
          <c:order val="5"/>
          <c:spPr>
            <a:ln w="19050">
              <a:solidFill>
                <a:srgbClr val="7030A0"/>
              </a:solidFill>
            </a:ln>
          </c:spPr>
          <c:marker>
            <c:symbol val="none"/>
          </c:marker>
          <c:xVal>
            <c:numRef>
              <c:f>Major_inflows!$B$8:$B$9</c:f>
              <c:numCache>
                <c:formatCode>General</c:formatCode>
                <c:ptCount val="2"/>
                <c:pt idx="0">
                  <c:v>30.310000000000002</c:v>
                </c:pt>
                <c:pt idx="1">
                  <c:v>30.310000000000002</c:v>
                </c:pt>
              </c:numCache>
            </c:numRef>
          </c:xVal>
          <c:yVal>
            <c:numRef>
              <c:f>Major_inflows!$E$8:$E$9</c:f>
              <c:numCache>
                <c:formatCode>General</c:formatCode>
                <c:ptCount val="2"/>
                <c:pt idx="0">
                  <c:v>0</c:v>
                </c:pt>
                <c:pt idx="1">
                  <c:v>4000</c:v>
                </c:pt>
              </c:numCache>
            </c:numRef>
          </c:yVal>
        </c:ser>
        <c:ser>
          <c:idx val="7"/>
          <c:order val="6"/>
          <c:spPr>
            <a:ln w="19050">
              <a:solidFill>
                <a:srgbClr val="7030A0"/>
              </a:solidFill>
            </a:ln>
          </c:spPr>
          <c:marker>
            <c:symbol val="none"/>
          </c:marker>
          <c:xVal>
            <c:numRef>
              <c:f>Major_inflows!$B$10:$B$11</c:f>
              <c:numCache>
                <c:formatCode>General</c:formatCode>
                <c:ptCount val="2"/>
                <c:pt idx="0">
                  <c:v>24.95</c:v>
                </c:pt>
                <c:pt idx="1">
                  <c:v>24.95</c:v>
                </c:pt>
              </c:numCache>
            </c:numRef>
          </c:xVal>
          <c:yVal>
            <c:numRef>
              <c:f>Major_inflows!$E$10:$E$11</c:f>
              <c:numCache>
                <c:formatCode>General</c:formatCode>
                <c:ptCount val="2"/>
                <c:pt idx="0">
                  <c:v>0</c:v>
                </c:pt>
                <c:pt idx="1">
                  <c:v>4000</c:v>
                </c:pt>
              </c:numCache>
            </c:numRef>
          </c:yVal>
        </c:ser>
        <c:ser>
          <c:idx val="1"/>
          <c:order val="7"/>
          <c:tx>
            <c:v>Measured Instantaneous Load</c:v>
          </c:tx>
          <c:spPr>
            <a:ln w="28575">
              <a:noFill/>
            </a:ln>
          </c:spPr>
          <c:marker>
            <c:symbol val="square"/>
            <c:size val="6"/>
            <c:spPr>
              <a:solidFill>
                <a:schemeClr val="accent6">
                  <a:lumMod val="75000"/>
                </a:schemeClr>
              </a:solidFill>
              <a:ln>
                <a:solidFill>
                  <a:srgbClr val="000000"/>
                </a:solidFill>
                <a:prstDash val="solid"/>
              </a:ln>
            </c:spPr>
          </c:marker>
          <c:xVal>
            <c:numRef>
              <c:f>Measured_Main_Stem_Data!$A$3:$A$16</c:f>
              <c:numCache>
                <c:formatCode>0.0</c:formatCode>
                <c:ptCount val="14"/>
                <c:pt idx="0">
                  <c:v>61.1</c:v>
                </c:pt>
                <c:pt idx="1">
                  <c:v>50.17</c:v>
                </c:pt>
                <c:pt idx="2">
                  <c:v>47.5</c:v>
                </c:pt>
                <c:pt idx="3">
                  <c:v>42.8</c:v>
                </c:pt>
                <c:pt idx="4">
                  <c:v>41.779999999999994</c:v>
                </c:pt>
                <c:pt idx="5">
                  <c:v>39.65</c:v>
                </c:pt>
                <c:pt idx="6">
                  <c:v>36.4</c:v>
                </c:pt>
                <c:pt idx="7">
                  <c:v>31.43</c:v>
                </c:pt>
                <c:pt idx="8">
                  <c:v>28.84</c:v>
                </c:pt>
                <c:pt idx="9">
                  <c:v>23.98</c:v>
                </c:pt>
                <c:pt idx="10">
                  <c:v>21.43</c:v>
                </c:pt>
                <c:pt idx="11">
                  <c:v>15.66</c:v>
                </c:pt>
                <c:pt idx="12">
                  <c:v>8.77</c:v>
                </c:pt>
                <c:pt idx="13">
                  <c:v>3.8</c:v>
                </c:pt>
              </c:numCache>
            </c:numRef>
          </c:xVal>
          <c:yVal>
            <c:numRef>
              <c:f>Measured_Main_Stem_Data!$D$3:$D$16</c:f>
              <c:numCache>
                <c:formatCode>0</c:formatCode>
                <c:ptCount val="14"/>
                <c:pt idx="0">
                  <c:v>103.8842028</c:v>
                </c:pt>
                <c:pt idx="1">
                  <c:v>60.841838399999993</c:v>
                </c:pt>
                <c:pt idx="2">
                  <c:v>293.74525880000004</c:v>
                </c:pt>
                <c:pt idx="3">
                  <c:v>821.36481839999999</c:v>
                </c:pt>
                <c:pt idx="4">
                  <c:v>737.38366380000002</c:v>
                </c:pt>
                <c:pt idx="5">
                  <c:v>352.42958519999996</c:v>
                </c:pt>
                <c:pt idx="6">
                  <c:v>296.11852199999998</c:v>
                </c:pt>
                <c:pt idx="7">
                  <c:v>245.63274119999997</c:v>
                </c:pt>
                <c:pt idx="8">
                  <c:v>536.35748319999993</c:v>
                </c:pt>
                <c:pt idx="9">
                  <c:v>453.29327119999999</c:v>
                </c:pt>
                <c:pt idx="10">
                  <c:v>768.61364999999989</c:v>
                </c:pt>
                <c:pt idx="11">
                  <c:v>674.86975359999997</c:v>
                </c:pt>
                <c:pt idx="12">
                  <c:v>1188.8430497999998</c:v>
                </c:pt>
                <c:pt idx="13">
                  <c:v>1009.7156159999998</c:v>
                </c:pt>
              </c:numCache>
            </c:numRef>
          </c:yVal>
        </c:ser>
        <c:ser>
          <c:idx val="11"/>
          <c:order val="8"/>
          <c:tx>
            <c:v>Net Main-stem Load (-Diversions, +Returns)</c:v>
          </c:tx>
          <c:spPr>
            <a:ln w="19050">
              <a:solidFill>
                <a:schemeClr val="accent1"/>
              </a:solidFill>
            </a:ln>
          </c:spPr>
          <c:marker>
            <c:symbol val="star"/>
            <c:size val="5"/>
            <c:spPr>
              <a:ln>
                <a:solidFill>
                  <a:schemeClr val="accent1"/>
                </a:solidFill>
              </a:ln>
            </c:spPr>
          </c:marker>
          <c:xVal>
            <c:numRef>
              <c:f>Aug.20.2012_Model!$D$10:$D$76</c:f>
              <c:numCache>
                <c:formatCode>0.0</c:formatCode>
                <c:ptCount val="67"/>
                <c:pt idx="0">
                  <c:v>50.17</c:v>
                </c:pt>
                <c:pt idx="1">
                  <c:v>50.01</c:v>
                </c:pt>
                <c:pt idx="2">
                  <c:v>47.69</c:v>
                </c:pt>
                <c:pt idx="3">
                  <c:v>47.5</c:v>
                </c:pt>
                <c:pt idx="4">
                  <c:v>46.01</c:v>
                </c:pt>
                <c:pt idx="5">
                  <c:v>45.51</c:v>
                </c:pt>
                <c:pt idx="6">
                  <c:v>44.809999999999995</c:v>
                </c:pt>
                <c:pt idx="7">
                  <c:v>44.5</c:v>
                </c:pt>
                <c:pt idx="8">
                  <c:v>44.16</c:v>
                </c:pt>
                <c:pt idx="9">
                  <c:v>43.5</c:v>
                </c:pt>
                <c:pt idx="10">
                  <c:v>43.07</c:v>
                </c:pt>
                <c:pt idx="11">
                  <c:v>43.07</c:v>
                </c:pt>
                <c:pt idx="12">
                  <c:v>42.849999999999994</c:v>
                </c:pt>
                <c:pt idx="13">
                  <c:v>42.8</c:v>
                </c:pt>
                <c:pt idx="14">
                  <c:v>42.7</c:v>
                </c:pt>
                <c:pt idx="15">
                  <c:v>42.4</c:v>
                </c:pt>
                <c:pt idx="16">
                  <c:v>42.019999999999996</c:v>
                </c:pt>
                <c:pt idx="17">
                  <c:v>41.89</c:v>
                </c:pt>
                <c:pt idx="18">
                  <c:v>41.779999999999994</c:v>
                </c:pt>
                <c:pt idx="19">
                  <c:v>41.41</c:v>
                </c:pt>
                <c:pt idx="20">
                  <c:v>40.199999999999996</c:v>
                </c:pt>
                <c:pt idx="21">
                  <c:v>39.65</c:v>
                </c:pt>
                <c:pt idx="22">
                  <c:v>36.629999999999995</c:v>
                </c:pt>
                <c:pt idx="23">
                  <c:v>36.4</c:v>
                </c:pt>
                <c:pt idx="24">
                  <c:v>36.32</c:v>
                </c:pt>
                <c:pt idx="25">
                  <c:v>36.269999999999996</c:v>
                </c:pt>
                <c:pt idx="26">
                  <c:v>35.739999999999995</c:v>
                </c:pt>
                <c:pt idx="27">
                  <c:v>31.43</c:v>
                </c:pt>
                <c:pt idx="28">
                  <c:v>30.310000000000002</c:v>
                </c:pt>
                <c:pt idx="29">
                  <c:v>28.84</c:v>
                </c:pt>
                <c:pt idx="30">
                  <c:v>27.23</c:v>
                </c:pt>
                <c:pt idx="31">
                  <c:v>27.1</c:v>
                </c:pt>
                <c:pt idx="32">
                  <c:v>26.95</c:v>
                </c:pt>
                <c:pt idx="33">
                  <c:v>25.57</c:v>
                </c:pt>
                <c:pt idx="34">
                  <c:v>24.95</c:v>
                </c:pt>
                <c:pt idx="35">
                  <c:v>24.57</c:v>
                </c:pt>
                <c:pt idx="36">
                  <c:v>24.43</c:v>
                </c:pt>
                <c:pt idx="37">
                  <c:v>24.03</c:v>
                </c:pt>
                <c:pt idx="38">
                  <c:v>24.02</c:v>
                </c:pt>
                <c:pt idx="39">
                  <c:v>23.98</c:v>
                </c:pt>
                <c:pt idx="40">
                  <c:v>23.19</c:v>
                </c:pt>
                <c:pt idx="41">
                  <c:v>23.09</c:v>
                </c:pt>
                <c:pt idx="42">
                  <c:v>22.55</c:v>
                </c:pt>
                <c:pt idx="43">
                  <c:v>22.44</c:v>
                </c:pt>
                <c:pt idx="44">
                  <c:v>21.43</c:v>
                </c:pt>
                <c:pt idx="45">
                  <c:v>20.079999999999998</c:v>
                </c:pt>
                <c:pt idx="46">
                  <c:v>20.079999999999998</c:v>
                </c:pt>
                <c:pt idx="47">
                  <c:v>20.080000000000002</c:v>
                </c:pt>
                <c:pt idx="48">
                  <c:v>20</c:v>
                </c:pt>
                <c:pt idx="49">
                  <c:v>19.07</c:v>
                </c:pt>
                <c:pt idx="50">
                  <c:v>18.059999999999999</c:v>
                </c:pt>
                <c:pt idx="51">
                  <c:v>15.66</c:v>
                </c:pt>
                <c:pt idx="52">
                  <c:v>14.98</c:v>
                </c:pt>
                <c:pt idx="53">
                  <c:v>14.219999999999999</c:v>
                </c:pt>
                <c:pt idx="54">
                  <c:v>13.329999999999998</c:v>
                </c:pt>
                <c:pt idx="55">
                  <c:v>12.329999999999998</c:v>
                </c:pt>
                <c:pt idx="56">
                  <c:v>11.09</c:v>
                </c:pt>
                <c:pt idx="57">
                  <c:v>10.93</c:v>
                </c:pt>
                <c:pt idx="58">
                  <c:v>10.53</c:v>
                </c:pt>
                <c:pt idx="59">
                  <c:v>10</c:v>
                </c:pt>
                <c:pt idx="60">
                  <c:v>8.77</c:v>
                </c:pt>
                <c:pt idx="61">
                  <c:v>8.0500000000000007</c:v>
                </c:pt>
                <c:pt idx="62">
                  <c:v>7.47</c:v>
                </c:pt>
                <c:pt idx="63">
                  <c:v>6.33</c:v>
                </c:pt>
                <c:pt idx="64">
                  <c:v>4.32</c:v>
                </c:pt>
                <c:pt idx="65">
                  <c:v>3.9099999999999997</c:v>
                </c:pt>
                <c:pt idx="66">
                  <c:v>3.8</c:v>
                </c:pt>
              </c:numCache>
            </c:numRef>
          </c:xVal>
          <c:yVal>
            <c:numRef>
              <c:f>Aug.20.2012_Model!$I$10:$I$76</c:f>
              <c:numCache>
                <c:formatCode>0.00</c:formatCode>
                <c:ptCount val="67"/>
                <c:pt idx="0">
                  <c:v>61.408185299999992</c:v>
                </c:pt>
                <c:pt idx="1">
                  <c:v>311.59327681999997</c:v>
                </c:pt>
                <c:pt idx="2">
                  <c:v>311.59327681999997</c:v>
                </c:pt>
                <c:pt idx="3">
                  <c:v>311.59327681999997</c:v>
                </c:pt>
                <c:pt idx="4">
                  <c:v>297.24582201999999</c:v>
                </c:pt>
                <c:pt idx="5">
                  <c:v>239.96387842000001</c:v>
                </c:pt>
                <c:pt idx="6">
                  <c:v>239.31662482000002</c:v>
                </c:pt>
                <c:pt idx="7">
                  <c:v>237.05123722000002</c:v>
                </c:pt>
                <c:pt idx="8">
                  <c:v>765.70640258000003</c:v>
                </c:pt>
                <c:pt idx="9">
                  <c:v>765.70640258000003</c:v>
                </c:pt>
                <c:pt idx="10">
                  <c:v>764.25008198</c:v>
                </c:pt>
                <c:pt idx="11">
                  <c:v>755.51215837999996</c:v>
                </c:pt>
                <c:pt idx="12">
                  <c:v>754.05583777999993</c:v>
                </c:pt>
                <c:pt idx="13">
                  <c:v>754.05583777999993</c:v>
                </c:pt>
                <c:pt idx="14">
                  <c:v>754.05583777999993</c:v>
                </c:pt>
                <c:pt idx="15">
                  <c:v>753.91020571999991</c:v>
                </c:pt>
                <c:pt idx="16">
                  <c:v>753.91020571999991</c:v>
                </c:pt>
                <c:pt idx="17">
                  <c:v>756.87678471999993</c:v>
                </c:pt>
                <c:pt idx="18">
                  <c:v>756.87678471999993</c:v>
                </c:pt>
                <c:pt idx="19">
                  <c:v>385.35321832</c:v>
                </c:pt>
                <c:pt idx="20">
                  <c:v>425.05143912</c:v>
                </c:pt>
                <c:pt idx="21">
                  <c:v>425.05143912</c:v>
                </c:pt>
                <c:pt idx="22">
                  <c:v>427.28662155199999</c:v>
                </c:pt>
                <c:pt idx="23">
                  <c:v>427.28662155199999</c:v>
                </c:pt>
                <c:pt idx="24">
                  <c:v>372.27006555200001</c:v>
                </c:pt>
                <c:pt idx="25">
                  <c:v>343.95272055200002</c:v>
                </c:pt>
                <c:pt idx="26">
                  <c:v>343.95272055200002</c:v>
                </c:pt>
                <c:pt idx="27">
                  <c:v>343.95272055200002</c:v>
                </c:pt>
                <c:pt idx="28">
                  <c:v>494.11555575199998</c:v>
                </c:pt>
                <c:pt idx="29">
                  <c:v>494.11555575199998</c:v>
                </c:pt>
                <c:pt idx="30">
                  <c:v>619.14337615199997</c:v>
                </c:pt>
                <c:pt idx="31">
                  <c:v>636.739504646</c:v>
                </c:pt>
                <c:pt idx="32">
                  <c:v>669.12375976600003</c:v>
                </c:pt>
                <c:pt idx="33">
                  <c:v>684.78729688600004</c:v>
                </c:pt>
                <c:pt idx="34">
                  <c:v>943.95842588599999</c:v>
                </c:pt>
                <c:pt idx="35">
                  <c:v>641.90674588599995</c:v>
                </c:pt>
                <c:pt idx="36">
                  <c:v>687.08504716599998</c:v>
                </c:pt>
                <c:pt idx="37">
                  <c:v>271.54823596600005</c:v>
                </c:pt>
                <c:pt idx="38">
                  <c:v>246.95259916600006</c:v>
                </c:pt>
                <c:pt idx="39">
                  <c:v>246.95259916600006</c:v>
                </c:pt>
                <c:pt idx="40">
                  <c:v>246.95259916600006</c:v>
                </c:pt>
                <c:pt idx="41">
                  <c:v>246.47794652600007</c:v>
                </c:pt>
                <c:pt idx="42">
                  <c:v>373.31538011600003</c:v>
                </c:pt>
                <c:pt idx="43">
                  <c:v>542.49128981600006</c:v>
                </c:pt>
                <c:pt idx="44">
                  <c:v>542.49128981600006</c:v>
                </c:pt>
                <c:pt idx="45">
                  <c:v>541.84403621600006</c:v>
                </c:pt>
                <c:pt idx="46">
                  <c:v>370.32183221600008</c:v>
                </c:pt>
                <c:pt idx="47">
                  <c:v>339.57728621600006</c:v>
                </c:pt>
                <c:pt idx="48">
                  <c:v>339.57728621600006</c:v>
                </c:pt>
                <c:pt idx="49">
                  <c:v>339.57728621600006</c:v>
                </c:pt>
                <c:pt idx="50">
                  <c:v>272.26291181600004</c:v>
                </c:pt>
                <c:pt idx="51">
                  <c:v>272.26291181600004</c:v>
                </c:pt>
                <c:pt idx="52">
                  <c:v>253.27680621600004</c:v>
                </c:pt>
                <c:pt idx="53">
                  <c:v>317.13916141600004</c:v>
                </c:pt>
                <c:pt idx="54">
                  <c:v>292.97502701600001</c:v>
                </c:pt>
                <c:pt idx="55">
                  <c:v>306.79389137600003</c:v>
                </c:pt>
                <c:pt idx="56">
                  <c:v>272.27369937600002</c:v>
                </c:pt>
                <c:pt idx="57">
                  <c:v>297.08508737600005</c:v>
                </c:pt>
                <c:pt idx="58">
                  <c:v>766.99120097600007</c:v>
                </c:pt>
                <c:pt idx="59">
                  <c:v>755.28669837600012</c:v>
                </c:pt>
                <c:pt idx="60">
                  <c:v>755.28669837600012</c:v>
                </c:pt>
                <c:pt idx="61">
                  <c:v>733.54976497600012</c:v>
                </c:pt>
                <c:pt idx="62">
                  <c:v>673.35518017600009</c:v>
                </c:pt>
                <c:pt idx="63">
                  <c:v>579.50340817600011</c:v>
                </c:pt>
                <c:pt idx="64">
                  <c:v>579.50340817600011</c:v>
                </c:pt>
                <c:pt idx="65">
                  <c:v>485.65163617600012</c:v>
                </c:pt>
                <c:pt idx="66">
                  <c:v>485.65163617600012</c:v>
                </c:pt>
              </c:numCache>
            </c:numRef>
          </c:yVal>
        </c:ser>
        <c:ser>
          <c:idx val="3"/>
          <c:order val="9"/>
          <c:tx>
            <c:v>Main-stem Load - Measured Model</c:v>
          </c:tx>
          <c:spPr>
            <a:ln w="22225">
              <a:solidFill>
                <a:schemeClr val="accent6">
                  <a:shade val="95000"/>
                  <a:satMod val="105000"/>
                </a:schemeClr>
              </a:solidFill>
            </a:ln>
          </c:spPr>
          <c:marker>
            <c:symbol val="none"/>
          </c:marker>
          <c:xVal>
            <c:numRef>
              <c:f>Aug.20.2012_Model!$D$10:$D$76</c:f>
              <c:numCache>
                <c:formatCode>0.0</c:formatCode>
                <c:ptCount val="67"/>
                <c:pt idx="0">
                  <c:v>50.17</c:v>
                </c:pt>
                <c:pt idx="1">
                  <c:v>50.01</c:v>
                </c:pt>
                <c:pt idx="2">
                  <c:v>47.69</c:v>
                </c:pt>
                <c:pt idx="3">
                  <c:v>47.5</c:v>
                </c:pt>
                <c:pt idx="4">
                  <c:v>46.01</c:v>
                </c:pt>
                <c:pt idx="5">
                  <c:v>45.51</c:v>
                </c:pt>
                <c:pt idx="6">
                  <c:v>44.809999999999995</c:v>
                </c:pt>
                <c:pt idx="7">
                  <c:v>44.5</c:v>
                </c:pt>
                <c:pt idx="8">
                  <c:v>44.16</c:v>
                </c:pt>
                <c:pt idx="9">
                  <c:v>43.5</c:v>
                </c:pt>
                <c:pt idx="10">
                  <c:v>43.07</c:v>
                </c:pt>
                <c:pt idx="11">
                  <c:v>43.07</c:v>
                </c:pt>
                <c:pt idx="12">
                  <c:v>42.849999999999994</c:v>
                </c:pt>
                <c:pt idx="13">
                  <c:v>42.8</c:v>
                </c:pt>
                <c:pt idx="14">
                  <c:v>42.7</c:v>
                </c:pt>
                <c:pt idx="15">
                  <c:v>42.4</c:v>
                </c:pt>
                <c:pt idx="16">
                  <c:v>42.019999999999996</c:v>
                </c:pt>
                <c:pt idx="17">
                  <c:v>41.89</c:v>
                </c:pt>
                <c:pt idx="18">
                  <c:v>41.779999999999994</c:v>
                </c:pt>
                <c:pt idx="19">
                  <c:v>41.41</c:v>
                </c:pt>
                <c:pt idx="20">
                  <c:v>40.199999999999996</c:v>
                </c:pt>
                <c:pt idx="21">
                  <c:v>39.65</c:v>
                </c:pt>
                <c:pt idx="22">
                  <c:v>36.629999999999995</c:v>
                </c:pt>
                <c:pt idx="23">
                  <c:v>36.4</c:v>
                </c:pt>
                <c:pt idx="24">
                  <c:v>36.32</c:v>
                </c:pt>
                <c:pt idx="25">
                  <c:v>36.269999999999996</c:v>
                </c:pt>
                <c:pt idx="26">
                  <c:v>35.739999999999995</c:v>
                </c:pt>
                <c:pt idx="27">
                  <c:v>31.43</c:v>
                </c:pt>
                <c:pt idx="28">
                  <c:v>30.310000000000002</c:v>
                </c:pt>
                <c:pt idx="29">
                  <c:v>28.84</c:v>
                </c:pt>
                <c:pt idx="30">
                  <c:v>27.23</c:v>
                </c:pt>
                <c:pt idx="31">
                  <c:v>27.1</c:v>
                </c:pt>
                <c:pt idx="32">
                  <c:v>26.95</c:v>
                </c:pt>
                <c:pt idx="33">
                  <c:v>25.57</c:v>
                </c:pt>
                <c:pt idx="34">
                  <c:v>24.95</c:v>
                </c:pt>
                <c:pt idx="35">
                  <c:v>24.57</c:v>
                </c:pt>
                <c:pt idx="36">
                  <c:v>24.43</c:v>
                </c:pt>
                <c:pt idx="37">
                  <c:v>24.03</c:v>
                </c:pt>
                <c:pt idx="38">
                  <c:v>24.02</c:v>
                </c:pt>
                <c:pt idx="39">
                  <c:v>23.98</c:v>
                </c:pt>
                <c:pt idx="40">
                  <c:v>23.19</c:v>
                </c:pt>
                <c:pt idx="41">
                  <c:v>23.09</c:v>
                </c:pt>
                <c:pt idx="42">
                  <c:v>22.55</c:v>
                </c:pt>
                <c:pt idx="43">
                  <c:v>22.44</c:v>
                </c:pt>
                <c:pt idx="44">
                  <c:v>21.43</c:v>
                </c:pt>
                <c:pt idx="45">
                  <c:v>20.079999999999998</c:v>
                </c:pt>
                <c:pt idx="46">
                  <c:v>20.079999999999998</c:v>
                </c:pt>
                <c:pt idx="47">
                  <c:v>20.080000000000002</c:v>
                </c:pt>
                <c:pt idx="48">
                  <c:v>20</c:v>
                </c:pt>
                <c:pt idx="49">
                  <c:v>19.07</c:v>
                </c:pt>
                <c:pt idx="50">
                  <c:v>18.059999999999999</c:v>
                </c:pt>
                <c:pt idx="51">
                  <c:v>15.66</c:v>
                </c:pt>
                <c:pt idx="52">
                  <c:v>14.98</c:v>
                </c:pt>
                <c:pt idx="53">
                  <c:v>14.219999999999999</c:v>
                </c:pt>
                <c:pt idx="54">
                  <c:v>13.329999999999998</c:v>
                </c:pt>
                <c:pt idx="55">
                  <c:v>12.329999999999998</c:v>
                </c:pt>
                <c:pt idx="56">
                  <c:v>11.09</c:v>
                </c:pt>
                <c:pt idx="57">
                  <c:v>10.93</c:v>
                </c:pt>
                <c:pt idx="58">
                  <c:v>10.53</c:v>
                </c:pt>
                <c:pt idx="59">
                  <c:v>10</c:v>
                </c:pt>
                <c:pt idx="60">
                  <c:v>8.77</c:v>
                </c:pt>
                <c:pt idx="61">
                  <c:v>8.0500000000000007</c:v>
                </c:pt>
                <c:pt idx="62">
                  <c:v>7.47</c:v>
                </c:pt>
                <c:pt idx="63">
                  <c:v>6.33</c:v>
                </c:pt>
                <c:pt idx="64">
                  <c:v>4.32</c:v>
                </c:pt>
                <c:pt idx="65">
                  <c:v>3.9099999999999997</c:v>
                </c:pt>
                <c:pt idx="66">
                  <c:v>3.8</c:v>
                </c:pt>
              </c:numCache>
            </c:numRef>
          </c:xVal>
          <c:yVal>
            <c:numRef>
              <c:f>Aug.20.2012_Model!$X$10:$X$76</c:f>
              <c:numCache>
                <c:formatCode>0.00</c:formatCode>
                <c:ptCount val="67"/>
                <c:pt idx="0">
                  <c:v>61.408185299999992</c:v>
                </c:pt>
                <c:pt idx="1">
                  <c:v>311.58193018068903</c:v>
                </c:pt>
                <c:pt idx="2">
                  <c:v>311.41740391068043</c:v>
                </c:pt>
                <c:pt idx="3">
                  <c:v>311.40392977649867</c:v>
                </c:pt>
                <c:pt idx="4">
                  <c:v>327.16515169513701</c:v>
                </c:pt>
                <c:pt idx="5">
                  <c:v>256.91754294236733</c:v>
                </c:pt>
                <c:pt idx="6">
                  <c:v>270.41530525045249</c:v>
                </c:pt>
                <c:pt idx="7">
                  <c:v>274.41413898117577</c:v>
                </c:pt>
                <c:pt idx="8">
                  <c:v>809.93974063938867</c:v>
                </c:pt>
                <c:pt idx="9">
                  <c:v>823.27646992415453</c:v>
                </c:pt>
                <c:pt idx="10">
                  <c:v>830.50923052483529</c:v>
                </c:pt>
                <c:pt idx="11">
                  <c:v>821.77130692483524</c:v>
                </c:pt>
                <c:pt idx="12">
                  <c:v>824.76056275309054</c:v>
                </c:pt>
                <c:pt idx="13">
                  <c:v>825.77092103223936</c:v>
                </c:pt>
                <c:pt idx="14">
                  <c:v>817.26091107733794</c:v>
                </c:pt>
                <c:pt idx="15">
                  <c:v>791.58524915263195</c:v>
                </c:pt>
                <c:pt idx="16">
                  <c:v>759.24721132400441</c:v>
                </c:pt>
                <c:pt idx="17">
                  <c:v>751.15077738263244</c:v>
                </c:pt>
                <c:pt idx="18">
                  <c:v>741.78976643223973</c:v>
                </c:pt>
                <c:pt idx="19">
                  <c:v>361.03726519186426</c:v>
                </c:pt>
                <c:pt idx="20">
                  <c:v>370.55437475712245</c:v>
                </c:pt>
                <c:pt idx="21">
                  <c:v>356.8356878322399</c:v>
                </c:pt>
                <c:pt idx="22">
                  <c:v>304.66789740004288</c:v>
                </c:pt>
                <c:pt idx="23">
                  <c:v>300.52462463223986</c:v>
                </c:pt>
                <c:pt idx="24">
                  <c:v>246.03681100970468</c:v>
                </c:pt>
                <c:pt idx="25">
                  <c:v>218.0499299956202</c:v>
                </c:pt>
                <c:pt idx="26">
                  <c:v>221.55284824632446</c:v>
                </c:pt>
                <c:pt idx="27">
                  <c:v>250.03884383224005</c:v>
                </c:pt>
                <c:pt idx="28">
                  <c:v>460.98520629710481</c:v>
                </c:pt>
                <c:pt idx="29">
                  <c:v>540.76358583224021</c:v>
                </c:pt>
                <c:pt idx="30">
                  <c:v>720.15333602307567</c:v>
                </c:pt>
                <c:pt idx="31">
                  <c:v>742.13893710888226</c:v>
                </c:pt>
                <c:pt idx="32">
                  <c:v>779.58796829635151</c:v>
                </c:pt>
                <c:pt idx="33">
                  <c:v>841.84744523706752</c:v>
                </c:pt>
                <c:pt idx="34">
                  <c:v>1121.9529819826068</c:v>
                </c:pt>
                <c:pt idx="35">
                  <c:v>832.73206802019513</c:v>
                </c:pt>
                <c:pt idx="36">
                  <c:v>882.6374936298331</c:v>
                </c:pt>
                <c:pt idx="37">
                  <c:v>480.60675194308419</c:v>
                </c:pt>
                <c:pt idx="38">
                  <c:v>456.34876688091549</c:v>
                </c:pt>
                <c:pt idx="39">
                  <c:v>457.69937383224061</c:v>
                </c:pt>
                <c:pt idx="40">
                  <c:v>463.8278183963584</c:v>
                </c:pt>
                <c:pt idx="41">
                  <c:v>464.12891823282911</c:v>
                </c:pt>
                <c:pt idx="42">
                  <c:v>595.15541519577039</c:v>
                </c:pt>
                <c:pt idx="43">
                  <c:v>765.18465261988808</c:v>
                </c:pt>
                <c:pt idx="44">
                  <c:v>773.01975263224108</c:v>
                </c:pt>
                <c:pt idx="45">
                  <c:v>813.66436214489272</c:v>
                </c:pt>
                <c:pt idx="46">
                  <c:v>642.14215814489273</c:v>
                </c:pt>
                <c:pt idx="47">
                  <c:v>611.39761214489272</c:v>
                </c:pt>
                <c:pt idx="48">
                  <c:v>613.84453736638318</c:v>
                </c:pt>
                <c:pt idx="49">
                  <c:v>642.29004306620993</c:v>
                </c:pt>
                <c:pt idx="50">
                  <c:v>605.86809958752701</c:v>
                </c:pt>
                <c:pt idx="51">
                  <c:v>679.27585623224104</c:v>
                </c:pt>
                <c:pt idx="52">
                  <c:v>663.34427408002034</c:v>
                </c:pt>
                <c:pt idx="53">
                  <c:v>730.62050842753854</c:v>
                </c:pt>
                <c:pt idx="54">
                  <c:v>710.45420618713217</c:v>
                </c:pt>
                <c:pt idx="55">
                  <c:v>728.76501679386661</c:v>
                </c:pt>
                <c:pt idx="56">
                  <c:v>699.81483813981708</c:v>
                </c:pt>
                <c:pt idx="57">
                  <c:v>725.34493753929462</c:v>
                </c:pt>
                <c:pt idx="58">
                  <c:v>1197.0478296379886</c:v>
                </c:pt>
                <c:pt idx="59">
                  <c:v>1187.724058548758</c:v>
                </c:pt>
                <c:pt idx="60">
                  <c:v>1193.2491524322411</c:v>
                </c:pt>
                <c:pt idx="61">
                  <c:v>1184.6239881364666</c:v>
                </c:pt>
                <c:pt idx="62">
                  <c:v>1134.991661781537</c:v>
                </c:pt>
                <c:pt idx="63">
                  <c:v>1061.9001908632272</c:v>
                </c:pt>
                <c:pt idx="64">
                  <c:v>1098.503879612523</c:v>
                </c:pt>
                <c:pt idx="65">
                  <c:v>1012.1185316857625</c:v>
                </c:pt>
                <c:pt idx="66">
                  <c:v>1014.1217186322414</c:v>
                </c:pt>
              </c:numCache>
            </c:numRef>
          </c:yVal>
        </c:ser>
        <c:ser>
          <c:idx val="2"/>
          <c:order val="10"/>
          <c:tx>
            <c:v>Main-stem Load - Predictive Model</c:v>
          </c:tx>
          <c:spPr>
            <a:ln w="22225">
              <a:solidFill>
                <a:srgbClr val="FF0000"/>
              </a:solidFill>
            </a:ln>
          </c:spPr>
          <c:marker>
            <c:symbol val="none"/>
          </c:marker>
          <c:xVal>
            <c:numRef>
              <c:f>Aug.20.2012_Model!$D$10:$D$76</c:f>
              <c:numCache>
                <c:formatCode>0.0</c:formatCode>
                <c:ptCount val="67"/>
                <c:pt idx="0">
                  <c:v>50.17</c:v>
                </c:pt>
                <c:pt idx="1">
                  <c:v>50.01</c:v>
                </c:pt>
                <c:pt idx="2">
                  <c:v>47.69</c:v>
                </c:pt>
                <c:pt idx="3">
                  <c:v>47.5</c:v>
                </c:pt>
                <c:pt idx="4">
                  <c:v>46.01</c:v>
                </c:pt>
                <c:pt idx="5">
                  <c:v>45.51</c:v>
                </c:pt>
                <c:pt idx="6">
                  <c:v>44.809999999999995</c:v>
                </c:pt>
                <c:pt idx="7">
                  <c:v>44.5</c:v>
                </c:pt>
                <c:pt idx="8">
                  <c:v>44.16</c:v>
                </c:pt>
                <c:pt idx="9">
                  <c:v>43.5</c:v>
                </c:pt>
                <c:pt idx="10">
                  <c:v>43.07</c:v>
                </c:pt>
                <c:pt idx="11">
                  <c:v>43.07</c:v>
                </c:pt>
                <c:pt idx="12">
                  <c:v>42.849999999999994</c:v>
                </c:pt>
                <c:pt idx="13">
                  <c:v>42.8</c:v>
                </c:pt>
                <c:pt idx="14">
                  <c:v>42.7</c:v>
                </c:pt>
                <c:pt idx="15">
                  <c:v>42.4</c:v>
                </c:pt>
                <c:pt idx="16">
                  <c:v>42.019999999999996</c:v>
                </c:pt>
                <c:pt idx="17">
                  <c:v>41.89</c:v>
                </c:pt>
                <c:pt idx="18">
                  <c:v>41.779999999999994</c:v>
                </c:pt>
                <c:pt idx="19">
                  <c:v>41.41</c:v>
                </c:pt>
                <c:pt idx="20">
                  <c:v>40.199999999999996</c:v>
                </c:pt>
                <c:pt idx="21">
                  <c:v>39.65</c:v>
                </c:pt>
                <c:pt idx="22">
                  <c:v>36.629999999999995</c:v>
                </c:pt>
                <c:pt idx="23">
                  <c:v>36.4</c:v>
                </c:pt>
                <c:pt idx="24">
                  <c:v>36.32</c:v>
                </c:pt>
                <c:pt idx="25">
                  <c:v>36.269999999999996</c:v>
                </c:pt>
                <c:pt idx="26">
                  <c:v>35.739999999999995</c:v>
                </c:pt>
                <c:pt idx="27">
                  <c:v>31.43</c:v>
                </c:pt>
                <c:pt idx="28">
                  <c:v>30.310000000000002</c:v>
                </c:pt>
                <c:pt idx="29">
                  <c:v>28.84</c:v>
                </c:pt>
                <c:pt idx="30">
                  <c:v>27.23</c:v>
                </c:pt>
                <c:pt idx="31">
                  <c:v>27.1</c:v>
                </c:pt>
                <c:pt idx="32">
                  <c:v>26.95</c:v>
                </c:pt>
                <c:pt idx="33">
                  <c:v>25.57</c:v>
                </c:pt>
                <c:pt idx="34">
                  <c:v>24.95</c:v>
                </c:pt>
                <c:pt idx="35">
                  <c:v>24.57</c:v>
                </c:pt>
                <c:pt idx="36">
                  <c:v>24.43</c:v>
                </c:pt>
                <c:pt idx="37">
                  <c:v>24.03</c:v>
                </c:pt>
                <c:pt idx="38">
                  <c:v>24.02</c:v>
                </c:pt>
                <c:pt idx="39">
                  <c:v>23.98</c:v>
                </c:pt>
                <c:pt idx="40">
                  <c:v>23.19</c:v>
                </c:pt>
                <c:pt idx="41">
                  <c:v>23.09</c:v>
                </c:pt>
                <c:pt idx="42">
                  <c:v>22.55</c:v>
                </c:pt>
                <c:pt idx="43">
                  <c:v>22.44</c:v>
                </c:pt>
                <c:pt idx="44">
                  <c:v>21.43</c:v>
                </c:pt>
                <c:pt idx="45">
                  <c:v>20.079999999999998</c:v>
                </c:pt>
                <c:pt idx="46">
                  <c:v>20.079999999999998</c:v>
                </c:pt>
                <c:pt idx="47">
                  <c:v>20.080000000000002</c:v>
                </c:pt>
                <c:pt idx="48">
                  <c:v>20</c:v>
                </c:pt>
                <c:pt idx="49">
                  <c:v>19.07</c:v>
                </c:pt>
                <c:pt idx="50">
                  <c:v>18.059999999999999</c:v>
                </c:pt>
                <c:pt idx="51">
                  <c:v>15.66</c:v>
                </c:pt>
                <c:pt idx="52">
                  <c:v>14.98</c:v>
                </c:pt>
                <c:pt idx="53">
                  <c:v>14.219999999999999</c:v>
                </c:pt>
                <c:pt idx="54">
                  <c:v>13.329999999999998</c:v>
                </c:pt>
                <c:pt idx="55">
                  <c:v>12.329999999999998</c:v>
                </c:pt>
                <c:pt idx="56">
                  <c:v>11.09</c:v>
                </c:pt>
                <c:pt idx="57">
                  <c:v>10.93</c:v>
                </c:pt>
                <c:pt idx="58">
                  <c:v>10.53</c:v>
                </c:pt>
                <c:pt idx="59">
                  <c:v>10</c:v>
                </c:pt>
                <c:pt idx="60">
                  <c:v>8.77</c:v>
                </c:pt>
                <c:pt idx="61">
                  <c:v>8.0500000000000007</c:v>
                </c:pt>
                <c:pt idx="62">
                  <c:v>7.47</c:v>
                </c:pt>
                <c:pt idx="63">
                  <c:v>6.33</c:v>
                </c:pt>
                <c:pt idx="64">
                  <c:v>4.32</c:v>
                </c:pt>
                <c:pt idx="65">
                  <c:v>3.9099999999999997</c:v>
                </c:pt>
                <c:pt idx="66">
                  <c:v>3.8</c:v>
                </c:pt>
              </c:numCache>
            </c:numRef>
          </c:xVal>
          <c:yVal>
            <c:numRef>
              <c:f>Aug.20.2012_Model!$R$10:$R$76</c:f>
              <c:numCache>
                <c:formatCode>0.00</c:formatCode>
                <c:ptCount val="67"/>
                <c:pt idx="0">
                  <c:v>61.408185299999992</c:v>
                </c:pt>
                <c:pt idx="1">
                  <c:v>2.23</c:v>
                </c:pt>
                <c:pt idx="2">
                  <c:v>301.78981130924529</c:v>
                </c:pt>
                <c:pt idx="3">
                  <c:v>300.99797962525628</c:v>
                </c:pt>
                <c:pt idx="4">
                  <c:v>286.83078805542982</c:v>
                </c:pt>
                <c:pt idx="5">
                  <c:v>216.80369742668029</c:v>
                </c:pt>
                <c:pt idx="6">
                  <c:v>216.72822445658846</c:v>
                </c:pt>
                <c:pt idx="7">
                  <c:v>214.29962258707621</c:v>
                </c:pt>
                <c:pt idx="8">
                  <c:v>743.36412076043518</c:v>
                </c:pt>
                <c:pt idx="9">
                  <c:v>744.27739032166937</c:v>
                </c:pt>
                <c:pt idx="10">
                  <c:v>743.614404192611</c:v>
                </c:pt>
                <c:pt idx="11">
                  <c:v>735.78397002273448</c:v>
                </c:pt>
                <c:pt idx="12">
                  <c:v>734.82228222086678</c:v>
                </c:pt>
                <c:pt idx="13">
                  <c:v>734.90100530915026</c:v>
                </c:pt>
                <c:pt idx="14">
                  <c:v>737.56285232464063</c:v>
                </c:pt>
                <c:pt idx="15">
                  <c:v>745.82683934233648</c:v>
                </c:pt>
                <c:pt idx="16">
                  <c:v>757.11187079099875</c:v>
                </c:pt>
                <c:pt idx="17">
                  <c:v>764.01564017880582</c:v>
                </c:pt>
                <c:pt idx="18">
                  <c:v>767.40189671909479</c:v>
                </c:pt>
                <c:pt idx="19">
                  <c:v>370.10595359316852</c:v>
                </c:pt>
                <c:pt idx="20">
                  <c:v>373.58873775809252</c:v>
                </c:pt>
                <c:pt idx="21">
                  <c:v>360.262757264595</c:v>
                </c:pt>
                <c:pt idx="22">
                  <c:v>362.77421593109619</c:v>
                </c:pt>
                <c:pt idx="23">
                  <c:v>362.79566185013687</c:v>
                </c:pt>
                <c:pt idx="24">
                  <c:v>295.23144682866808</c:v>
                </c:pt>
                <c:pt idx="25">
                  <c:v>260.43814977324467</c:v>
                </c:pt>
                <c:pt idx="26">
                  <c:v>259.38108772455593</c:v>
                </c:pt>
                <c:pt idx="27">
                  <c:v>250.78497936635159</c:v>
                </c:pt>
                <c:pt idx="28">
                  <c:v>451.86509776635148</c:v>
                </c:pt>
                <c:pt idx="29">
                  <c:v>533.1435312528381</c:v>
                </c:pt>
                <c:pt idx="30">
                  <c:v>719.05306074141845</c:v>
                </c:pt>
                <c:pt idx="31">
                  <c:v>741.56510363387531</c:v>
                </c:pt>
                <c:pt idx="32">
                  <c:v>779.6215676751716</c:v>
                </c:pt>
                <c:pt idx="33">
                  <c:v>847.46942687109743</c:v>
                </c:pt>
                <c:pt idx="34">
                  <c:v>1130.0856860791223</c:v>
                </c:pt>
                <c:pt idx="35">
                  <c:v>858.06571112140091</c:v>
                </c:pt>
                <c:pt idx="36">
                  <c:v>908.53807406127748</c:v>
                </c:pt>
                <c:pt idx="37">
                  <c:v>512.54369981717014</c:v>
                </c:pt>
                <c:pt idx="38">
                  <c:v>488.55151937971914</c:v>
                </c:pt>
                <c:pt idx="39">
                  <c:v>490.06410842539816</c:v>
                </c:pt>
                <c:pt idx="40">
                  <c:v>494.59673443226092</c:v>
                </c:pt>
                <c:pt idx="41">
                  <c:v>494.65709970106798</c:v>
                </c:pt>
                <c:pt idx="42">
                  <c:v>624.59278397930336</c:v>
                </c:pt>
                <c:pt idx="43">
                  <c:v>794.3998188194995</c:v>
                </c:pt>
                <c:pt idx="44">
                  <c:v>800.19469510675447</c:v>
                </c:pt>
                <c:pt idx="45">
                  <c:v>824.88656969808665</c:v>
                </c:pt>
                <c:pt idx="46">
                  <c:v>647.67536015803944</c:v>
                </c:pt>
                <c:pt idx="47">
                  <c:v>615.91108674991767</c:v>
                </c:pt>
                <c:pt idx="48">
                  <c:v>617.41424069099219</c:v>
                </c:pt>
                <c:pt idx="49">
                  <c:v>634.88840525598357</c:v>
                </c:pt>
                <c:pt idx="50">
                  <c:v>589.12939346758083</c:v>
                </c:pt>
                <c:pt idx="51">
                  <c:v>634.22401169981629</c:v>
                </c:pt>
                <c:pt idx="52">
                  <c:v>621.14576763786772</c:v>
                </c:pt>
                <c:pt idx="53">
                  <c:v>690.33301275949327</c:v>
                </c:pt>
                <c:pt idx="54">
                  <c:v>673.8006151238983</c:v>
                </c:pt>
                <c:pt idx="55">
                  <c:v>694.62591359130022</c:v>
                </c:pt>
                <c:pt idx="56">
                  <c:v>671.19264560086617</c:v>
                </c:pt>
                <c:pt idx="57">
                  <c:v>697.1250630580505</c:v>
                </c:pt>
                <c:pt idx="58">
                  <c:v>1169.8337503010116</c:v>
                </c:pt>
                <c:pt idx="59">
                  <c:v>1161.994960715645</c:v>
                </c:pt>
                <c:pt idx="60">
                  <c:v>1170.6128746677493</c:v>
                </c:pt>
                <c:pt idx="61">
                  <c:v>1164.4464209216205</c:v>
                </c:pt>
                <c:pt idx="62">
                  <c:v>1117.6201588205508</c:v>
                </c:pt>
                <c:pt idx="63">
                  <c:v>1046.7548314079108</c:v>
                </c:pt>
                <c:pt idx="64">
                  <c:v>1089.2918952107277</c:v>
                </c:pt>
                <c:pt idx="65">
                  <c:v>1004.2089331256602</c:v>
                </c:pt>
                <c:pt idx="66">
                  <c:v>1006.5368321397448</c:v>
                </c:pt>
              </c:numCache>
            </c:numRef>
          </c:yVal>
        </c:ser>
        <c:dLbls/>
        <c:axId val="132847872"/>
        <c:axId val="132870528"/>
      </c:scatterChart>
      <c:valAx>
        <c:axId val="132847872"/>
        <c:scaling>
          <c:orientation val="maxMin"/>
          <c:max val="65"/>
          <c:min val="0"/>
        </c:scaling>
        <c:axPos val="b"/>
        <c:title>
          <c:tx>
            <c:rich>
              <a:bodyPr/>
              <a:lstStyle/>
              <a:p>
                <a:pPr>
                  <a:defRPr/>
                </a:pPr>
                <a:r>
                  <a:rPr lang="en-US"/>
                  <a:t>River Mile</a:t>
                </a:r>
              </a:p>
            </c:rich>
          </c:tx>
          <c:layout>
            <c:manualLayout>
              <c:xMode val="edge"/>
              <c:yMode val="edge"/>
              <c:x val="0.44753101259043537"/>
              <c:y val="0.7698717222754945"/>
            </c:manualLayout>
          </c:layout>
          <c:spPr>
            <a:noFill/>
            <a:ln w="25400">
              <a:noFill/>
            </a:ln>
          </c:spPr>
        </c:title>
        <c:numFmt formatCode="#,##0" sourceLinked="0"/>
        <c:majorTickMark val="in"/>
        <c:tickLblPos val="nextTo"/>
        <c:spPr>
          <a:ln w="3175">
            <a:solidFill>
              <a:srgbClr val="000000"/>
            </a:solidFill>
            <a:prstDash val="solid"/>
          </a:ln>
        </c:spPr>
        <c:txPr>
          <a:bodyPr rot="0" vert="horz"/>
          <a:lstStyle/>
          <a:p>
            <a:pPr>
              <a:defRPr/>
            </a:pPr>
            <a:endParaRPr lang="en-US"/>
          </a:p>
        </c:txPr>
        <c:crossAx val="132870528"/>
        <c:crosses val="autoZero"/>
        <c:crossBetween val="midCat"/>
        <c:majorUnit val="5"/>
      </c:valAx>
      <c:valAx>
        <c:axId val="132870528"/>
        <c:scaling>
          <c:orientation val="minMax"/>
          <c:max val="2000"/>
          <c:min val="0"/>
        </c:scaling>
        <c:axPos val="r"/>
        <c:title>
          <c:tx>
            <c:rich>
              <a:bodyPr/>
              <a:lstStyle/>
              <a:p>
                <a:pPr>
                  <a:defRPr/>
                </a:pPr>
                <a:r>
                  <a:rPr lang="en-US"/>
                  <a:t>Total phosphorus load, in pounds per day</a:t>
                </a:r>
              </a:p>
            </c:rich>
          </c:tx>
          <c:layout>
            <c:manualLayout>
              <c:xMode val="edge"/>
              <c:yMode val="edge"/>
              <c:x val="0.96069522899986659"/>
              <c:y val="0.15065282483080369"/>
            </c:manualLayout>
          </c:layout>
          <c:spPr>
            <a:noFill/>
            <a:ln w="25400">
              <a:noFill/>
            </a:ln>
          </c:spPr>
        </c:title>
        <c:numFmt formatCode="#,##0" sourceLinked="0"/>
        <c:majorTickMark val="in"/>
        <c:tickLblPos val="nextTo"/>
        <c:spPr>
          <a:ln w="3175">
            <a:solidFill>
              <a:srgbClr val="000000"/>
            </a:solidFill>
            <a:prstDash val="solid"/>
          </a:ln>
        </c:spPr>
        <c:txPr>
          <a:bodyPr rot="0" vert="horz"/>
          <a:lstStyle/>
          <a:p>
            <a:pPr>
              <a:defRPr/>
            </a:pPr>
            <a:endParaRPr lang="en-US"/>
          </a:p>
        </c:txPr>
        <c:crossAx val="132847872"/>
        <c:crosses val="autoZero"/>
        <c:crossBetween val="midCat"/>
        <c:majorUnit val="200"/>
      </c:valAx>
      <c:spPr>
        <a:noFill/>
        <a:ln w="12700">
          <a:solidFill>
            <a:srgbClr val="808080"/>
          </a:solidFill>
          <a:prstDash val="solid"/>
        </a:ln>
      </c:spPr>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2.1280591788612182E-3"/>
          <c:y val="0.81704522762625875"/>
          <c:w val="0.49665922990692529"/>
          <c:h val="0.18295467087010472"/>
        </c:manualLayout>
      </c:layout>
      <c:spPr>
        <a:solidFill>
          <a:sysClr val="window" lastClr="FFFFFF"/>
        </a:solidFill>
        <a:ln w="3175">
          <a:noFill/>
          <a:prstDash val="solid"/>
        </a:ln>
      </c:spPr>
    </c:legend>
    <c:plotVisOnly val="1"/>
    <c:dispBlanksAs val="gap"/>
  </c:chart>
  <c:spPr>
    <a:noFill/>
    <a:ln w="3175">
      <a:solidFill>
        <a:srgbClr val="000000"/>
      </a:solidFill>
      <a:prstDash val="solid"/>
    </a:ln>
  </c:spPr>
  <c:txPr>
    <a:bodyPr/>
    <a:lstStyle/>
    <a:p>
      <a:pPr>
        <a:defRPr sz="1400" b="1" i="0" u="none" strike="noStrike" baseline="0">
          <a:solidFill>
            <a:srgbClr val="000000"/>
          </a:solidFill>
          <a:latin typeface="Arial Narrow" panose="020B0606020202030204" pitchFamily="34" charset="0"/>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protection/>
  <c:chart>
    <c:title>
      <c:tx>
        <c:rich>
          <a:bodyPr/>
          <a:lstStyle/>
          <a:p>
            <a:pPr>
              <a:defRPr/>
            </a:pPr>
            <a:r>
              <a:rPr lang="en-US"/>
              <a:t>Discharge Balance and Measured Main-stem Discharge, Week of August 20, 2012, Lower Boise River, Southwestern Idaho</a:t>
            </a:r>
          </a:p>
        </c:rich>
      </c:tx>
      <c:layout>
        <c:manualLayout>
          <c:xMode val="edge"/>
          <c:yMode val="edge"/>
          <c:x val="0.10994095111951382"/>
          <c:y val="3.6502366376969388E-2"/>
        </c:manualLayout>
      </c:layout>
      <c:spPr>
        <a:noFill/>
        <a:ln w="25400">
          <a:noFill/>
        </a:ln>
      </c:spPr>
    </c:title>
    <c:plotArea>
      <c:layout>
        <c:manualLayout>
          <c:layoutTarget val="inner"/>
          <c:xMode val="edge"/>
          <c:yMode val="edge"/>
          <c:x val="6.6515464759082918E-2"/>
          <c:y val="0.16268451011651744"/>
          <c:w val="0.80632619834199049"/>
          <c:h val="0.54636612099540105"/>
        </c:manualLayout>
      </c:layout>
      <c:scatterChart>
        <c:scatterStyle val="lineMarker"/>
        <c:ser>
          <c:idx val="1"/>
          <c:order val="0"/>
          <c:tx>
            <c:v>Main-stem Discharge Measurement</c:v>
          </c:tx>
          <c:spPr>
            <a:ln w="28575">
              <a:noFill/>
            </a:ln>
          </c:spPr>
          <c:marker>
            <c:symbol val="square"/>
            <c:size val="5"/>
            <c:spPr>
              <a:solidFill>
                <a:srgbClr val="FF9900"/>
              </a:solidFill>
              <a:ln>
                <a:solidFill>
                  <a:srgbClr val="000000"/>
                </a:solidFill>
                <a:prstDash val="solid"/>
              </a:ln>
            </c:spPr>
          </c:marker>
          <c:xVal>
            <c:numRef>
              <c:f>Measured_Main_Stem_Data!$A$3:$A$16</c:f>
              <c:numCache>
                <c:formatCode>0.0</c:formatCode>
                <c:ptCount val="14"/>
                <c:pt idx="0">
                  <c:v>61.1</c:v>
                </c:pt>
                <c:pt idx="1">
                  <c:v>50.17</c:v>
                </c:pt>
                <c:pt idx="2">
                  <c:v>47.5</c:v>
                </c:pt>
                <c:pt idx="3">
                  <c:v>42.8</c:v>
                </c:pt>
                <c:pt idx="4">
                  <c:v>41.779999999999994</c:v>
                </c:pt>
                <c:pt idx="5">
                  <c:v>39.65</c:v>
                </c:pt>
                <c:pt idx="6">
                  <c:v>36.4</c:v>
                </c:pt>
                <c:pt idx="7">
                  <c:v>31.43</c:v>
                </c:pt>
                <c:pt idx="8">
                  <c:v>28.84</c:v>
                </c:pt>
                <c:pt idx="9">
                  <c:v>23.98</c:v>
                </c:pt>
                <c:pt idx="10">
                  <c:v>21.43</c:v>
                </c:pt>
                <c:pt idx="11">
                  <c:v>15.66</c:v>
                </c:pt>
                <c:pt idx="12">
                  <c:v>8.77</c:v>
                </c:pt>
                <c:pt idx="13">
                  <c:v>3.8</c:v>
                </c:pt>
              </c:numCache>
            </c:numRef>
          </c:xVal>
          <c:yVal>
            <c:numRef>
              <c:f>Measured_Main_Stem_Data!$B$3:$B$16</c:f>
              <c:numCache>
                <c:formatCode>0</c:formatCode>
                <c:ptCount val="14"/>
                <c:pt idx="0">
                  <c:v>1605</c:v>
                </c:pt>
                <c:pt idx="1">
                  <c:v>752</c:v>
                </c:pt>
                <c:pt idx="2">
                  <c:v>778</c:v>
                </c:pt>
                <c:pt idx="3">
                  <c:v>564</c:v>
                </c:pt>
                <c:pt idx="4">
                  <c:v>651</c:v>
                </c:pt>
                <c:pt idx="5">
                  <c:v>363</c:v>
                </c:pt>
                <c:pt idx="6">
                  <c:v>366</c:v>
                </c:pt>
                <c:pt idx="7">
                  <c:v>253</c:v>
                </c:pt>
                <c:pt idx="8">
                  <c:v>452</c:v>
                </c:pt>
                <c:pt idx="9">
                  <c:v>382</c:v>
                </c:pt>
                <c:pt idx="10">
                  <c:v>475</c:v>
                </c:pt>
                <c:pt idx="11">
                  <c:v>391</c:v>
                </c:pt>
                <c:pt idx="12">
                  <c:v>711</c:v>
                </c:pt>
                <c:pt idx="13">
                  <c:v>624</c:v>
                </c:pt>
              </c:numCache>
            </c:numRef>
          </c:yVal>
        </c:ser>
        <c:ser>
          <c:idx val="3"/>
          <c:order val="1"/>
          <c:tx>
            <c:v>Net Surface-water Discharge (-Diversions +Returns)</c:v>
          </c:tx>
          <c:spPr>
            <a:ln w="22225">
              <a:solidFill>
                <a:srgbClr val="0070C0"/>
              </a:solidFill>
            </a:ln>
          </c:spPr>
          <c:marker>
            <c:symbol val="x"/>
            <c:size val="5"/>
            <c:spPr>
              <a:ln>
                <a:solidFill>
                  <a:srgbClr val="0070C0"/>
                </a:solidFill>
              </a:ln>
            </c:spPr>
          </c:marker>
          <c:xVal>
            <c:numRef>
              <c:f>Aug.20.2012_Model!$D$10:$D$76</c:f>
              <c:numCache>
                <c:formatCode>0.0</c:formatCode>
                <c:ptCount val="67"/>
                <c:pt idx="0">
                  <c:v>50.17</c:v>
                </c:pt>
                <c:pt idx="1">
                  <c:v>50.01</c:v>
                </c:pt>
                <c:pt idx="2">
                  <c:v>47.69</c:v>
                </c:pt>
                <c:pt idx="3">
                  <c:v>47.5</c:v>
                </c:pt>
                <c:pt idx="4">
                  <c:v>46.01</c:v>
                </c:pt>
                <c:pt idx="5">
                  <c:v>45.51</c:v>
                </c:pt>
                <c:pt idx="6">
                  <c:v>44.809999999999995</c:v>
                </c:pt>
                <c:pt idx="7">
                  <c:v>44.5</c:v>
                </c:pt>
                <c:pt idx="8">
                  <c:v>44.16</c:v>
                </c:pt>
                <c:pt idx="9">
                  <c:v>43.5</c:v>
                </c:pt>
                <c:pt idx="10">
                  <c:v>43.07</c:v>
                </c:pt>
                <c:pt idx="11">
                  <c:v>43.07</c:v>
                </c:pt>
                <c:pt idx="12">
                  <c:v>42.849999999999994</c:v>
                </c:pt>
                <c:pt idx="13">
                  <c:v>42.8</c:v>
                </c:pt>
                <c:pt idx="14">
                  <c:v>42.7</c:v>
                </c:pt>
                <c:pt idx="15">
                  <c:v>42.4</c:v>
                </c:pt>
                <c:pt idx="16">
                  <c:v>42.019999999999996</c:v>
                </c:pt>
                <c:pt idx="17">
                  <c:v>41.89</c:v>
                </c:pt>
                <c:pt idx="18">
                  <c:v>41.779999999999994</c:v>
                </c:pt>
                <c:pt idx="19">
                  <c:v>41.41</c:v>
                </c:pt>
                <c:pt idx="20">
                  <c:v>40.199999999999996</c:v>
                </c:pt>
                <c:pt idx="21">
                  <c:v>39.65</c:v>
                </c:pt>
                <c:pt idx="22">
                  <c:v>36.629999999999995</c:v>
                </c:pt>
                <c:pt idx="23">
                  <c:v>36.4</c:v>
                </c:pt>
                <c:pt idx="24">
                  <c:v>36.32</c:v>
                </c:pt>
                <c:pt idx="25">
                  <c:v>36.269999999999996</c:v>
                </c:pt>
                <c:pt idx="26">
                  <c:v>35.739999999999995</c:v>
                </c:pt>
                <c:pt idx="27">
                  <c:v>31.43</c:v>
                </c:pt>
                <c:pt idx="28">
                  <c:v>30.310000000000002</c:v>
                </c:pt>
                <c:pt idx="29">
                  <c:v>28.84</c:v>
                </c:pt>
                <c:pt idx="30">
                  <c:v>27.23</c:v>
                </c:pt>
                <c:pt idx="31">
                  <c:v>27.1</c:v>
                </c:pt>
                <c:pt idx="32">
                  <c:v>26.95</c:v>
                </c:pt>
                <c:pt idx="33">
                  <c:v>25.57</c:v>
                </c:pt>
                <c:pt idx="34">
                  <c:v>24.95</c:v>
                </c:pt>
                <c:pt idx="35">
                  <c:v>24.57</c:v>
                </c:pt>
                <c:pt idx="36">
                  <c:v>24.43</c:v>
                </c:pt>
                <c:pt idx="37">
                  <c:v>24.03</c:v>
                </c:pt>
                <c:pt idx="38">
                  <c:v>24.02</c:v>
                </c:pt>
                <c:pt idx="39">
                  <c:v>23.98</c:v>
                </c:pt>
                <c:pt idx="40">
                  <c:v>23.19</c:v>
                </c:pt>
                <c:pt idx="41">
                  <c:v>23.09</c:v>
                </c:pt>
                <c:pt idx="42">
                  <c:v>22.55</c:v>
                </c:pt>
                <c:pt idx="43">
                  <c:v>22.44</c:v>
                </c:pt>
                <c:pt idx="44">
                  <c:v>21.43</c:v>
                </c:pt>
                <c:pt idx="45">
                  <c:v>20.079999999999998</c:v>
                </c:pt>
                <c:pt idx="46">
                  <c:v>20.079999999999998</c:v>
                </c:pt>
                <c:pt idx="47">
                  <c:v>20.080000000000002</c:v>
                </c:pt>
                <c:pt idx="48">
                  <c:v>20</c:v>
                </c:pt>
                <c:pt idx="49">
                  <c:v>19.07</c:v>
                </c:pt>
                <c:pt idx="50">
                  <c:v>18.059999999999999</c:v>
                </c:pt>
                <c:pt idx="51">
                  <c:v>15.66</c:v>
                </c:pt>
                <c:pt idx="52">
                  <c:v>14.98</c:v>
                </c:pt>
                <c:pt idx="53">
                  <c:v>14.219999999999999</c:v>
                </c:pt>
                <c:pt idx="54">
                  <c:v>13.329999999999998</c:v>
                </c:pt>
                <c:pt idx="55">
                  <c:v>12.329999999999998</c:v>
                </c:pt>
                <c:pt idx="56">
                  <c:v>11.09</c:v>
                </c:pt>
                <c:pt idx="57">
                  <c:v>10.93</c:v>
                </c:pt>
                <c:pt idx="58">
                  <c:v>10.53</c:v>
                </c:pt>
                <c:pt idx="59">
                  <c:v>10</c:v>
                </c:pt>
                <c:pt idx="60">
                  <c:v>8.77</c:v>
                </c:pt>
                <c:pt idx="61">
                  <c:v>8.0500000000000007</c:v>
                </c:pt>
                <c:pt idx="62">
                  <c:v>7.47</c:v>
                </c:pt>
                <c:pt idx="63">
                  <c:v>6.33</c:v>
                </c:pt>
                <c:pt idx="64">
                  <c:v>4.32</c:v>
                </c:pt>
                <c:pt idx="65">
                  <c:v>3.9099999999999997</c:v>
                </c:pt>
                <c:pt idx="66">
                  <c:v>3.8</c:v>
                </c:pt>
              </c:numCache>
            </c:numRef>
          </c:xVal>
          <c:yVal>
            <c:numRef>
              <c:f>Aug.20.2012_Model!$H$10:$H$76</c:f>
              <c:numCache>
                <c:formatCode>0.0</c:formatCode>
                <c:ptCount val="67"/>
                <c:pt idx="0">
                  <c:v>759</c:v>
                </c:pt>
                <c:pt idx="1">
                  <c:v>779.8</c:v>
                </c:pt>
                <c:pt idx="2">
                  <c:v>779.8</c:v>
                </c:pt>
                <c:pt idx="3">
                  <c:v>779.8</c:v>
                </c:pt>
                <c:pt idx="4">
                  <c:v>741.8</c:v>
                </c:pt>
                <c:pt idx="5">
                  <c:v>564.79999999999995</c:v>
                </c:pt>
                <c:pt idx="6">
                  <c:v>562.79999999999995</c:v>
                </c:pt>
                <c:pt idx="7">
                  <c:v>555.79999999999995</c:v>
                </c:pt>
                <c:pt idx="8">
                  <c:v>578.69999999999993</c:v>
                </c:pt>
                <c:pt idx="9">
                  <c:v>578.69999999999993</c:v>
                </c:pt>
                <c:pt idx="10">
                  <c:v>577.69999999999993</c:v>
                </c:pt>
                <c:pt idx="11">
                  <c:v>571.69999999999993</c:v>
                </c:pt>
                <c:pt idx="12">
                  <c:v>570.69999999999993</c:v>
                </c:pt>
                <c:pt idx="13">
                  <c:v>570.69999999999993</c:v>
                </c:pt>
                <c:pt idx="14">
                  <c:v>570.69999999999993</c:v>
                </c:pt>
                <c:pt idx="15">
                  <c:v>570.59999999999991</c:v>
                </c:pt>
                <c:pt idx="16">
                  <c:v>570.59999999999991</c:v>
                </c:pt>
                <c:pt idx="17">
                  <c:v>581.59999999999991</c:v>
                </c:pt>
                <c:pt idx="18">
                  <c:v>581.59999999999991</c:v>
                </c:pt>
                <c:pt idx="19">
                  <c:v>253.59999999999991</c:v>
                </c:pt>
                <c:pt idx="20">
                  <c:v>345.59999999999991</c:v>
                </c:pt>
                <c:pt idx="21">
                  <c:v>345.59999999999991</c:v>
                </c:pt>
                <c:pt idx="22">
                  <c:v>348.18999999999988</c:v>
                </c:pt>
                <c:pt idx="23">
                  <c:v>348.18999999999988</c:v>
                </c:pt>
                <c:pt idx="24">
                  <c:v>280.18999999999988</c:v>
                </c:pt>
                <c:pt idx="25">
                  <c:v>245.18999999999988</c:v>
                </c:pt>
                <c:pt idx="26">
                  <c:v>245.18999999999988</c:v>
                </c:pt>
                <c:pt idx="27">
                  <c:v>245.18999999999988</c:v>
                </c:pt>
                <c:pt idx="28">
                  <c:v>337.9899999999999</c:v>
                </c:pt>
                <c:pt idx="29">
                  <c:v>337.9899999999999</c:v>
                </c:pt>
                <c:pt idx="30">
                  <c:v>459.9899999999999</c:v>
                </c:pt>
                <c:pt idx="31">
                  <c:v>460.99999999999989</c:v>
                </c:pt>
                <c:pt idx="32">
                  <c:v>492.59999999999991</c:v>
                </c:pt>
                <c:pt idx="33">
                  <c:v>505.7999999999999</c:v>
                </c:pt>
                <c:pt idx="34">
                  <c:v>660.8</c:v>
                </c:pt>
                <c:pt idx="35">
                  <c:v>436.79999999999995</c:v>
                </c:pt>
                <c:pt idx="36">
                  <c:v>471.69999999999993</c:v>
                </c:pt>
                <c:pt idx="37">
                  <c:v>150.69999999999993</c:v>
                </c:pt>
                <c:pt idx="38">
                  <c:v>131.69999999999993</c:v>
                </c:pt>
                <c:pt idx="39">
                  <c:v>131.69999999999993</c:v>
                </c:pt>
                <c:pt idx="40">
                  <c:v>131.69999999999993</c:v>
                </c:pt>
                <c:pt idx="41">
                  <c:v>131.29999999999993</c:v>
                </c:pt>
                <c:pt idx="42">
                  <c:v>144.14999999999992</c:v>
                </c:pt>
                <c:pt idx="43">
                  <c:v>213.84999999999991</c:v>
                </c:pt>
                <c:pt idx="44">
                  <c:v>213.84999999999991</c:v>
                </c:pt>
                <c:pt idx="45">
                  <c:v>213.4499999999999</c:v>
                </c:pt>
                <c:pt idx="46">
                  <c:v>107.4499999999999</c:v>
                </c:pt>
                <c:pt idx="47">
                  <c:v>88.449999999999903</c:v>
                </c:pt>
                <c:pt idx="48">
                  <c:v>88.449999999999903</c:v>
                </c:pt>
                <c:pt idx="49">
                  <c:v>88.449999999999903</c:v>
                </c:pt>
                <c:pt idx="50">
                  <c:v>49.449999999999903</c:v>
                </c:pt>
                <c:pt idx="51">
                  <c:v>49.449999999999903</c:v>
                </c:pt>
                <c:pt idx="52">
                  <c:v>38.449999999999903</c:v>
                </c:pt>
                <c:pt idx="53">
                  <c:v>75.449999999999903</c:v>
                </c:pt>
                <c:pt idx="54">
                  <c:v>61.449999999999903</c:v>
                </c:pt>
                <c:pt idx="55">
                  <c:v>73.649999999999906</c:v>
                </c:pt>
                <c:pt idx="56">
                  <c:v>53.649999999999906</c:v>
                </c:pt>
                <c:pt idx="57">
                  <c:v>76.649999999999906</c:v>
                </c:pt>
                <c:pt idx="58">
                  <c:v>340.64999999999992</c:v>
                </c:pt>
                <c:pt idx="59">
                  <c:v>333.64999999999992</c:v>
                </c:pt>
                <c:pt idx="60">
                  <c:v>333.64999999999992</c:v>
                </c:pt>
                <c:pt idx="61">
                  <c:v>320.64999999999992</c:v>
                </c:pt>
                <c:pt idx="62">
                  <c:v>284.64999999999992</c:v>
                </c:pt>
                <c:pt idx="63">
                  <c:v>226.64999999999992</c:v>
                </c:pt>
                <c:pt idx="64">
                  <c:v>226.64999999999992</c:v>
                </c:pt>
                <c:pt idx="65">
                  <c:v>168.64999999999992</c:v>
                </c:pt>
                <c:pt idx="66">
                  <c:v>168.64999999999992</c:v>
                </c:pt>
              </c:numCache>
            </c:numRef>
          </c:yVal>
        </c:ser>
        <c:ser>
          <c:idx val="2"/>
          <c:order val="2"/>
          <c:tx>
            <c:v>Modeled Discharge with Streamflow Gains and Losses</c:v>
          </c:tx>
          <c:spPr>
            <a:ln w="22225">
              <a:solidFill>
                <a:srgbClr val="FF0000"/>
              </a:solidFill>
              <a:prstDash val="solid"/>
            </a:ln>
          </c:spPr>
          <c:marker>
            <c:symbol val="none"/>
          </c:marker>
          <c:xVal>
            <c:numRef>
              <c:f>Aug.20.2012_Model!$D$10:$D$76</c:f>
              <c:numCache>
                <c:formatCode>0.0</c:formatCode>
                <c:ptCount val="67"/>
                <c:pt idx="0">
                  <c:v>50.17</c:v>
                </c:pt>
                <c:pt idx="1">
                  <c:v>50.01</c:v>
                </c:pt>
                <c:pt idx="2">
                  <c:v>47.69</c:v>
                </c:pt>
                <c:pt idx="3">
                  <c:v>47.5</c:v>
                </c:pt>
                <c:pt idx="4">
                  <c:v>46.01</c:v>
                </c:pt>
                <c:pt idx="5">
                  <c:v>45.51</c:v>
                </c:pt>
                <c:pt idx="6">
                  <c:v>44.809999999999995</c:v>
                </c:pt>
                <c:pt idx="7">
                  <c:v>44.5</c:v>
                </c:pt>
                <c:pt idx="8">
                  <c:v>44.16</c:v>
                </c:pt>
                <c:pt idx="9">
                  <c:v>43.5</c:v>
                </c:pt>
                <c:pt idx="10">
                  <c:v>43.07</c:v>
                </c:pt>
                <c:pt idx="11">
                  <c:v>43.07</c:v>
                </c:pt>
                <c:pt idx="12">
                  <c:v>42.849999999999994</c:v>
                </c:pt>
                <c:pt idx="13">
                  <c:v>42.8</c:v>
                </c:pt>
                <c:pt idx="14">
                  <c:v>42.7</c:v>
                </c:pt>
                <c:pt idx="15">
                  <c:v>42.4</c:v>
                </c:pt>
                <c:pt idx="16">
                  <c:v>42.019999999999996</c:v>
                </c:pt>
                <c:pt idx="17">
                  <c:v>41.89</c:v>
                </c:pt>
                <c:pt idx="18">
                  <c:v>41.779999999999994</c:v>
                </c:pt>
                <c:pt idx="19">
                  <c:v>41.41</c:v>
                </c:pt>
                <c:pt idx="20">
                  <c:v>40.199999999999996</c:v>
                </c:pt>
                <c:pt idx="21">
                  <c:v>39.65</c:v>
                </c:pt>
                <c:pt idx="22">
                  <c:v>36.629999999999995</c:v>
                </c:pt>
                <c:pt idx="23">
                  <c:v>36.4</c:v>
                </c:pt>
                <c:pt idx="24">
                  <c:v>36.32</c:v>
                </c:pt>
                <c:pt idx="25">
                  <c:v>36.269999999999996</c:v>
                </c:pt>
                <c:pt idx="26">
                  <c:v>35.739999999999995</c:v>
                </c:pt>
                <c:pt idx="27">
                  <c:v>31.43</c:v>
                </c:pt>
                <c:pt idx="28">
                  <c:v>30.310000000000002</c:v>
                </c:pt>
                <c:pt idx="29">
                  <c:v>28.84</c:v>
                </c:pt>
                <c:pt idx="30">
                  <c:v>27.23</c:v>
                </c:pt>
                <c:pt idx="31">
                  <c:v>27.1</c:v>
                </c:pt>
                <c:pt idx="32">
                  <c:v>26.95</c:v>
                </c:pt>
                <c:pt idx="33">
                  <c:v>25.57</c:v>
                </c:pt>
                <c:pt idx="34">
                  <c:v>24.95</c:v>
                </c:pt>
                <c:pt idx="35">
                  <c:v>24.57</c:v>
                </c:pt>
                <c:pt idx="36">
                  <c:v>24.43</c:v>
                </c:pt>
                <c:pt idx="37">
                  <c:v>24.03</c:v>
                </c:pt>
                <c:pt idx="38">
                  <c:v>24.02</c:v>
                </c:pt>
                <c:pt idx="39">
                  <c:v>23.98</c:v>
                </c:pt>
                <c:pt idx="40">
                  <c:v>23.19</c:v>
                </c:pt>
                <c:pt idx="41">
                  <c:v>23.09</c:v>
                </c:pt>
                <c:pt idx="42">
                  <c:v>22.55</c:v>
                </c:pt>
                <c:pt idx="43">
                  <c:v>22.44</c:v>
                </c:pt>
                <c:pt idx="44">
                  <c:v>21.43</c:v>
                </c:pt>
                <c:pt idx="45">
                  <c:v>20.079999999999998</c:v>
                </c:pt>
                <c:pt idx="46">
                  <c:v>20.079999999999998</c:v>
                </c:pt>
                <c:pt idx="47">
                  <c:v>20.080000000000002</c:v>
                </c:pt>
                <c:pt idx="48">
                  <c:v>20</c:v>
                </c:pt>
                <c:pt idx="49">
                  <c:v>19.07</c:v>
                </c:pt>
                <c:pt idx="50">
                  <c:v>18.059999999999999</c:v>
                </c:pt>
                <c:pt idx="51">
                  <c:v>15.66</c:v>
                </c:pt>
                <c:pt idx="52">
                  <c:v>14.98</c:v>
                </c:pt>
                <c:pt idx="53">
                  <c:v>14.219999999999999</c:v>
                </c:pt>
                <c:pt idx="54">
                  <c:v>13.329999999999998</c:v>
                </c:pt>
                <c:pt idx="55">
                  <c:v>12.329999999999998</c:v>
                </c:pt>
                <c:pt idx="56">
                  <c:v>11.09</c:v>
                </c:pt>
                <c:pt idx="57">
                  <c:v>10.93</c:v>
                </c:pt>
                <c:pt idx="58">
                  <c:v>10.53</c:v>
                </c:pt>
                <c:pt idx="59">
                  <c:v>10</c:v>
                </c:pt>
                <c:pt idx="60">
                  <c:v>8.77</c:v>
                </c:pt>
                <c:pt idx="61">
                  <c:v>8.0500000000000007</c:v>
                </c:pt>
                <c:pt idx="62">
                  <c:v>7.47</c:v>
                </c:pt>
                <c:pt idx="63">
                  <c:v>6.33</c:v>
                </c:pt>
                <c:pt idx="64">
                  <c:v>4.32</c:v>
                </c:pt>
                <c:pt idx="65">
                  <c:v>3.9099999999999997</c:v>
                </c:pt>
                <c:pt idx="66">
                  <c:v>3.8</c:v>
                </c:pt>
              </c:numCache>
            </c:numRef>
          </c:xVal>
          <c:yVal>
            <c:numRef>
              <c:f>Aug.20.2012_Model!$M$10:$M$76</c:f>
              <c:numCache>
                <c:formatCode>0.00</c:formatCode>
                <c:ptCount val="67"/>
                <c:pt idx="0">
                  <c:v>759</c:v>
                </c:pt>
                <c:pt idx="1">
                  <c:v>778.13408239700368</c:v>
                </c:pt>
                <c:pt idx="2">
                  <c:v>753.978277153558</c:v>
                </c:pt>
                <c:pt idx="3">
                  <c:v>752</c:v>
                </c:pt>
                <c:pt idx="4">
                  <c:v>720.68914893617023</c:v>
                </c:pt>
                <c:pt idx="5">
                  <c:v>545.933829787234</c:v>
                </c:pt>
                <c:pt idx="6">
                  <c:v>547.07638297872336</c:v>
                </c:pt>
                <c:pt idx="7">
                  <c:v>541.46808510638289</c:v>
                </c:pt>
                <c:pt idx="8">
                  <c:v>565.89446808510627</c:v>
                </c:pt>
                <c:pt idx="9">
                  <c:v>568.85744680851053</c:v>
                </c:pt>
                <c:pt idx="10">
                  <c:v>569.78787234042545</c:v>
                </c:pt>
                <c:pt idx="11">
                  <c:v>563.78787234042545</c:v>
                </c:pt>
                <c:pt idx="12">
                  <c:v>563.77553191489358</c:v>
                </c:pt>
                <c:pt idx="13">
                  <c:v>564</c:v>
                </c:pt>
                <c:pt idx="14">
                  <c:v>571.46078431372507</c:v>
                </c:pt>
                <c:pt idx="15">
                  <c:v>593.74313725490197</c:v>
                </c:pt>
                <c:pt idx="16">
                  <c:v>622.09411764705919</c:v>
                </c:pt>
                <c:pt idx="17">
                  <c:v>642.79313725490204</c:v>
                </c:pt>
                <c:pt idx="18">
                  <c:v>651.00000000000057</c:v>
                </c:pt>
                <c:pt idx="19">
                  <c:v>313.96713615023538</c:v>
                </c:pt>
                <c:pt idx="20">
                  <c:v>376.42723004694898</c:v>
                </c:pt>
                <c:pt idx="21">
                  <c:v>363.00000000000068</c:v>
                </c:pt>
                <c:pt idx="22">
                  <c:v>365.97098461538531</c:v>
                </c:pt>
                <c:pt idx="23">
                  <c:v>366.00000000000068</c:v>
                </c:pt>
                <c:pt idx="24">
                  <c:v>297.83903420523205</c:v>
                </c:pt>
                <c:pt idx="25">
                  <c:v>262.73843058350167</c:v>
                </c:pt>
                <c:pt idx="26">
                  <c:v>261.67203219315962</c:v>
                </c:pt>
                <c:pt idx="27">
                  <c:v>253.00000000000068</c:v>
                </c:pt>
                <c:pt idx="28">
                  <c:v>391.72432432432493</c:v>
                </c:pt>
                <c:pt idx="29">
                  <c:v>452.00000000000068</c:v>
                </c:pt>
                <c:pt idx="30">
                  <c:v>619.14956790123529</c:v>
                </c:pt>
                <c:pt idx="31">
                  <c:v>623.80518518518591</c:v>
                </c:pt>
                <c:pt idx="32">
                  <c:v>659.61166666666747</c:v>
                </c:pt>
                <c:pt idx="33">
                  <c:v>711.51129629629713</c:v>
                </c:pt>
                <c:pt idx="34">
                  <c:v>883.89808641975401</c:v>
                </c:pt>
                <c:pt idx="35">
                  <c:v>670.55450617284043</c:v>
                </c:pt>
                <c:pt idx="36">
                  <c:v>709.3805555555565</c:v>
                </c:pt>
                <c:pt idx="37">
                  <c:v>399.59783950617373</c:v>
                </c:pt>
                <c:pt idx="38">
                  <c:v>380.87827160493919</c:v>
                </c:pt>
                <c:pt idx="39">
                  <c:v>382.00000000000091</c:v>
                </c:pt>
                <c:pt idx="40">
                  <c:v>385.36137254902053</c:v>
                </c:pt>
                <c:pt idx="41">
                  <c:v>385.38686274509899</c:v>
                </c:pt>
                <c:pt idx="42">
                  <c:v>400.53450980392256</c:v>
                </c:pt>
                <c:pt idx="43">
                  <c:v>470.7025490196088</c:v>
                </c:pt>
                <c:pt idx="44">
                  <c:v>475.00000000000097</c:v>
                </c:pt>
                <c:pt idx="45">
                  <c:v>493.41109185442042</c:v>
                </c:pt>
                <c:pt idx="46">
                  <c:v>387.41109185442042</c:v>
                </c:pt>
                <c:pt idx="47">
                  <c:v>368.41109185442036</c:v>
                </c:pt>
                <c:pt idx="48">
                  <c:v>369.52582322357119</c:v>
                </c:pt>
                <c:pt idx="49">
                  <c:v>382.48457538994899</c:v>
                </c:pt>
                <c:pt idx="50">
                  <c:v>357.55805892547761</c:v>
                </c:pt>
                <c:pt idx="51">
                  <c:v>391.00000000000097</c:v>
                </c:pt>
                <c:pt idx="52">
                  <c:v>383.53323657474698</c:v>
                </c:pt>
                <c:pt idx="53">
                  <c:v>424.48214804063957</c:v>
                </c:pt>
                <c:pt idx="54">
                  <c:v>415.10653120464536</c:v>
                </c:pt>
                <c:pt idx="55">
                  <c:v>432.50246734397768</c:v>
                </c:pt>
                <c:pt idx="56">
                  <c:v>418.94542815674981</c:v>
                </c:pt>
                <c:pt idx="57">
                  <c:v>442.77677793904297</c:v>
                </c:pt>
                <c:pt idx="58">
                  <c:v>708.85515239477593</c:v>
                </c:pt>
                <c:pt idx="59">
                  <c:v>704.60899854862203</c:v>
                </c:pt>
                <c:pt idx="60">
                  <c:v>711.0000000000008</c:v>
                </c:pt>
                <c:pt idx="61">
                  <c:v>709.29979879275731</c:v>
                </c:pt>
                <c:pt idx="62">
                  <c:v>682.40241448692234</c:v>
                </c:pt>
                <c:pt idx="63">
                  <c:v>642.29376257545357</c:v>
                </c:pt>
                <c:pt idx="64">
                  <c:v>673.83903420523222</c:v>
                </c:pt>
                <c:pt idx="65">
                  <c:v>622.27364185110753</c:v>
                </c:pt>
                <c:pt idx="66">
                  <c:v>624.00000000000091</c:v>
                </c:pt>
              </c:numCache>
            </c:numRef>
          </c:yVal>
        </c:ser>
        <c:ser>
          <c:idx val="4"/>
          <c:order val="3"/>
          <c:spPr>
            <a:ln w="19050">
              <a:solidFill>
                <a:srgbClr val="7030A0"/>
              </a:solidFill>
            </a:ln>
          </c:spPr>
          <c:marker>
            <c:symbol val="none"/>
          </c:marker>
          <c:xVal>
            <c:numRef>
              <c:f>Major_inflows!$B$4:$B$5</c:f>
              <c:numCache>
                <c:formatCode>General</c:formatCode>
                <c:ptCount val="2"/>
                <c:pt idx="0">
                  <c:v>50.01</c:v>
                </c:pt>
                <c:pt idx="1">
                  <c:v>50.01</c:v>
                </c:pt>
              </c:numCache>
            </c:numRef>
          </c:xVal>
          <c:yVal>
            <c:numRef>
              <c:f>Major_inflows!$E$4:$E$5</c:f>
              <c:numCache>
                <c:formatCode>General</c:formatCode>
                <c:ptCount val="2"/>
                <c:pt idx="0">
                  <c:v>0</c:v>
                </c:pt>
                <c:pt idx="1">
                  <c:v>4000</c:v>
                </c:pt>
              </c:numCache>
            </c:numRef>
          </c:yVal>
        </c:ser>
        <c:ser>
          <c:idx val="5"/>
          <c:order val="4"/>
          <c:spPr>
            <a:ln w="19050">
              <a:solidFill>
                <a:srgbClr val="7030A0"/>
              </a:solidFill>
            </a:ln>
          </c:spPr>
          <c:marker>
            <c:symbol val="none"/>
          </c:marker>
          <c:xVal>
            <c:numRef>
              <c:f>Major_inflows!$B$6:$B$7</c:f>
              <c:numCache>
                <c:formatCode>General</c:formatCode>
                <c:ptCount val="2"/>
                <c:pt idx="0">
                  <c:v>44.16</c:v>
                </c:pt>
                <c:pt idx="1">
                  <c:v>44.16</c:v>
                </c:pt>
              </c:numCache>
            </c:numRef>
          </c:xVal>
          <c:yVal>
            <c:numRef>
              <c:f>Major_inflows!$E$6:$E$7</c:f>
              <c:numCache>
                <c:formatCode>General</c:formatCode>
                <c:ptCount val="2"/>
                <c:pt idx="0">
                  <c:v>0</c:v>
                </c:pt>
                <c:pt idx="1">
                  <c:v>4000</c:v>
                </c:pt>
              </c:numCache>
            </c:numRef>
          </c:yVal>
        </c:ser>
        <c:ser>
          <c:idx val="6"/>
          <c:order val="5"/>
          <c:spPr>
            <a:ln w="19050">
              <a:solidFill>
                <a:srgbClr val="7030A0"/>
              </a:solidFill>
            </a:ln>
          </c:spPr>
          <c:marker>
            <c:symbol val="none"/>
          </c:marker>
          <c:xVal>
            <c:numRef>
              <c:f>Major_inflows!$B$8:$B$9</c:f>
              <c:numCache>
                <c:formatCode>General</c:formatCode>
                <c:ptCount val="2"/>
                <c:pt idx="0">
                  <c:v>30.310000000000002</c:v>
                </c:pt>
                <c:pt idx="1">
                  <c:v>30.310000000000002</c:v>
                </c:pt>
              </c:numCache>
            </c:numRef>
          </c:xVal>
          <c:yVal>
            <c:numRef>
              <c:f>Major_inflows!$E$8:$E$9</c:f>
              <c:numCache>
                <c:formatCode>General</c:formatCode>
                <c:ptCount val="2"/>
                <c:pt idx="0">
                  <c:v>0</c:v>
                </c:pt>
                <c:pt idx="1">
                  <c:v>4000</c:v>
                </c:pt>
              </c:numCache>
            </c:numRef>
          </c:yVal>
        </c:ser>
        <c:ser>
          <c:idx val="7"/>
          <c:order val="6"/>
          <c:spPr>
            <a:ln w="19050">
              <a:solidFill>
                <a:srgbClr val="7030A0"/>
              </a:solidFill>
            </a:ln>
          </c:spPr>
          <c:marker>
            <c:symbol val="none"/>
          </c:marker>
          <c:xVal>
            <c:numRef>
              <c:f>Major_inflows!$B$10:$B$11</c:f>
              <c:numCache>
                <c:formatCode>General</c:formatCode>
                <c:ptCount val="2"/>
                <c:pt idx="0">
                  <c:v>24.95</c:v>
                </c:pt>
                <c:pt idx="1">
                  <c:v>24.95</c:v>
                </c:pt>
              </c:numCache>
            </c:numRef>
          </c:xVal>
          <c:yVal>
            <c:numRef>
              <c:f>Major_inflows!$E$10:$E$11</c:f>
              <c:numCache>
                <c:formatCode>General</c:formatCode>
                <c:ptCount val="2"/>
                <c:pt idx="0">
                  <c:v>0</c:v>
                </c:pt>
                <c:pt idx="1">
                  <c:v>4000</c:v>
                </c:pt>
              </c:numCache>
            </c:numRef>
          </c:yVal>
        </c:ser>
        <c:ser>
          <c:idx val="8"/>
          <c:order val="7"/>
          <c:spPr>
            <a:ln w="31750">
              <a:solidFill>
                <a:srgbClr val="7030A0"/>
              </a:solidFill>
            </a:ln>
          </c:spPr>
          <c:marker>
            <c:symbol val="none"/>
          </c:marker>
          <c:xVal>
            <c:numRef>
              <c:f>Major_inflows!$B$12:$B$13</c:f>
              <c:numCache>
                <c:formatCode>General</c:formatCode>
                <c:ptCount val="2"/>
                <c:pt idx="0">
                  <c:v>22.55</c:v>
                </c:pt>
                <c:pt idx="1">
                  <c:v>22.55</c:v>
                </c:pt>
              </c:numCache>
            </c:numRef>
          </c:xVal>
          <c:yVal>
            <c:numRef>
              <c:f>Major_inflows!$E$12:$E$13</c:f>
              <c:numCache>
                <c:formatCode>General</c:formatCode>
                <c:ptCount val="2"/>
                <c:pt idx="0">
                  <c:v>0</c:v>
                </c:pt>
                <c:pt idx="1">
                  <c:v>4000</c:v>
                </c:pt>
              </c:numCache>
            </c:numRef>
          </c:yVal>
        </c:ser>
        <c:ser>
          <c:idx val="9"/>
          <c:order val="8"/>
          <c:spPr>
            <a:ln w="25400">
              <a:solidFill>
                <a:srgbClr val="00B050"/>
              </a:solidFill>
            </a:ln>
          </c:spPr>
          <c:marker>
            <c:symbol val="none"/>
          </c:marker>
          <c:xVal>
            <c:numRef>
              <c:f>Major_inflows!$B$14:$B$15</c:f>
              <c:numCache>
                <c:formatCode>General</c:formatCode>
                <c:ptCount val="2"/>
                <c:pt idx="0">
                  <c:v>22.44</c:v>
                </c:pt>
                <c:pt idx="1">
                  <c:v>22.44</c:v>
                </c:pt>
              </c:numCache>
            </c:numRef>
          </c:xVal>
          <c:yVal>
            <c:numRef>
              <c:f>Major_inflows!$E$14:$E$15</c:f>
              <c:numCache>
                <c:formatCode>General</c:formatCode>
                <c:ptCount val="2"/>
                <c:pt idx="0">
                  <c:v>0</c:v>
                </c:pt>
                <c:pt idx="1">
                  <c:v>4000</c:v>
                </c:pt>
              </c:numCache>
            </c:numRef>
          </c:yVal>
        </c:ser>
        <c:ser>
          <c:idx val="10"/>
          <c:order val="9"/>
          <c:spPr>
            <a:ln w="19050">
              <a:solidFill>
                <a:srgbClr val="7030A0"/>
              </a:solidFill>
            </a:ln>
          </c:spPr>
          <c:marker>
            <c:symbol val="none"/>
          </c:marker>
          <c:xVal>
            <c:numRef>
              <c:f>Major_inflows!$B$16:$B$17</c:f>
              <c:numCache>
                <c:formatCode>General</c:formatCode>
                <c:ptCount val="2"/>
                <c:pt idx="0">
                  <c:v>10.53</c:v>
                </c:pt>
                <c:pt idx="1">
                  <c:v>10.53</c:v>
                </c:pt>
              </c:numCache>
            </c:numRef>
          </c:xVal>
          <c:yVal>
            <c:numRef>
              <c:f>Major_inflows!$E$16:$E$17</c:f>
              <c:numCache>
                <c:formatCode>General</c:formatCode>
                <c:ptCount val="2"/>
                <c:pt idx="0">
                  <c:v>0</c:v>
                </c:pt>
                <c:pt idx="1">
                  <c:v>4000</c:v>
                </c:pt>
              </c:numCache>
            </c:numRef>
          </c:yVal>
        </c:ser>
        <c:dLbls/>
        <c:axId val="133520000"/>
        <c:axId val="133530368"/>
      </c:scatterChart>
      <c:valAx>
        <c:axId val="133520000"/>
        <c:scaling>
          <c:orientation val="maxMin"/>
          <c:max val="65"/>
          <c:min val="0"/>
        </c:scaling>
        <c:axPos val="b"/>
        <c:title>
          <c:tx>
            <c:rich>
              <a:bodyPr/>
              <a:lstStyle/>
              <a:p>
                <a:pPr>
                  <a:defRPr/>
                </a:pPr>
                <a:r>
                  <a:rPr lang="en-US"/>
                  <a:t>River Mile</a:t>
                </a:r>
              </a:p>
            </c:rich>
          </c:tx>
          <c:layout>
            <c:manualLayout>
              <c:xMode val="edge"/>
              <c:yMode val="edge"/>
              <c:x val="0.44753101259043537"/>
              <c:y val="0.7698717222754945"/>
            </c:manualLayout>
          </c:layout>
          <c:spPr>
            <a:noFill/>
            <a:ln w="25400">
              <a:noFill/>
            </a:ln>
          </c:spPr>
        </c:title>
        <c:numFmt formatCode="#,##0" sourceLinked="0"/>
        <c:majorTickMark val="in"/>
        <c:tickLblPos val="nextTo"/>
        <c:spPr>
          <a:ln w="3175">
            <a:solidFill>
              <a:srgbClr val="000000"/>
            </a:solidFill>
            <a:prstDash val="solid"/>
          </a:ln>
        </c:spPr>
        <c:txPr>
          <a:bodyPr rot="0" vert="horz"/>
          <a:lstStyle/>
          <a:p>
            <a:pPr>
              <a:defRPr/>
            </a:pPr>
            <a:endParaRPr lang="en-US"/>
          </a:p>
        </c:txPr>
        <c:crossAx val="133530368"/>
        <c:crosses val="autoZero"/>
        <c:crossBetween val="midCat"/>
        <c:majorUnit val="5"/>
      </c:valAx>
      <c:valAx>
        <c:axId val="133530368"/>
        <c:scaling>
          <c:orientation val="minMax"/>
          <c:max val="2000"/>
        </c:scaling>
        <c:axPos val="r"/>
        <c:title>
          <c:tx>
            <c:rich>
              <a:bodyPr/>
              <a:lstStyle/>
              <a:p>
                <a:pPr>
                  <a:defRPr/>
                </a:pPr>
                <a:r>
                  <a:rPr lang="en-US"/>
                  <a:t>Discharge, in cubic feet per second</a:t>
                </a:r>
              </a:p>
            </c:rich>
          </c:tx>
          <c:layout>
            <c:manualLayout>
              <c:xMode val="edge"/>
              <c:yMode val="edge"/>
              <c:x val="0.95484162610733259"/>
              <c:y val="0.18485881232169499"/>
            </c:manualLayout>
          </c:layout>
          <c:spPr>
            <a:noFill/>
            <a:ln w="25400">
              <a:noFill/>
            </a:ln>
          </c:spPr>
        </c:title>
        <c:numFmt formatCode="#,##0" sourceLinked="0"/>
        <c:majorTickMark val="in"/>
        <c:tickLblPos val="nextTo"/>
        <c:spPr>
          <a:ln w="3175">
            <a:solidFill>
              <a:srgbClr val="000000"/>
            </a:solidFill>
            <a:prstDash val="solid"/>
          </a:ln>
        </c:spPr>
        <c:txPr>
          <a:bodyPr rot="0" vert="horz"/>
          <a:lstStyle/>
          <a:p>
            <a:pPr>
              <a:defRPr/>
            </a:pPr>
            <a:endParaRPr lang="en-US"/>
          </a:p>
        </c:txPr>
        <c:crossAx val="133520000"/>
        <c:crosses val="autoZero"/>
        <c:crossBetween val="midCat"/>
      </c:valAx>
      <c:spPr>
        <a:noFill/>
        <a:ln w="12700">
          <a:solidFill>
            <a:srgbClr val="808080"/>
          </a:solidFill>
          <a:prstDash val="solid"/>
        </a:ln>
      </c:spPr>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2438670396474668E-2"/>
          <c:y val="0.83318028091266716"/>
          <c:w val="0.5810863271707154"/>
          <c:h val="0.16681965242504004"/>
        </c:manualLayout>
      </c:layout>
      <c:spPr>
        <a:solidFill>
          <a:sysClr val="window" lastClr="FFFFFF"/>
        </a:solidFill>
        <a:ln w="3175">
          <a:noFill/>
          <a:prstDash val="solid"/>
        </a:ln>
      </c:spPr>
    </c:legend>
    <c:plotVisOnly val="1"/>
    <c:dispBlanksAs val="gap"/>
  </c:chart>
  <c:spPr>
    <a:noFill/>
    <a:ln w="3175">
      <a:solidFill>
        <a:srgbClr val="000000"/>
      </a:solidFill>
      <a:prstDash val="solid"/>
    </a:ln>
  </c:spPr>
  <c:txPr>
    <a:bodyPr/>
    <a:lstStyle/>
    <a:p>
      <a:pPr>
        <a:defRPr sz="1400" b="1" i="0" u="none" strike="noStrike" baseline="0">
          <a:solidFill>
            <a:srgbClr val="000000"/>
          </a:solidFill>
          <a:latin typeface="Arial Narrow" panose="020B0606020202030204" pitchFamily="34" charset="0"/>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Chart9">
    <tabColor rgb="FF00B050"/>
  </sheetPr>
  <sheetViews>
    <sheetView workbookViewId="0"/>
  </sheetViews>
  <sheetProtection password="CDA1" content="1" objects="1"/>
  <pageMargins left="0.7" right="0.7" top="0.75" bottom="0.75" header="0.3" footer="0.3"/>
  <pageSetup orientation="landscape" verticalDpi="4" r:id="rId1"/>
  <drawing r:id="rId2"/>
</chartsheet>
</file>

<file path=xl/chartsheets/sheet2.xml><?xml version="1.0" encoding="utf-8"?>
<chartsheet xmlns="http://schemas.openxmlformats.org/spreadsheetml/2006/main" xmlns:r="http://schemas.openxmlformats.org/officeDocument/2006/relationships">
  <sheetPr codeName="Chart10">
    <tabColor rgb="FF00B050"/>
  </sheetPr>
  <sheetViews>
    <sheetView zoomScale="116" workbookViewId="0" zoomToFit="1"/>
  </sheetViews>
  <sheetProtection password="CDA1" content="1" objects="1"/>
  <pageMargins left="0.7" right="0.7" top="0.75" bottom="0.75" header="0.3" footer="0.3"/>
  <pageSetup orientation="landscape" verticalDpi="4" r:id="rId1"/>
  <drawing r:id="rId2"/>
</chartsheet>
</file>

<file path=xl/chartsheets/sheet3.xml><?xml version="1.0" encoding="utf-8"?>
<chartsheet xmlns="http://schemas.openxmlformats.org/spreadsheetml/2006/main" xmlns:r="http://schemas.openxmlformats.org/officeDocument/2006/relationships">
  <sheetPr codeName="Chart12">
    <tabColor rgb="FFFFC000"/>
  </sheetPr>
  <sheetViews>
    <sheetView zoomScale="116" workbookViewId="0" zoomToFit="1"/>
  </sheetViews>
  <sheetProtection password="CDA1" content="1" objects="1"/>
  <pageMargins left="0.7" right="0.7" top="0.75" bottom="0.75" header="0.3" footer="0.3"/>
  <pageSetup orientation="landscape" verticalDpi="4" r:id="rId1"/>
  <drawing r:id="rId2"/>
</chartsheet>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8</xdr:col>
      <xdr:colOff>342900</xdr:colOff>
      <xdr:row>0</xdr:row>
      <xdr:rowOff>57150</xdr:rowOff>
    </xdr:from>
    <xdr:to>
      <xdr:col>16</xdr:col>
      <xdr:colOff>352425</xdr:colOff>
      <xdr:row>21</xdr:row>
      <xdr:rowOff>33337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0.2261</cdr:x>
      <cdr:y>0.2852</cdr:y>
    </cdr:from>
    <cdr:to>
      <cdr:x>0.27265</cdr:x>
      <cdr:y>0.47903</cdr:y>
    </cdr:to>
    <cdr:sp macro="" textlink="">
      <cdr:nvSpPr>
        <cdr:cNvPr id="5" name="TextBox 4"/>
        <cdr:cNvSpPr txBox="1"/>
      </cdr:nvSpPr>
      <cdr:spPr>
        <a:xfrm xmlns:a="http://schemas.openxmlformats.org/drawingml/2006/main" rot="16200000">
          <a:off x="1551365" y="2204064"/>
          <a:ext cx="1220359" cy="4034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Lander WWTP</a:t>
          </a:r>
        </a:p>
      </cdr:txBody>
    </cdr:sp>
  </cdr:relSizeAnchor>
  <cdr:relSizeAnchor xmlns:cdr="http://schemas.openxmlformats.org/drawingml/2006/chartDrawing">
    <cdr:from>
      <cdr:x>0.29776</cdr:x>
      <cdr:y>0.19266</cdr:y>
    </cdr:from>
    <cdr:to>
      <cdr:x>0.34431</cdr:x>
      <cdr:y>0.48187</cdr:y>
    </cdr:to>
    <cdr:sp macro="" textlink="">
      <cdr:nvSpPr>
        <cdr:cNvPr id="7" name="TextBox 2"/>
        <cdr:cNvSpPr txBox="1"/>
      </cdr:nvSpPr>
      <cdr:spPr>
        <a:xfrm xmlns:a="http://schemas.openxmlformats.org/drawingml/2006/main" rot="16200000">
          <a:off x="1872239" y="1921687"/>
          <a:ext cx="1820874" cy="403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West Boise WWTP</a:t>
          </a:r>
        </a:p>
      </cdr:txBody>
    </cdr:sp>
  </cdr:relSizeAnchor>
  <cdr:relSizeAnchor xmlns:cdr="http://schemas.openxmlformats.org/drawingml/2006/chartDrawing">
    <cdr:from>
      <cdr:x>0.56839</cdr:x>
      <cdr:y>0.1107</cdr:y>
    </cdr:from>
    <cdr:to>
      <cdr:x>0.61494</cdr:x>
      <cdr:y>0.34876</cdr:y>
    </cdr:to>
    <cdr:sp macro="" textlink="">
      <cdr:nvSpPr>
        <cdr:cNvPr id="9" name="TextBox 2"/>
        <cdr:cNvSpPr txBox="1"/>
      </cdr:nvSpPr>
      <cdr:spPr>
        <a:xfrm xmlns:a="http://schemas.openxmlformats.org/drawingml/2006/main" rot="16200000">
          <a:off x="4378958" y="1244644"/>
          <a:ext cx="1498832" cy="403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baseline="0"/>
            <a:t>Caldwell</a:t>
          </a:r>
          <a:r>
            <a:rPr lang="en-US" sz="1200" b="1"/>
            <a:t> WWTP</a:t>
          </a:r>
        </a:p>
      </cdr:txBody>
    </cdr:sp>
  </cdr:relSizeAnchor>
  <cdr:relSizeAnchor xmlns:cdr="http://schemas.openxmlformats.org/drawingml/2006/chartDrawing">
    <cdr:from>
      <cdr:x>0.713</cdr:x>
      <cdr:y>0.03537</cdr:y>
    </cdr:from>
    <cdr:to>
      <cdr:x>0.75955</cdr:x>
      <cdr:y>0.32237</cdr:y>
    </cdr:to>
    <cdr:sp macro="" textlink="">
      <cdr:nvSpPr>
        <cdr:cNvPr id="11" name="TextBox 2"/>
        <cdr:cNvSpPr txBox="1"/>
      </cdr:nvSpPr>
      <cdr:spPr>
        <a:xfrm xmlns:a="http://schemas.openxmlformats.org/drawingml/2006/main" rot="16200000">
          <a:off x="5478367" y="924428"/>
          <a:ext cx="1806960" cy="403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Dixie Drain</a:t>
          </a:r>
        </a:p>
      </cdr:txBody>
    </cdr:sp>
  </cdr:relSizeAnchor>
  <cdr:relSizeAnchor xmlns:cdr="http://schemas.openxmlformats.org/drawingml/2006/chartDrawing">
    <cdr:from>
      <cdr:x>0.53722</cdr:x>
      <cdr:y>0.04085</cdr:y>
    </cdr:from>
    <cdr:to>
      <cdr:x>0.58378</cdr:x>
      <cdr:y>0.33006</cdr:y>
    </cdr:to>
    <cdr:sp macro="" textlink="">
      <cdr:nvSpPr>
        <cdr:cNvPr id="19" name="TextBox 2"/>
        <cdr:cNvSpPr txBox="1"/>
      </cdr:nvSpPr>
      <cdr:spPr>
        <a:xfrm xmlns:a="http://schemas.openxmlformats.org/drawingml/2006/main" rot="16200000">
          <a:off x="3947854" y="965863"/>
          <a:ext cx="1820873" cy="4035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Mason Creek</a:t>
          </a:r>
        </a:p>
      </cdr:txBody>
    </cdr:sp>
  </cdr:relSizeAnchor>
  <cdr:relSizeAnchor xmlns:cdr="http://schemas.openxmlformats.org/drawingml/2006/chartDrawing">
    <cdr:from>
      <cdr:x>0.5926</cdr:x>
      <cdr:y>0.06685</cdr:y>
    </cdr:from>
    <cdr:to>
      <cdr:x>0.63915</cdr:x>
      <cdr:y>0.35606</cdr:y>
    </cdr:to>
    <cdr:sp macro="" textlink="">
      <cdr:nvSpPr>
        <cdr:cNvPr id="21" name="TextBox 2"/>
        <cdr:cNvSpPr txBox="1"/>
      </cdr:nvSpPr>
      <cdr:spPr>
        <a:xfrm xmlns:a="http://schemas.openxmlformats.org/drawingml/2006/main" rot="16200000">
          <a:off x="4427802" y="1129584"/>
          <a:ext cx="1820874" cy="403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solidFill>
                <a:srgbClr val="00B050"/>
              </a:solidFill>
            </a:rPr>
            <a:t>Indian Creek</a:t>
          </a:r>
        </a:p>
      </cdr:txBody>
    </cdr:sp>
  </cdr:relSizeAnchor>
  <cdr:relSizeAnchor xmlns:cdr="http://schemas.openxmlformats.org/drawingml/2006/chartDrawing">
    <cdr:from>
      <cdr:x>0.46925</cdr:x>
      <cdr:y>0.18784</cdr:y>
    </cdr:from>
    <cdr:to>
      <cdr:x>0.5158</cdr:x>
      <cdr:y>0.47705</cdr:y>
    </cdr:to>
    <cdr:sp macro="" textlink="">
      <cdr:nvSpPr>
        <cdr:cNvPr id="23" name="TextBox 2"/>
        <cdr:cNvSpPr txBox="1"/>
      </cdr:nvSpPr>
      <cdr:spPr>
        <a:xfrm xmlns:a="http://schemas.openxmlformats.org/drawingml/2006/main" rot="16200000">
          <a:off x="3358634" y="1891322"/>
          <a:ext cx="1820874" cy="403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Fifteenmile Creek</a:t>
          </a:r>
        </a:p>
      </cdr:txBody>
    </cdr:sp>
  </cdr:relSizeAnchor>
  <cdr:relSizeAnchor xmlns:cdr="http://schemas.openxmlformats.org/drawingml/2006/chartDrawing">
    <cdr:from>
      <cdr:x>0.39663</cdr:x>
      <cdr:y>0.63335</cdr:y>
    </cdr:from>
    <cdr:to>
      <cdr:x>0.89047</cdr:x>
      <cdr:y>0.68687</cdr:y>
    </cdr:to>
    <cdr:sp macro="" textlink="">
      <cdr:nvSpPr>
        <cdr:cNvPr id="2" name="TextBox 1"/>
        <cdr:cNvSpPr txBox="1"/>
      </cdr:nvSpPr>
      <cdr:spPr>
        <a:xfrm xmlns:a="http://schemas.openxmlformats.org/drawingml/2006/main">
          <a:off x="3437869" y="3987578"/>
          <a:ext cx="4280481" cy="3369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i="1">
              <a:latin typeface="Arial Narrow" panose="020B0606020202030204" pitchFamily="34" charset="0"/>
            </a:rPr>
            <a:t>Total phosphorus target at mouth of Boise River = 0.07 mg/L</a:t>
          </a:r>
        </a:p>
      </cdr:txBody>
    </cdr:sp>
  </cdr:relSizeAnchor>
  <cdr:relSizeAnchor xmlns:cdr="http://schemas.openxmlformats.org/drawingml/2006/chartDrawing">
    <cdr:from>
      <cdr:x>0.62857</cdr:x>
      <cdr:y>0.90923</cdr:y>
    </cdr:from>
    <cdr:to>
      <cdr:x>0.9978</cdr:x>
      <cdr:y>0.99849</cdr:y>
    </cdr:to>
    <cdr:sp macro="" textlink="">
      <cdr:nvSpPr>
        <cdr:cNvPr id="3" name="TextBox 2"/>
        <cdr:cNvSpPr txBox="1"/>
      </cdr:nvSpPr>
      <cdr:spPr>
        <a:xfrm xmlns:a="http://schemas.openxmlformats.org/drawingml/2006/main">
          <a:off x="5448300" y="5724525"/>
          <a:ext cx="3200401"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50" b="1">
              <a:latin typeface="Arial Narrow" panose="020B0606020202030204" pitchFamily="34" charset="0"/>
            </a:rPr>
            <a:t>Abbreviations</a:t>
          </a:r>
          <a:r>
            <a:rPr lang="en-US" sz="1050">
              <a:latin typeface="Arial Narrow" panose="020B0606020202030204" pitchFamily="34" charset="0"/>
            </a:rPr>
            <a:t>:</a:t>
          </a:r>
          <a:r>
            <a:rPr lang="en-US" sz="1050" baseline="0">
              <a:latin typeface="Arial Narrow" panose="020B0606020202030204" pitchFamily="34" charset="0"/>
            </a:rPr>
            <a:t> </a:t>
          </a:r>
          <a:r>
            <a:rPr lang="en-US" sz="1050">
              <a:latin typeface="Arial Narrow" panose="020B0606020202030204" pitchFamily="34" charset="0"/>
            </a:rPr>
            <a:t>WWTP,</a:t>
          </a:r>
          <a:r>
            <a:rPr lang="en-US" sz="1050" baseline="0">
              <a:latin typeface="Arial Narrow" panose="020B0606020202030204" pitchFamily="34" charset="0"/>
            </a:rPr>
            <a:t> wastewater treatment plant; mg/L, milligrams per liter.</a:t>
          </a:r>
        </a:p>
        <a:p xmlns:a="http://schemas.openxmlformats.org/drawingml/2006/main">
          <a:endParaRPr lang="en-US" sz="1050">
            <a:latin typeface="Arial Narrow" panose="020B0606020202030204" pitchFamily="34" charset="0"/>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2823"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0.22536</cdr:x>
      <cdr:y>0.27998</cdr:y>
    </cdr:from>
    <cdr:to>
      <cdr:x>0.27191</cdr:x>
      <cdr:y>0.47381</cdr:y>
    </cdr:to>
    <cdr:sp macro="" textlink="">
      <cdr:nvSpPr>
        <cdr:cNvPr id="5" name="TextBox 4"/>
        <cdr:cNvSpPr txBox="1"/>
      </cdr:nvSpPr>
      <cdr:spPr>
        <a:xfrm xmlns:a="http://schemas.openxmlformats.org/drawingml/2006/main" rot="16200000">
          <a:off x="1544289" y="2168949"/>
          <a:ext cx="1219149" cy="4032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Lander WWTP</a:t>
          </a:r>
        </a:p>
      </cdr:txBody>
    </cdr:sp>
  </cdr:relSizeAnchor>
  <cdr:relSizeAnchor xmlns:cdr="http://schemas.openxmlformats.org/drawingml/2006/chartDrawing">
    <cdr:from>
      <cdr:x>0.29434</cdr:x>
      <cdr:y>0.18867</cdr:y>
    </cdr:from>
    <cdr:to>
      <cdr:x>0.34089</cdr:x>
      <cdr:y>0.47788</cdr:y>
    </cdr:to>
    <cdr:sp macro="" textlink="">
      <cdr:nvSpPr>
        <cdr:cNvPr id="7" name="TextBox 2"/>
        <cdr:cNvSpPr txBox="1"/>
      </cdr:nvSpPr>
      <cdr:spPr>
        <a:xfrm xmlns:a="http://schemas.openxmlformats.org/drawingml/2006/main" rot="16200000">
          <a:off x="1841891" y="1894588"/>
          <a:ext cx="1819069" cy="4032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West Boise WWTP</a:t>
          </a:r>
        </a:p>
      </cdr:txBody>
    </cdr:sp>
  </cdr:relSizeAnchor>
  <cdr:relSizeAnchor xmlns:cdr="http://schemas.openxmlformats.org/drawingml/2006/chartDrawing">
    <cdr:from>
      <cdr:x>0.56686</cdr:x>
      <cdr:y>0.11201</cdr:y>
    </cdr:from>
    <cdr:to>
      <cdr:x>0.61341</cdr:x>
      <cdr:y>0.35007</cdr:y>
    </cdr:to>
    <cdr:sp macro="" textlink="">
      <cdr:nvSpPr>
        <cdr:cNvPr id="9" name="TextBox 2"/>
        <cdr:cNvSpPr txBox="1"/>
      </cdr:nvSpPr>
      <cdr:spPr>
        <a:xfrm xmlns:a="http://schemas.openxmlformats.org/drawingml/2006/main" rot="16200000">
          <a:off x="4363567" y="1251535"/>
          <a:ext cx="1497346" cy="4032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baseline="0"/>
            <a:t>Caldwell</a:t>
          </a:r>
          <a:r>
            <a:rPr lang="en-US" sz="1200" b="1"/>
            <a:t> WWTP</a:t>
          </a:r>
        </a:p>
      </cdr:txBody>
    </cdr:sp>
  </cdr:relSizeAnchor>
  <cdr:relSizeAnchor xmlns:cdr="http://schemas.openxmlformats.org/drawingml/2006/chartDrawing">
    <cdr:from>
      <cdr:x>0.71341</cdr:x>
      <cdr:y>0.03276</cdr:y>
    </cdr:from>
    <cdr:to>
      <cdr:x>0.75996</cdr:x>
      <cdr:y>0.37513</cdr:y>
    </cdr:to>
    <cdr:sp macro="" textlink="">
      <cdr:nvSpPr>
        <cdr:cNvPr id="11" name="TextBox 2"/>
        <cdr:cNvSpPr txBox="1"/>
      </cdr:nvSpPr>
      <cdr:spPr>
        <a:xfrm xmlns:a="http://schemas.openxmlformats.org/drawingml/2006/main" rot="16200000">
          <a:off x="5305067" y="1081136"/>
          <a:ext cx="2153433" cy="4032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Dixie Drain</a:t>
          </a:r>
        </a:p>
      </cdr:txBody>
    </cdr:sp>
  </cdr:relSizeAnchor>
  <cdr:relSizeAnchor xmlns:cdr="http://schemas.openxmlformats.org/drawingml/2006/chartDrawing">
    <cdr:from>
      <cdr:x>0.5374</cdr:x>
      <cdr:y>0.04456</cdr:y>
    </cdr:from>
    <cdr:to>
      <cdr:x>0.58396</cdr:x>
      <cdr:y>0.33377</cdr:y>
    </cdr:to>
    <cdr:sp macro="" textlink="">
      <cdr:nvSpPr>
        <cdr:cNvPr id="19" name="TextBox 2"/>
        <cdr:cNvSpPr txBox="1"/>
      </cdr:nvSpPr>
      <cdr:spPr>
        <a:xfrm xmlns:a="http://schemas.openxmlformats.org/drawingml/2006/main" rot="16200000">
          <a:off x="3947529" y="988149"/>
          <a:ext cx="1819069" cy="4033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Mason Creek</a:t>
          </a:r>
        </a:p>
      </cdr:txBody>
    </cdr:sp>
  </cdr:relSizeAnchor>
  <cdr:relSizeAnchor xmlns:cdr="http://schemas.openxmlformats.org/drawingml/2006/chartDrawing">
    <cdr:from>
      <cdr:x>0.58948</cdr:x>
      <cdr:y>0.16319</cdr:y>
    </cdr:from>
    <cdr:to>
      <cdr:x>0.63603</cdr:x>
      <cdr:y>0.35606</cdr:y>
    </cdr:to>
    <cdr:sp macro="" textlink="">
      <cdr:nvSpPr>
        <cdr:cNvPr id="21" name="TextBox 2"/>
        <cdr:cNvSpPr txBox="1"/>
      </cdr:nvSpPr>
      <cdr:spPr>
        <a:xfrm xmlns:a="http://schemas.openxmlformats.org/drawingml/2006/main" rot="16200000">
          <a:off x="4701626" y="1431357"/>
          <a:ext cx="1213110" cy="4032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solidFill>
                <a:srgbClr val="00B050"/>
              </a:solidFill>
            </a:rPr>
            <a:t>Indian Creek</a:t>
          </a:r>
        </a:p>
      </cdr:txBody>
    </cdr:sp>
  </cdr:relSizeAnchor>
  <cdr:relSizeAnchor xmlns:cdr="http://schemas.openxmlformats.org/drawingml/2006/chartDrawing">
    <cdr:from>
      <cdr:x>0.46844</cdr:x>
      <cdr:y>0.18674</cdr:y>
    </cdr:from>
    <cdr:to>
      <cdr:x>0.51499</cdr:x>
      <cdr:y>0.47595</cdr:y>
    </cdr:to>
    <cdr:sp macro="" textlink="">
      <cdr:nvSpPr>
        <cdr:cNvPr id="23" name="TextBox 2"/>
        <cdr:cNvSpPr txBox="1"/>
      </cdr:nvSpPr>
      <cdr:spPr>
        <a:xfrm xmlns:a="http://schemas.openxmlformats.org/drawingml/2006/main" rot="16200000">
          <a:off x="3350072" y="1882456"/>
          <a:ext cx="1819068" cy="4032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Fifteenmile Creek</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62823"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0.22253</cdr:x>
      <cdr:y>0.18803</cdr:y>
    </cdr:from>
    <cdr:to>
      <cdr:x>0.26908</cdr:x>
      <cdr:y>0.38186</cdr:y>
    </cdr:to>
    <cdr:sp macro="" textlink="">
      <cdr:nvSpPr>
        <cdr:cNvPr id="5" name="TextBox 4"/>
        <cdr:cNvSpPr txBox="1"/>
      </cdr:nvSpPr>
      <cdr:spPr>
        <a:xfrm xmlns:a="http://schemas.openxmlformats.org/drawingml/2006/main" rot="16200000">
          <a:off x="1521765" y="1592080"/>
          <a:ext cx="1220314" cy="4037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1"/>
            <a:t>Lander WWTP</a:t>
          </a:r>
        </a:p>
      </cdr:txBody>
    </cdr:sp>
  </cdr:relSizeAnchor>
  <cdr:relSizeAnchor xmlns:cdr="http://schemas.openxmlformats.org/drawingml/2006/chartDrawing">
    <cdr:from>
      <cdr:x>0.29955</cdr:x>
      <cdr:y>0.15576</cdr:y>
    </cdr:from>
    <cdr:to>
      <cdr:x>0.3461</cdr:x>
      <cdr:y>0.44497</cdr:y>
    </cdr:to>
    <cdr:sp macro="" textlink="">
      <cdr:nvSpPr>
        <cdr:cNvPr id="7" name="TextBox 2"/>
        <cdr:cNvSpPr txBox="1"/>
      </cdr:nvSpPr>
      <cdr:spPr>
        <a:xfrm xmlns:a="http://schemas.openxmlformats.org/drawingml/2006/main" rot="16200000">
          <a:off x="1889525" y="1689165"/>
          <a:ext cx="1820806" cy="403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West Boise WWTP</a:t>
          </a:r>
        </a:p>
      </cdr:txBody>
    </cdr:sp>
  </cdr:relSizeAnchor>
  <cdr:relSizeAnchor xmlns:cdr="http://schemas.openxmlformats.org/drawingml/2006/chartDrawing">
    <cdr:from>
      <cdr:x>0.56523</cdr:x>
      <cdr:y>0.06035</cdr:y>
    </cdr:from>
    <cdr:to>
      <cdr:x>0.61178</cdr:x>
      <cdr:y>0.46315</cdr:y>
    </cdr:to>
    <cdr:sp macro="" textlink="">
      <cdr:nvSpPr>
        <cdr:cNvPr id="9" name="TextBox 2"/>
        <cdr:cNvSpPr txBox="1"/>
      </cdr:nvSpPr>
      <cdr:spPr>
        <a:xfrm xmlns:a="http://schemas.openxmlformats.org/drawingml/2006/main" rot="16200000">
          <a:off x="3836190" y="1446055"/>
          <a:ext cx="2535945" cy="403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baseline="0"/>
            <a:t>Caldwell</a:t>
          </a:r>
          <a:r>
            <a:rPr lang="en-US" sz="1200" b="1"/>
            <a:t> WWTP</a:t>
          </a:r>
        </a:p>
      </cdr:txBody>
    </cdr:sp>
  </cdr:relSizeAnchor>
  <cdr:relSizeAnchor xmlns:cdr="http://schemas.openxmlformats.org/drawingml/2006/chartDrawing">
    <cdr:from>
      <cdr:x>0.71663</cdr:x>
      <cdr:y>0.12639</cdr:y>
    </cdr:from>
    <cdr:to>
      <cdr:x>0.76318</cdr:x>
      <cdr:y>0.46876</cdr:y>
    </cdr:to>
    <cdr:sp macro="" textlink="">
      <cdr:nvSpPr>
        <cdr:cNvPr id="11" name="TextBox 2"/>
        <cdr:cNvSpPr txBox="1"/>
      </cdr:nvSpPr>
      <cdr:spPr>
        <a:xfrm xmlns:a="http://schemas.openxmlformats.org/drawingml/2006/main" rot="16200000">
          <a:off x="5339616" y="1671602"/>
          <a:ext cx="2155490" cy="403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Dixie Drain</a:t>
          </a:r>
        </a:p>
      </cdr:txBody>
    </cdr:sp>
  </cdr:relSizeAnchor>
  <cdr:relSizeAnchor xmlns:cdr="http://schemas.openxmlformats.org/drawingml/2006/chartDrawing">
    <cdr:from>
      <cdr:x>0.53777</cdr:x>
      <cdr:y>0.16972</cdr:y>
    </cdr:from>
    <cdr:to>
      <cdr:x>0.58433</cdr:x>
      <cdr:y>0.45893</cdr:y>
    </cdr:to>
    <cdr:sp macro="" textlink="">
      <cdr:nvSpPr>
        <cdr:cNvPr id="19" name="TextBox 2"/>
        <cdr:cNvSpPr txBox="1"/>
      </cdr:nvSpPr>
      <cdr:spPr>
        <a:xfrm xmlns:a="http://schemas.openxmlformats.org/drawingml/2006/main" rot="16200000">
          <a:off x="3955692" y="1777012"/>
          <a:ext cx="1820806" cy="4038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Mason Creek</a:t>
          </a:r>
        </a:p>
      </cdr:txBody>
    </cdr:sp>
  </cdr:relSizeAnchor>
  <cdr:relSizeAnchor xmlns:cdr="http://schemas.openxmlformats.org/drawingml/2006/chartDrawing">
    <cdr:from>
      <cdr:x>0.58718</cdr:x>
      <cdr:y>0.16156</cdr:y>
    </cdr:from>
    <cdr:to>
      <cdr:x>0.63373</cdr:x>
      <cdr:y>0.45077</cdr:y>
    </cdr:to>
    <cdr:sp macro="" textlink="">
      <cdr:nvSpPr>
        <cdr:cNvPr id="21" name="TextBox 2"/>
        <cdr:cNvSpPr txBox="1"/>
      </cdr:nvSpPr>
      <cdr:spPr>
        <a:xfrm xmlns:a="http://schemas.openxmlformats.org/drawingml/2006/main" rot="16200000">
          <a:off x="4384191" y="1725684"/>
          <a:ext cx="1820806" cy="403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solidFill>
                <a:srgbClr val="00B050"/>
              </a:solidFill>
            </a:rPr>
            <a:t>Indian Creek</a:t>
          </a:r>
        </a:p>
      </cdr:txBody>
    </cdr:sp>
  </cdr:relSizeAnchor>
  <cdr:relSizeAnchor xmlns:cdr="http://schemas.openxmlformats.org/drawingml/2006/chartDrawing">
    <cdr:from>
      <cdr:x>0.46657</cdr:x>
      <cdr:y>0.18197</cdr:y>
    </cdr:from>
    <cdr:to>
      <cdr:x>0.51312</cdr:x>
      <cdr:y>0.47118</cdr:y>
    </cdr:to>
    <cdr:sp macro="" textlink="">
      <cdr:nvSpPr>
        <cdr:cNvPr id="23" name="TextBox 2"/>
        <cdr:cNvSpPr txBox="1"/>
      </cdr:nvSpPr>
      <cdr:spPr>
        <a:xfrm xmlns:a="http://schemas.openxmlformats.org/drawingml/2006/main" rot="16200000">
          <a:off x="3338144" y="1854181"/>
          <a:ext cx="1820806" cy="4037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1"/>
            <a:t>Fifteenmile Creek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3"/>
  <dimension ref="A1:Q17"/>
  <sheetViews>
    <sheetView tabSelected="1" topLeftCell="A4" workbookViewId="0">
      <selection activeCell="B6" sqref="B6:Q6"/>
    </sheetView>
  </sheetViews>
  <sheetFormatPr defaultRowHeight="15"/>
  <cols>
    <col min="1" max="1" width="27.42578125" bestFit="1" customWidth="1"/>
  </cols>
  <sheetData>
    <row r="1" spans="1:17" s="316" customFormat="1" ht="16.5">
      <c r="A1" s="421" t="s">
        <v>114</v>
      </c>
      <c r="B1" s="422"/>
      <c r="C1" s="422"/>
      <c r="D1" s="422"/>
      <c r="E1" s="422"/>
      <c r="F1" s="422"/>
      <c r="G1" s="422"/>
      <c r="H1" s="422"/>
      <c r="I1" s="422"/>
      <c r="J1" s="422"/>
      <c r="K1" s="422"/>
      <c r="L1" s="422"/>
      <c r="M1" s="422"/>
      <c r="N1" s="422"/>
      <c r="O1" s="422"/>
      <c r="P1" s="422"/>
      <c r="Q1" s="422"/>
    </row>
    <row r="2" spans="1:17" s="316" customFormat="1" ht="48" customHeight="1">
      <c r="A2" s="320" t="s">
        <v>115</v>
      </c>
      <c r="B2" s="419" t="s">
        <v>124</v>
      </c>
      <c r="C2" s="420"/>
      <c r="D2" s="420"/>
      <c r="E2" s="420"/>
      <c r="F2" s="420"/>
      <c r="G2" s="420"/>
      <c r="H2" s="420"/>
      <c r="I2" s="420"/>
      <c r="J2" s="420"/>
      <c r="K2" s="420"/>
      <c r="L2" s="420"/>
      <c r="M2" s="420"/>
      <c r="N2" s="420"/>
      <c r="O2" s="420"/>
      <c r="P2" s="420"/>
      <c r="Q2" s="420"/>
    </row>
    <row r="3" spans="1:17" s="316" customFormat="1" ht="117.75" customHeight="1">
      <c r="A3" s="320" t="s">
        <v>130</v>
      </c>
      <c r="B3" s="419" t="s">
        <v>144</v>
      </c>
      <c r="C3" s="420"/>
      <c r="D3" s="420"/>
      <c r="E3" s="420"/>
      <c r="F3" s="420"/>
      <c r="G3" s="420"/>
      <c r="H3" s="420"/>
      <c r="I3" s="420"/>
      <c r="J3" s="420"/>
      <c r="K3" s="420"/>
      <c r="L3" s="420"/>
      <c r="M3" s="420"/>
      <c r="N3" s="420"/>
      <c r="O3" s="420"/>
      <c r="P3" s="420"/>
      <c r="Q3" s="420"/>
    </row>
    <row r="4" spans="1:17" s="316" customFormat="1" ht="90" customHeight="1">
      <c r="A4" s="320" t="s">
        <v>125</v>
      </c>
      <c r="B4" s="423" t="s">
        <v>238</v>
      </c>
      <c r="C4" s="424"/>
      <c r="D4" s="424"/>
      <c r="E4" s="424"/>
      <c r="F4" s="424"/>
      <c r="G4" s="424"/>
      <c r="H4" s="424"/>
      <c r="I4" s="424"/>
      <c r="J4" s="424"/>
      <c r="K4" s="424"/>
      <c r="L4" s="424"/>
      <c r="M4" s="424"/>
      <c r="N4" s="424"/>
      <c r="O4" s="424"/>
      <c r="P4" s="424"/>
      <c r="Q4" s="424"/>
    </row>
    <row r="5" spans="1:17" s="316" customFormat="1" ht="16.5">
      <c r="A5" s="421" t="s">
        <v>95</v>
      </c>
      <c r="B5" s="422"/>
      <c r="C5" s="422"/>
      <c r="D5" s="422"/>
      <c r="E5" s="422"/>
      <c r="F5" s="422"/>
      <c r="G5" s="422"/>
      <c r="H5" s="422"/>
      <c r="I5" s="422"/>
      <c r="J5" s="422"/>
      <c r="K5" s="422"/>
      <c r="L5" s="422"/>
      <c r="M5" s="422"/>
      <c r="N5" s="422"/>
      <c r="O5" s="422"/>
      <c r="P5" s="422"/>
      <c r="Q5" s="422"/>
    </row>
    <row r="6" spans="1:17" s="316" customFormat="1" ht="39" customHeight="1">
      <c r="A6" s="320" t="s">
        <v>130</v>
      </c>
      <c r="B6" s="419" t="s">
        <v>129</v>
      </c>
      <c r="C6" s="420"/>
      <c r="D6" s="420"/>
      <c r="E6" s="420"/>
      <c r="F6" s="420"/>
      <c r="G6" s="420"/>
      <c r="H6" s="420"/>
      <c r="I6" s="420"/>
      <c r="J6" s="420"/>
      <c r="K6" s="420"/>
      <c r="L6" s="420"/>
      <c r="M6" s="420"/>
      <c r="N6" s="420"/>
      <c r="O6" s="420"/>
      <c r="P6" s="420"/>
      <c r="Q6" s="420"/>
    </row>
    <row r="7" spans="1:17" s="316" customFormat="1" ht="16.5">
      <c r="A7" s="421" t="s">
        <v>233</v>
      </c>
      <c r="B7" s="422"/>
      <c r="C7" s="422"/>
      <c r="D7" s="422"/>
      <c r="E7" s="422"/>
      <c r="F7" s="422"/>
      <c r="G7" s="422"/>
      <c r="H7" s="422"/>
      <c r="I7" s="422"/>
      <c r="J7" s="422"/>
      <c r="K7" s="422"/>
      <c r="L7" s="422"/>
      <c r="M7" s="422"/>
      <c r="N7" s="422"/>
      <c r="O7" s="422"/>
      <c r="P7" s="422"/>
      <c r="Q7" s="422"/>
    </row>
    <row r="8" spans="1:17" s="316" customFormat="1" ht="45" customHeight="1">
      <c r="A8" s="320" t="s">
        <v>130</v>
      </c>
      <c r="B8" s="425" t="s">
        <v>234</v>
      </c>
      <c r="C8" s="426"/>
      <c r="D8" s="426"/>
      <c r="E8" s="426"/>
      <c r="F8" s="426"/>
      <c r="G8" s="426"/>
      <c r="H8" s="426"/>
      <c r="I8" s="426"/>
      <c r="J8" s="426"/>
      <c r="K8" s="426"/>
      <c r="L8" s="426"/>
      <c r="M8" s="426"/>
      <c r="N8" s="426"/>
      <c r="O8" s="426"/>
      <c r="P8" s="426"/>
      <c r="Q8" s="426"/>
    </row>
    <row r="9" spans="1:17" s="316" customFormat="1" ht="16.5">
      <c r="A9" s="421" t="s">
        <v>133</v>
      </c>
      <c r="B9" s="422"/>
      <c r="C9" s="422"/>
      <c r="D9" s="422"/>
      <c r="E9" s="422"/>
      <c r="F9" s="422"/>
      <c r="G9" s="422"/>
      <c r="H9" s="422"/>
      <c r="I9" s="422"/>
      <c r="J9" s="422"/>
      <c r="K9" s="422"/>
      <c r="L9" s="422"/>
      <c r="M9" s="422"/>
      <c r="N9" s="422"/>
      <c r="O9" s="422"/>
      <c r="P9" s="422"/>
      <c r="Q9" s="422"/>
    </row>
    <row r="10" spans="1:17" s="316" customFormat="1" ht="66.75" customHeight="1">
      <c r="A10" s="320" t="s">
        <v>130</v>
      </c>
      <c r="B10" s="425" t="s">
        <v>229</v>
      </c>
      <c r="C10" s="426"/>
      <c r="D10" s="426"/>
      <c r="E10" s="426"/>
      <c r="F10" s="426"/>
      <c r="G10" s="426"/>
      <c r="H10" s="426"/>
      <c r="I10" s="426"/>
      <c r="J10" s="426"/>
      <c r="K10" s="426"/>
      <c r="L10" s="426"/>
      <c r="M10" s="426"/>
      <c r="N10" s="426"/>
      <c r="O10" s="426"/>
      <c r="P10" s="426"/>
      <c r="Q10" s="426"/>
    </row>
    <row r="11" spans="1:17" s="316" customFormat="1" ht="16.5">
      <c r="A11" s="421" t="s">
        <v>226</v>
      </c>
      <c r="B11" s="422"/>
      <c r="C11" s="422"/>
      <c r="D11" s="422"/>
      <c r="E11" s="422"/>
      <c r="F11" s="422"/>
      <c r="G11" s="422"/>
      <c r="H11" s="422"/>
      <c r="I11" s="422"/>
      <c r="J11" s="422"/>
      <c r="K11" s="422"/>
      <c r="L11" s="422"/>
      <c r="M11" s="422"/>
      <c r="N11" s="422"/>
      <c r="O11" s="422"/>
      <c r="P11" s="422"/>
      <c r="Q11" s="422"/>
    </row>
    <row r="12" spans="1:17" s="316" customFormat="1" ht="115.5" customHeight="1">
      <c r="A12" s="320" t="s">
        <v>130</v>
      </c>
      <c r="B12" s="425" t="s">
        <v>235</v>
      </c>
      <c r="C12" s="426"/>
      <c r="D12" s="426"/>
      <c r="E12" s="426"/>
      <c r="F12" s="426"/>
      <c r="G12" s="426"/>
      <c r="H12" s="426"/>
      <c r="I12" s="426"/>
      <c r="J12" s="426"/>
      <c r="K12" s="426"/>
      <c r="L12" s="426"/>
      <c r="M12" s="426"/>
      <c r="N12" s="426"/>
      <c r="O12" s="426"/>
      <c r="P12" s="426"/>
      <c r="Q12" s="426"/>
    </row>
    <row r="13" spans="1:17" s="316" customFormat="1" ht="16.5">
      <c r="A13" s="421" t="s">
        <v>135</v>
      </c>
      <c r="B13" s="422"/>
      <c r="C13" s="422"/>
      <c r="D13" s="422"/>
      <c r="E13" s="422"/>
      <c r="F13" s="422"/>
      <c r="G13" s="422"/>
      <c r="H13" s="422"/>
      <c r="I13" s="422"/>
      <c r="J13" s="422"/>
      <c r="K13" s="422"/>
      <c r="L13" s="422"/>
      <c r="M13" s="422"/>
      <c r="N13" s="422"/>
      <c r="O13" s="422"/>
      <c r="P13" s="422"/>
      <c r="Q13" s="422"/>
    </row>
    <row r="14" spans="1:17" s="316" customFormat="1" ht="36" customHeight="1">
      <c r="A14" s="320" t="s">
        <v>130</v>
      </c>
      <c r="B14" s="425" t="s">
        <v>145</v>
      </c>
      <c r="C14" s="426"/>
      <c r="D14" s="426"/>
      <c r="E14" s="426"/>
      <c r="F14" s="426"/>
      <c r="G14" s="426"/>
      <c r="H14" s="426"/>
      <c r="I14" s="426"/>
      <c r="J14" s="426"/>
      <c r="K14" s="426"/>
      <c r="L14" s="426"/>
      <c r="M14" s="426"/>
      <c r="N14" s="426"/>
      <c r="O14" s="426"/>
      <c r="P14" s="426"/>
      <c r="Q14" s="426"/>
    </row>
    <row r="15" spans="1:17" s="316" customFormat="1"/>
    <row r="16" spans="1:17" s="316" customFormat="1"/>
    <row r="17" s="316" customFormat="1"/>
  </sheetData>
  <sheetProtection password="CDA1" sheet="1" objects="1" scenarios="1"/>
  <mergeCells count="14">
    <mergeCell ref="A13:Q13"/>
    <mergeCell ref="B14:Q14"/>
    <mergeCell ref="A7:Q7"/>
    <mergeCell ref="B8:Q8"/>
    <mergeCell ref="A9:Q9"/>
    <mergeCell ref="B10:Q10"/>
    <mergeCell ref="A11:Q11"/>
    <mergeCell ref="B12:Q12"/>
    <mergeCell ref="B6:Q6"/>
    <mergeCell ref="B2:Q2"/>
    <mergeCell ref="B3:Q3"/>
    <mergeCell ref="A1:Q1"/>
    <mergeCell ref="B4:Q4"/>
    <mergeCell ref="A5:Q5"/>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1">
    <tabColor rgb="FF92D050"/>
  </sheetPr>
  <dimension ref="A1:Y86"/>
  <sheetViews>
    <sheetView zoomScaleNormal="100" workbookViewId="0">
      <pane xSplit="4" ySplit="8" topLeftCell="L33" activePane="bottomRight" state="frozen"/>
      <selection pane="topRight" activeCell="G1" sqref="G1"/>
      <selection pane="bottomLeft" activeCell="A8" sqref="A8"/>
      <selection pane="bottomRight" activeCell="O39" sqref="O39"/>
    </sheetView>
  </sheetViews>
  <sheetFormatPr defaultRowHeight="15"/>
  <cols>
    <col min="1" max="1" width="10.140625" style="25" customWidth="1"/>
    <col min="2" max="2" width="54.85546875" style="6" customWidth="1"/>
    <col min="3" max="3" width="20.28515625" style="25" customWidth="1"/>
    <col min="4" max="4" width="9.7109375" style="25" customWidth="1"/>
    <col min="5" max="5" width="10.7109375" style="6" bestFit="1" customWidth="1"/>
    <col min="6" max="6" width="9.7109375" style="25" customWidth="1"/>
    <col min="7" max="7" width="12" style="79" bestFit="1" customWidth="1"/>
    <col min="8" max="8" width="11.5703125" style="25" customWidth="1"/>
    <col min="9" max="9" width="12.5703125" style="26" customWidth="1"/>
    <col min="10" max="12" width="12" style="26" customWidth="1"/>
    <col min="13" max="13" width="13.140625" style="26" customWidth="1"/>
    <col min="14" max="14" width="10.28515625" style="26" customWidth="1"/>
    <col min="15" max="15" width="13.140625" style="26" customWidth="1"/>
    <col min="16" max="16" width="13.5703125" style="25" customWidth="1"/>
    <col min="17" max="17" width="11.7109375" style="25" customWidth="1"/>
    <col min="18" max="18" width="11.7109375" style="127" customWidth="1"/>
    <col min="19" max="19" width="11.42578125" style="79" customWidth="1"/>
    <col min="20" max="20" width="15.42578125" style="25" customWidth="1"/>
    <col min="21" max="21" width="10.85546875" style="27" customWidth="1"/>
    <col min="22" max="22" width="13.28515625" style="26" customWidth="1"/>
    <col min="23" max="23" width="11.140625" style="25" customWidth="1"/>
    <col min="24" max="24" width="10.140625" style="26" customWidth="1"/>
    <col min="25" max="16384" width="9.140625" style="6"/>
  </cols>
  <sheetData>
    <row r="1" spans="1:25">
      <c r="R1" s="301"/>
      <c r="S1" s="311" t="s">
        <v>67</v>
      </c>
      <c r="T1" s="312" t="s">
        <v>110</v>
      </c>
      <c r="U1" s="313" t="s">
        <v>111</v>
      </c>
      <c r="V1" s="302"/>
    </row>
    <row r="2" spans="1:25" s="30" customFormat="1" ht="17.25">
      <c r="C2" s="60"/>
      <c r="G2" s="79"/>
      <c r="H2" s="27"/>
      <c r="I2" s="24"/>
      <c r="J2" s="26"/>
      <c r="K2" s="26"/>
      <c r="L2" s="26"/>
      <c r="M2" s="26"/>
      <c r="N2" s="26"/>
      <c r="O2" s="26"/>
      <c r="P2" s="25"/>
      <c r="Q2" s="25"/>
      <c r="R2" s="303"/>
      <c r="S2" s="305" t="s">
        <v>20</v>
      </c>
      <c r="T2" s="314">
        <v>5.3937799999999996</v>
      </c>
      <c r="U2" s="306" t="s">
        <v>113</v>
      </c>
      <c r="V2" s="304"/>
      <c r="W2" s="25"/>
      <c r="X2" s="26"/>
    </row>
    <row r="3" spans="1:25" s="30" customFormat="1" ht="18" thickBot="1">
      <c r="C3" s="60"/>
      <c r="G3" s="79"/>
      <c r="H3" s="27"/>
      <c r="I3" s="24"/>
      <c r="J3" s="26"/>
      <c r="K3" s="26"/>
      <c r="L3" s="26"/>
      <c r="M3" s="26"/>
      <c r="N3" s="26"/>
      <c r="O3" s="390"/>
      <c r="P3" s="25"/>
      <c r="Q3" s="25"/>
      <c r="R3" s="307"/>
      <c r="S3" s="308" t="s">
        <v>109</v>
      </c>
      <c r="T3" s="315">
        <f>1/T2</f>
        <v>0.18539873706380314</v>
      </c>
      <c r="U3" s="309" t="s">
        <v>112</v>
      </c>
      <c r="V3" s="310"/>
      <c r="W3" s="25"/>
      <c r="X3" s="26"/>
    </row>
    <row r="4" spans="1:25" s="30" customFormat="1">
      <c r="C4" s="60"/>
      <c r="G4" s="79"/>
      <c r="H4" s="27"/>
      <c r="I4" s="24"/>
      <c r="J4" s="26"/>
      <c r="K4" s="26"/>
      <c r="L4" s="26"/>
      <c r="M4" s="26"/>
      <c r="N4" s="26"/>
      <c r="O4" s="202"/>
      <c r="P4" s="25"/>
      <c r="Q4" s="25"/>
      <c r="W4" s="25"/>
      <c r="X4" s="26"/>
    </row>
    <row r="5" spans="1:25" s="30" customFormat="1">
      <c r="A5" s="61"/>
      <c r="B5" s="6"/>
      <c r="C5" s="219"/>
      <c r="D5" s="212" t="s">
        <v>43</v>
      </c>
      <c r="E5" s="213">
        <v>1</v>
      </c>
      <c r="F5" s="213">
        <v>5</v>
      </c>
      <c r="G5" s="214">
        <v>5</v>
      </c>
      <c r="H5" s="213">
        <v>1</v>
      </c>
      <c r="I5" s="215">
        <v>5</v>
      </c>
      <c r="J5" s="213"/>
      <c r="K5" s="213">
        <v>1</v>
      </c>
      <c r="L5" s="213">
        <v>3</v>
      </c>
      <c r="M5" s="213">
        <v>4</v>
      </c>
      <c r="N5" s="213">
        <v>18</v>
      </c>
      <c r="O5" s="213">
        <v>18</v>
      </c>
      <c r="P5" s="215"/>
      <c r="Q5" s="216">
        <v>14</v>
      </c>
      <c r="R5" s="216">
        <v>17</v>
      </c>
      <c r="S5" s="215">
        <v>5</v>
      </c>
      <c r="T5" s="213">
        <v>5</v>
      </c>
      <c r="U5" s="217">
        <v>7</v>
      </c>
      <c r="V5" s="213"/>
      <c r="W5" s="218">
        <v>9</v>
      </c>
      <c r="X5" s="218">
        <v>12</v>
      </c>
    </row>
    <row r="6" spans="1:25" s="30" customFormat="1" ht="48.75" customHeight="1" thickBot="1">
      <c r="A6" s="61"/>
      <c r="C6" s="96"/>
      <c r="D6" s="114" t="s">
        <v>67</v>
      </c>
      <c r="E6" s="97" t="s">
        <v>45</v>
      </c>
      <c r="F6" s="97" t="s">
        <v>44</v>
      </c>
      <c r="G6" s="140" t="s">
        <v>46</v>
      </c>
      <c r="H6" s="145" t="s">
        <v>65</v>
      </c>
      <c r="I6" s="145" t="s">
        <v>66</v>
      </c>
      <c r="J6" s="146"/>
      <c r="K6" s="140" t="s">
        <v>69</v>
      </c>
      <c r="L6" s="139" t="s">
        <v>62</v>
      </c>
      <c r="M6" s="140" t="s">
        <v>63</v>
      </c>
      <c r="N6" s="142" t="s">
        <v>80</v>
      </c>
      <c r="O6" s="147" t="s">
        <v>71</v>
      </c>
      <c r="P6" s="141"/>
      <c r="Q6" s="139" t="s">
        <v>60</v>
      </c>
      <c r="R6" s="142" t="s">
        <v>61</v>
      </c>
      <c r="S6" s="140" t="s">
        <v>64</v>
      </c>
      <c r="T6" s="143" t="s">
        <v>42</v>
      </c>
      <c r="U6" s="143" t="s">
        <v>73</v>
      </c>
      <c r="V6" s="142" t="s">
        <v>70</v>
      </c>
      <c r="W6" s="144" t="s">
        <v>58</v>
      </c>
      <c r="X6" s="144" t="s">
        <v>59</v>
      </c>
    </row>
    <row r="7" spans="1:25" s="30" customFormat="1" ht="60">
      <c r="A7" s="353" t="s">
        <v>75</v>
      </c>
      <c r="B7" s="65" t="s">
        <v>55</v>
      </c>
      <c r="C7" s="163" t="s">
        <v>56</v>
      </c>
      <c r="D7" s="64" t="s">
        <v>77</v>
      </c>
      <c r="E7" s="66" t="s">
        <v>91</v>
      </c>
      <c r="F7" s="67" t="s">
        <v>53</v>
      </c>
      <c r="G7" s="95" t="s">
        <v>41</v>
      </c>
      <c r="H7" s="75" t="s">
        <v>93</v>
      </c>
      <c r="I7" s="22" t="s">
        <v>116</v>
      </c>
      <c r="J7" s="22" t="s">
        <v>153</v>
      </c>
      <c r="K7" s="20" t="s">
        <v>57</v>
      </c>
      <c r="L7" s="20" t="s">
        <v>96</v>
      </c>
      <c r="M7" s="20" t="s">
        <v>117</v>
      </c>
      <c r="N7" s="201" t="s">
        <v>154</v>
      </c>
      <c r="O7" s="20" t="s">
        <v>146</v>
      </c>
      <c r="P7" s="200" t="s">
        <v>89</v>
      </c>
      <c r="Q7" s="427" t="s">
        <v>68</v>
      </c>
      <c r="R7" s="428"/>
      <c r="S7" s="29" t="s">
        <v>223</v>
      </c>
      <c r="T7" s="76" t="s">
        <v>224</v>
      </c>
      <c r="U7" s="77" t="s">
        <v>127</v>
      </c>
      <c r="V7" s="20" t="s">
        <v>51</v>
      </c>
      <c r="W7" s="429" t="s">
        <v>40</v>
      </c>
      <c r="X7" s="428"/>
      <c r="Y7" s="150" t="s">
        <v>34</v>
      </c>
    </row>
    <row r="8" spans="1:25" s="148" customFormat="1" ht="17.25">
      <c r="A8" s="152"/>
      <c r="B8" s="115"/>
      <c r="C8" s="78"/>
      <c r="D8" s="151" t="s">
        <v>76</v>
      </c>
      <c r="E8" s="119" t="s">
        <v>50</v>
      </c>
      <c r="F8" s="116" t="s">
        <v>17</v>
      </c>
      <c r="G8" s="117" t="s">
        <v>17</v>
      </c>
      <c r="H8" s="119" t="s">
        <v>50</v>
      </c>
      <c r="I8" s="118" t="s">
        <v>18</v>
      </c>
      <c r="J8" s="119" t="s">
        <v>50</v>
      </c>
      <c r="K8" s="120" t="s">
        <v>50</v>
      </c>
      <c r="L8" s="120" t="s">
        <v>49</v>
      </c>
      <c r="M8" s="120" t="s">
        <v>50</v>
      </c>
      <c r="N8" s="286" t="s">
        <v>17</v>
      </c>
      <c r="O8" s="120" t="s">
        <v>17</v>
      </c>
      <c r="P8" s="121" t="s">
        <v>17</v>
      </c>
      <c r="Q8" s="122" t="s">
        <v>17</v>
      </c>
      <c r="R8" s="82" t="s">
        <v>18</v>
      </c>
      <c r="S8" s="117" t="s">
        <v>18</v>
      </c>
      <c r="T8" s="119" t="s">
        <v>18</v>
      </c>
      <c r="U8" s="123" t="s">
        <v>48</v>
      </c>
      <c r="V8" s="120" t="s">
        <v>17</v>
      </c>
      <c r="W8" s="124" t="s">
        <v>17</v>
      </c>
      <c r="X8" s="149" t="s">
        <v>18</v>
      </c>
    </row>
    <row r="9" spans="1:25" s="38" customFormat="1">
      <c r="A9" s="354" t="s">
        <v>47</v>
      </c>
      <c r="B9" s="333" t="s">
        <v>155</v>
      </c>
      <c r="C9" s="336">
        <v>13203510</v>
      </c>
      <c r="D9" s="337">
        <v>61.1</v>
      </c>
      <c r="E9" s="338">
        <f>3860-2255</f>
        <v>1605</v>
      </c>
      <c r="F9" s="339">
        <v>1.2E-2</v>
      </c>
      <c r="G9" s="340"/>
      <c r="H9" s="341">
        <f>E9</f>
        <v>1605</v>
      </c>
      <c r="I9" s="342">
        <f>F9*E9*$T$2</f>
        <v>103.8842028</v>
      </c>
      <c r="J9" s="343"/>
      <c r="K9" s="344"/>
      <c r="L9" s="345">
        <v>0</v>
      </c>
      <c r="M9" s="345">
        <v>1599</v>
      </c>
      <c r="N9" s="411">
        <v>0.01</v>
      </c>
      <c r="O9" s="345">
        <v>0.01</v>
      </c>
      <c r="P9" s="346">
        <v>1.2E-2</v>
      </c>
      <c r="Q9" s="347">
        <f>F9</f>
        <v>1.2E-2</v>
      </c>
      <c r="R9" s="348">
        <f t="shared" ref="R9:R46" si="0">Q9*M9*$T$2</f>
        <v>103.49585063999999</v>
      </c>
      <c r="S9" s="349">
        <f>F9*M9*$T$2</f>
        <v>103.49585063999999</v>
      </c>
      <c r="T9" s="350">
        <v>0</v>
      </c>
      <c r="U9" s="349">
        <v>0</v>
      </c>
      <c r="V9" s="345">
        <v>0</v>
      </c>
      <c r="W9" s="351">
        <f>F9</f>
        <v>1.2E-2</v>
      </c>
      <c r="X9" s="352">
        <f t="shared" ref="X9:X40" si="1">W9*M9*$T$2</f>
        <v>103.49585063999999</v>
      </c>
      <c r="Y9" s="317" t="s">
        <v>39</v>
      </c>
    </row>
    <row r="10" spans="1:25" s="38" customFormat="1">
      <c r="A10" s="355" t="s">
        <v>47</v>
      </c>
      <c r="B10" s="40" t="s">
        <v>156</v>
      </c>
      <c r="C10" s="68">
        <v>13205642</v>
      </c>
      <c r="D10" s="252">
        <v>50.17</v>
      </c>
      <c r="E10" s="100">
        <v>759</v>
      </c>
      <c r="F10" s="109">
        <v>1.4999999999999999E-2</v>
      </c>
      <c r="G10" s="93"/>
      <c r="H10" s="33">
        <f>E10</f>
        <v>759</v>
      </c>
      <c r="I10" s="34">
        <f>F10*E10*$T$2</f>
        <v>61.408185299999992</v>
      </c>
      <c r="J10" s="56">
        <v>28.84</v>
      </c>
      <c r="K10" s="57">
        <v>0</v>
      </c>
      <c r="L10" s="36">
        <v>0</v>
      </c>
      <c r="M10" s="36">
        <f>E10</f>
        <v>759</v>
      </c>
      <c r="N10" s="412">
        <v>0.01</v>
      </c>
      <c r="O10" s="36">
        <v>0.01</v>
      </c>
      <c r="P10" s="39">
        <f>F10</f>
        <v>1.4999999999999999E-2</v>
      </c>
      <c r="Q10" s="80">
        <f>P10</f>
        <v>1.4999999999999999E-2</v>
      </c>
      <c r="R10" s="130">
        <f t="shared" si="0"/>
        <v>61.408185299999992</v>
      </c>
      <c r="S10" s="318">
        <f>F10*M10*$T$2</f>
        <v>61.408185299999992</v>
      </c>
      <c r="T10" s="35">
        <v>0</v>
      </c>
      <c r="U10" s="55">
        <v>0</v>
      </c>
      <c r="V10" s="36">
        <v>0</v>
      </c>
      <c r="W10" s="88">
        <f>F10</f>
        <v>1.4999999999999999E-2</v>
      </c>
      <c r="X10" s="85">
        <f t="shared" si="1"/>
        <v>61.408185299999992</v>
      </c>
      <c r="Y10" s="317" t="s">
        <v>37</v>
      </c>
    </row>
    <row r="11" spans="1:25" s="49" customFormat="1">
      <c r="A11" s="356" t="s">
        <v>22</v>
      </c>
      <c r="B11" s="43" t="s">
        <v>157</v>
      </c>
      <c r="C11" s="69">
        <v>13205643</v>
      </c>
      <c r="D11" s="253">
        <v>50.01</v>
      </c>
      <c r="E11" s="101">
        <v>20.8</v>
      </c>
      <c r="F11" s="110">
        <v>2.23</v>
      </c>
      <c r="G11" s="94"/>
      <c r="H11" s="44">
        <f>H10+E11</f>
        <v>779.8</v>
      </c>
      <c r="I11" s="45">
        <f>I10+(F11*E11*$T$2)</f>
        <v>311.59327681999997</v>
      </c>
      <c r="J11" s="46"/>
      <c r="K11" s="47"/>
      <c r="L11" s="47">
        <f>(D10-D11)*Unmeasured_Gains_Losses!$B$6</f>
        <v>-1.6659176029962894</v>
      </c>
      <c r="M11" s="47">
        <f>M10+E11+L11</f>
        <v>778.13408239700368</v>
      </c>
      <c r="N11" s="413">
        <v>0.01</v>
      </c>
      <c r="O11" s="47">
        <v>0.01</v>
      </c>
      <c r="P11" s="408">
        <f>F11</f>
        <v>2.23</v>
      </c>
      <c r="Q11" s="83">
        <f>((P11*E11)+(Q10*M10)+(L11*Q10))/(M11)</f>
        <v>7.4208304895317628E-2</v>
      </c>
      <c r="R11" s="132">
        <f>F11</f>
        <v>2.23</v>
      </c>
      <c r="S11" s="319">
        <f>(F11*E11*$T$2)</f>
        <v>250.18509151999999</v>
      </c>
      <c r="T11" s="62"/>
      <c r="U11" s="46">
        <f>(D10-D11)*Unmeasured_Gains_Losses!$C$6</f>
        <v>-1.1346639310938491E-2</v>
      </c>
      <c r="V11" s="47"/>
      <c r="W11" s="90">
        <f>((W10*M10)+(F11*E11)+(U11*$T$3))/M11</f>
        <v>7.4237715137028509E-2</v>
      </c>
      <c r="X11" s="86">
        <f t="shared" si="1"/>
        <v>311.58193018068903</v>
      </c>
      <c r="Y11" s="48"/>
    </row>
    <row r="12" spans="1:25" s="30" customFormat="1">
      <c r="A12" s="357" t="s">
        <v>21</v>
      </c>
      <c r="B12" s="334" t="s">
        <v>1</v>
      </c>
      <c r="C12" s="70"/>
      <c r="D12" s="254">
        <v>47.69</v>
      </c>
      <c r="E12" s="102">
        <v>0</v>
      </c>
      <c r="F12" s="23"/>
      <c r="G12" s="87">
        <v>7.0000000000000007E-2</v>
      </c>
      <c r="H12" s="1">
        <f>H11+E12</f>
        <v>779.8</v>
      </c>
      <c r="I12" s="28">
        <f>I11+(G12*E12*$T$2)</f>
        <v>311.59327681999997</v>
      </c>
      <c r="J12" s="26"/>
      <c r="K12" s="31"/>
      <c r="L12" s="31">
        <f>(D11-D12)*Unmeasured_Gains_Losses!$B$6</f>
        <v>-24.155805243445641</v>
      </c>
      <c r="M12" s="31">
        <f>M11+E12+L12</f>
        <v>753.978277153558</v>
      </c>
      <c r="N12" s="414">
        <v>0.01</v>
      </c>
      <c r="O12" s="31">
        <v>0.01</v>
      </c>
      <c r="P12" s="2"/>
      <c r="Q12" s="81">
        <f>((Q11*M11)+(E12*Q11)+(L12*Q11))/M12</f>
        <v>7.4208304895317628E-2</v>
      </c>
      <c r="R12" s="131">
        <f t="shared" si="0"/>
        <v>301.78981130924529</v>
      </c>
      <c r="S12" s="79">
        <f>(G12*E12*$T$2)</f>
        <v>0</v>
      </c>
      <c r="T12" s="25"/>
      <c r="U12" s="27">
        <f>(D11-D12)*Unmeasured_Gains_Losses!$C$6</f>
        <v>-0.16452627000860434</v>
      </c>
      <c r="V12" s="31"/>
      <c r="W12" s="89">
        <f>((W11*M11)+(E12*G12)+(U12*$T$3))/M12</f>
        <v>7.6575672183417043E-2</v>
      </c>
      <c r="X12" s="125">
        <f t="shared" si="1"/>
        <v>311.41740391068043</v>
      </c>
      <c r="Y12" s="17"/>
    </row>
    <row r="13" spans="1:25" s="38" customFormat="1">
      <c r="A13" s="355" t="s">
        <v>47</v>
      </c>
      <c r="B13" s="32" t="s">
        <v>158</v>
      </c>
      <c r="C13" s="68">
        <v>13206000</v>
      </c>
      <c r="D13" s="252">
        <v>47.5</v>
      </c>
      <c r="E13" s="98">
        <v>752</v>
      </c>
      <c r="F13" s="109">
        <v>7.0000000000000007E-2</v>
      </c>
      <c r="G13" s="93"/>
      <c r="H13" s="33">
        <f>H12</f>
        <v>779.8</v>
      </c>
      <c r="I13" s="34">
        <f>I12</f>
        <v>311.59327681999997</v>
      </c>
      <c r="J13" s="56">
        <v>47.43</v>
      </c>
      <c r="K13" s="57">
        <f>E13-(E10+SUM(E11:E12))</f>
        <v>-27.799999999999955</v>
      </c>
      <c r="L13" s="36">
        <f>(D12-D13)*Unmeasured_Gains_Losses!$B$6</f>
        <v>-1.9782771535580244</v>
      </c>
      <c r="M13" s="36">
        <f>M12+L13</f>
        <v>752</v>
      </c>
      <c r="N13" s="412">
        <v>1.2137834036568188E-2</v>
      </c>
      <c r="O13" s="36">
        <f t="shared" ref="O13:O38" si="2">O12+((($O$39-$O$10)/($D$10-$D$39))*(D12-D13))</f>
        <v>1.2137834036568188E-2</v>
      </c>
      <c r="P13" s="93"/>
      <c r="Q13" s="80">
        <f>((Q12*M12)+(L13*Q12))/M13</f>
        <v>7.4208304895317628E-2</v>
      </c>
      <c r="R13" s="130">
        <f t="shared" si="0"/>
        <v>300.99797962525628</v>
      </c>
      <c r="S13" s="318">
        <f>F13*M13*$T$2</f>
        <v>283.9285792</v>
      </c>
      <c r="T13" s="56">
        <v>-0.18934704350128181</v>
      </c>
      <c r="U13" s="55">
        <f>(D12-D13)*Unmeasured_Gains_Losses!$C$6</f>
        <v>-1.3474134181738985E-2</v>
      </c>
      <c r="V13" s="57">
        <f>(T13/K13)*$T$3</f>
        <v>1.2627590910756366E-3</v>
      </c>
      <c r="W13" s="88">
        <f>((W12*M12)+(U13*$T$3))/M13</f>
        <v>7.6773796937856506E-2</v>
      </c>
      <c r="X13" s="85">
        <f t="shared" si="1"/>
        <v>311.40392977649867</v>
      </c>
      <c r="Y13" s="249" t="s">
        <v>221</v>
      </c>
    </row>
    <row r="14" spans="1:25" s="30" customFormat="1">
      <c r="A14" s="357" t="s">
        <v>21</v>
      </c>
      <c r="B14" s="334" t="s">
        <v>159</v>
      </c>
      <c r="C14" s="70"/>
      <c r="D14" s="254">
        <v>46.01</v>
      </c>
      <c r="E14" s="103">
        <v>-38</v>
      </c>
      <c r="F14" s="23"/>
      <c r="G14" s="87">
        <v>7.0000000000000007E-2</v>
      </c>
      <c r="H14" s="1">
        <f t="shared" ref="H14:H22" si="3">H13+E14</f>
        <v>741.8</v>
      </c>
      <c r="I14" s="28">
        <f>I13+(G14*E14*$T$2)</f>
        <v>297.24582201999999</v>
      </c>
      <c r="J14" s="26"/>
      <c r="K14" s="31"/>
      <c r="L14" s="31">
        <f>(D13-D14)*Unmeasured_Gains_Losses!$B$7</f>
        <v>6.6891489361702243</v>
      </c>
      <c r="M14" s="31">
        <f>M13+E14+L14</f>
        <v>720.68914893617023</v>
      </c>
      <c r="N14" s="414">
        <v>2.8902953586497887E-2</v>
      </c>
      <c r="O14" s="31">
        <f t="shared" si="2"/>
        <v>2.8902953586497887E-2</v>
      </c>
      <c r="P14" s="2"/>
      <c r="Q14" s="81">
        <f>((Q13*M13)+(E14*Q13)+(L14*N14))/M14</f>
        <v>7.3787798713203526E-2</v>
      </c>
      <c r="R14" s="131">
        <f t="shared" si="0"/>
        <v>286.83078805542982</v>
      </c>
      <c r="S14" s="79">
        <f>(G14*E14*$T$2)</f>
        <v>-14.3474548</v>
      </c>
      <c r="T14" s="25"/>
      <c r="U14" s="27">
        <f>(D13-D14)*Unmeasured_Gains_Losses!$C$7</f>
        <v>30.108676718638328</v>
      </c>
      <c r="V14" s="31"/>
      <c r="W14" s="89">
        <f>((W13*M13)+(E14*G14)+(U14*$T$3))/M14</f>
        <v>8.4163895106651773E-2</v>
      </c>
      <c r="X14" s="125">
        <f t="shared" si="1"/>
        <v>327.16515169513701</v>
      </c>
      <c r="Y14" s="249" t="s">
        <v>118</v>
      </c>
    </row>
    <row r="15" spans="1:25" s="49" customFormat="1">
      <c r="A15" s="356" t="s">
        <v>21</v>
      </c>
      <c r="B15" s="43" t="s">
        <v>237</v>
      </c>
      <c r="C15" s="69">
        <v>13206300</v>
      </c>
      <c r="D15" s="253">
        <v>45.51</v>
      </c>
      <c r="E15" s="104">
        <f>North_Channel!E5/-1</f>
        <v>-177</v>
      </c>
      <c r="F15" s="110">
        <v>0.06</v>
      </c>
      <c r="G15" s="94"/>
      <c r="H15" s="44">
        <f t="shared" si="3"/>
        <v>564.79999999999995</v>
      </c>
      <c r="I15" s="45">
        <f>I14+(F15*E15*$T$2)</f>
        <v>239.96387842000001</v>
      </c>
      <c r="J15" s="46"/>
      <c r="K15" s="47"/>
      <c r="L15" s="47">
        <f>(D14-D15)*Unmeasured_Gains_Losses!$B$7</f>
        <v>2.2446808510638308</v>
      </c>
      <c r="M15" s="47">
        <f>M14+E15+L15</f>
        <v>545.933829787234</v>
      </c>
      <c r="N15" s="413">
        <v>3.4528832630098448E-2</v>
      </c>
      <c r="O15" s="47">
        <f t="shared" si="2"/>
        <v>3.4528832630098448E-2</v>
      </c>
      <c r="P15" s="50">
        <f>Q15</f>
        <v>7.3626380159175372E-2</v>
      </c>
      <c r="Q15" s="83">
        <f>((Q14*M14)+(E15*Q14)+(L15*N15))/M15</f>
        <v>7.3626380159175372E-2</v>
      </c>
      <c r="R15" s="132">
        <f t="shared" si="0"/>
        <v>216.80369742668029</v>
      </c>
      <c r="S15" s="319">
        <f>(F15*E15*$T$2)</f>
        <v>-57.281943599999991</v>
      </c>
      <c r="T15" s="62"/>
      <c r="U15" s="46">
        <f>(D14-D15)*Unmeasured_Gains_Losses!$C$7</f>
        <v>10.103582791489359</v>
      </c>
      <c r="V15" s="47"/>
      <c r="W15" s="90">
        <f>((W14*M14)+(E15*W14)+(U15*$T$3))/M15</f>
        <v>8.7249013327519803E-2</v>
      </c>
      <c r="X15" s="86">
        <f t="shared" si="1"/>
        <v>256.91754294236733</v>
      </c>
      <c r="Y15" s="249" t="s">
        <v>148</v>
      </c>
    </row>
    <row r="16" spans="1:25" s="30" customFormat="1">
      <c r="A16" s="357" t="s">
        <v>21</v>
      </c>
      <c r="B16" s="3" t="s">
        <v>220</v>
      </c>
      <c r="C16" s="70"/>
      <c r="D16" s="254">
        <v>44.809999999999995</v>
      </c>
      <c r="E16" s="99">
        <v>-2</v>
      </c>
      <c r="F16" s="23"/>
      <c r="G16" s="87">
        <v>0.06</v>
      </c>
      <c r="H16" s="1">
        <f t="shared" si="3"/>
        <v>562.79999999999995</v>
      </c>
      <c r="I16" s="28">
        <f>I15+(G16*E16*$T$2)</f>
        <v>239.31662482000002</v>
      </c>
      <c r="J16" s="26"/>
      <c r="K16" s="31"/>
      <c r="L16" s="31">
        <f>(D15-D16)*Unmeasured_Gains_Losses!$B$7</f>
        <v>3.1425531914893758</v>
      </c>
      <c r="M16" s="31">
        <f>M15+E16+L16</f>
        <v>547.07638297872336</v>
      </c>
      <c r="N16" s="414">
        <v>4.2405063291139265E-2</v>
      </c>
      <c r="O16" s="31">
        <f t="shared" si="2"/>
        <v>4.2405063291139265E-2</v>
      </c>
      <c r="P16" s="2"/>
      <c r="Q16" s="81">
        <f>((Q15*M15)+(E16*Q15)+(L16*N16))/M16</f>
        <v>7.3447036557406392E-2</v>
      </c>
      <c r="R16" s="131">
        <f t="shared" si="0"/>
        <v>216.72822445658846</v>
      </c>
      <c r="S16" s="79">
        <f>(G16*E16*$T$2)</f>
        <v>-0.64725359999999987</v>
      </c>
      <c r="T16" s="25"/>
      <c r="U16" s="27">
        <f>(D15-D16)*Unmeasured_Gains_Losses!$C$7</f>
        <v>14.14501590808516</v>
      </c>
      <c r="V16" s="31"/>
      <c r="W16" s="89">
        <f>((W15*M15)+(E16*G16)+(U16*$T$3))/M16</f>
        <v>9.1641053490891633E-2</v>
      </c>
      <c r="X16" s="125">
        <f t="shared" si="1"/>
        <v>270.41530525045249</v>
      </c>
      <c r="Y16" s="249"/>
    </row>
    <row r="17" spans="1:25" s="30" customFormat="1" ht="15.75" customHeight="1">
      <c r="A17" s="357" t="s">
        <v>21</v>
      </c>
      <c r="B17" s="3" t="s">
        <v>161</v>
      </c>
      <c r="C17" s="70"/>
      <c r="D17" s="254">
        <v>44.5</v>
      </c>
      <c r="E17" s="99">
        <v>-7</v>
      </c>
      <c r="F17" s="23"/>
      <c r="G17" s="87">
        <v>0.06</v>
      </c>
      <c r="H17" s="1">
        <f t="shared" si="3"/>
        <v>555.79999999999995</v>
      </c>
      <c r="I17" s="28">
        <f>I16+(G17*E17*$T$2)</f>
        <v>237.05123722000002</v>
      </c>
      <c r="J17" s="26"/>
      <c r="K17" s="31"/>
      <c r="L17" s="31">
        <f>(D16-D17)*Unmeasured_Gains_Losses!$B$7</f>
        <v>1.3917021276595534</v>
      </c>
      <c r="M17" s="31">
        <f>M16+E17+L17</f>
        <v>541.46808510638289</v>
      </c>
      <c r="N17" s="414">
        <v>4.5893108298171559E-2</v>
      </c>
      <c r="O17" s="31">
        <f t="shared" si="2"/>
        <v>4.5893108298171559E-2</v>
      </c>
      <c r="P17" s="2"/>
      <c r="Q17" s="81">
        <f>((Q16*M16)+(E17*Q16)+(L17*N17))/M17</f>
        <v>7.3376216389720583E-2</v>
      </c>
      <c r="R17" s="131">
        <f t="shared" si="0"/>
        <v>214.29962258707621</v>
      </c>
      <c r="S17" s="79">
        <f>(G17*E17*$T$2)</f>
        <v>-2.2653875999999999</v>
      </c>
      <c r="T17" s="25"/>
      <c r="U17" s="27">
        <f>(D16-D17)*Unmeasured_Gains_Losses!$C$7</f>
        <v>6.2642213307233048</v>
      </c>
      <c r="V17" s="31"/>
      <c r="W17" s="89">
        <f>((W16*M16)+(E17*G17)+(U17*$T$3))/M17</f>
        <v>9.3959433988736865E-2</v>
      </c>
      <c r="X17" s="125">
        <f t="shared" si="1"/>
        <v>274.41413898117577</v>
      </c>
      <c r="Y17" s="249"/>
    </row>
    <row r="18" spans="1:25" s="49" customFormat="1">
      <c r="A18" s="356" t="s">
        <v>22</v>
      </c>
      <c r="B18" s="43" t="s">
        <v>162</v>
      </c>
      <c r="C18" s="69">
        <v>13206303</v>
      </c>
      <c r="D18" s="253">
        <v>44.16</v>
      </c>
      <c r="E18" s="104">
        <v>22.9</v>
      </c>
      <c r="F18" s="110">
        <v>4.28</v>
      </c>
      <c r="G18" s="94"/>
      <c r="H18" s="44">
        <f t="shared" si="3"/>
        <v>578.69999999999993</v>
      </c>
      <c r="I18" s="45">
        <f>I17+(F18*E18*$T$2)</f>
        <v>765.70640258000003</v>
      </c>
      <c r="J18" s="46"/>
      <c r="K18" s="47"/>
      <c r="L18" s="47">
        <f>(D17-D18)*Unmeasured_Gains_Losses!$B$7</f>
        <v>1.5263829787234202</v>
      </c>
      <c r="M18" s="47">
        <f>M17+E18+L18</f>
        <v>565.89446808510627</v>
      </c>
      <c r="N18" s="413">
        <v>4.9718706047819979E-2</v>
      </c>
      <c r="O18" s="47">
        <f t="shared" si="2"/>
        <v>4.9718706047819979E-2</v>
      </c>
      <c r="P18" s="409">
        <f>F18</f>
        <v>4.28</v>
      </c>
      <c r="Q18" s="83">
        <f>((P18*E18)+(Q17*M17)+(L18*N18))/(M18)</f>
        <v>0.24354146742922786</v>
      </c>
      <c r="R18" s="132">
        <f t="shared" si="0"/>
        <v>743.36412076043518</v>
      </c>
      <c r="S18" s="319">
        <f>(F18*E18*$T$2)</f>
        <v>528.65516535999996</v>
      </c>
      <c r="T18" s="62"/>
      <c r="U18" s="46">
        <f>(D17-D18)*Unmeasured_Gains_Losses!$C$7</f>
        <v>6.8704362982128329</v>
      </c>
      <c r="V18" s="47"/>
      <c r="W18" s="90">
        <f>((W17*M17)+(E18*F18)+(U18*$T$3))/M18</f>
        <v>0.26535301806439243</v>
      </c>
      <c r="X18" s="86">
        <f t="shared" si="1"/>
        <v>809.93974063938867</v>
      </c>
      <c r="Y18" s="249"/>
    </row>
    <row r="19" spans="1:25" s="30" customFormat="1">
      <c r="A19" s="357" t="s">
        <v>21</v>
      </c>
      <c r="B19" s="3" t="s">
        <v>163</v>
      </c>
      <c r="C19" s="70"/>
      <c r="D19" s="254">
        <v>43.5</v>
      </c>
      <c r="E19" s="99">
        <v>0</v>
      </c>
      <c r="F19" s="23"/>
      <c r="G19" s="87">
        <v>0.27</v>
      </c>
      <c r="H19" s="1">
        <f t="shared" si="3"/>
        <v>578.69999999999993</v>
      </c>
      <c r="I19" s="28">
        <f>I18+(G19*E19*$T$2)</f>
        <v>765.70640258000003</v>
      </c>
      <c r="J19" s="26"/>
      <c r="K19" s="31"/>
      <c r="L19" s="31">
        <f>(D18-D19)*Unmeasured_Gains_Losses!$B$7</f>
        <v>2.9629787234042411</v>
      </c>
      <c r="M19" s="31">
        <f t="shared" ref="M19:M22" si="4">M18+E19+L19</f>
        <v>568.85744680851053</v>
      </c>
      <c r="N19" s="414">
        <v>5.7144866385372681E-2</v>
      </c>
      <c r="O19" s="31">
        <f t="shared" si="2"/>
        <v>5.7144866385372681E-2</v>
      </c>
      <c r="P19" s="2"/>
      <c r="Q19" s="81">
        <f>((Q18*M18)+(E19*Q18)+(L19*N19))/M19</f>
        <v>0.24257059297534425</v>
      </c>
      <c r="R19" s="131">
        <f t="shared" si="0"/>
        <v>744.27739032166937</v>
      </c>
      <c r="S19" s="79">
        <f>(G19*E19*$T$2)</f>
        <v>0</v>
      </c>
      <c r="T19" s="25"/>
      <c r="U19" s="27">
        <f>(D18-D19)*Unmeasured_Gains_Losses!$C$7</f>
        <v>13.336729284765884</v>
      </c>
      <c r="V19" s="31"/>
      <c r="W19" s="89">
        <f>((W18*M18)+(E19*G19)+(U19*$T$3))/M19</f>
        <v>0.26831751721739233</v>
      </c>
      <c r="X19" s="125">
        <f t="shared" si="1"/>
        <v>823.27646992415453</v>
      </c>
      <c r="Y19" s="249"/>
    </row>
    <row r="20" spans="1:25" s="30" customFormat="1">
      <c r="A20" s="357" t="s">
        <v>21</v>
      </c>
      <c r="B20" s="4" t="s">
        <v>164</v>
      </c>
      <c r="C20" s="70"/>
      <c r="D20" s="254">
        <v>43.07</v>
      </c>
      <c r="E20" s="99">
        <v>-1</v>
      </c>
      <c r="F20" s="23"/>
      <c r="G20" s="87">
        <v>0.27</v>
      </c>
      <c r="H20" s="1">
        <f t="shared" si="3"/>
        <v>577.69999999999993</v>
      </c>
      <c r="I20" s="28">
        <f>I19+(G20*E20*$T$2)</f>
        <v>764.25008198</v>
      </c>
      <c r="J20" s="26"/>
      <c r="K20" s="31"/>
      <c r="L20" s="31">
        <f>(D19-D20)*Unmeasured_Gains_Losses!$B$7</f>
        <v>1.9304255319148931</v>
      </c>
      <c r="M20" s="31">
        <f t="shared" si="4"/>
        <v>569.78787234042545</v>
      </c>
      <c r="N20" s="414">
        <v>6.198312236286916E-2</v>
      </c>
      <c r="O20" s="31">
        <f t="shared" si="2"/>
        <v>6.198312236286916E-2</v>
      </c>
      <c r="P20" s="2"/>
      <c r="Q20" s="81">
        <f>((Q19*M19)+(E20*Q19)+(L20*N20))/M20</f>
        <v>0.24195876762605714</v>
      </c>
      <c r="R20" s="131">
        <f t="shared" si="0"/>
        <v>743.614404192611</v>
      </c>
      <c r="S20" s="79">
        <f>(G20*E20*$T$2)</f>
        <v>-1.4563206</v>
      </c>
      <c r="T20" s="25"/>
      <c r="U20" s="27">
        <f>(D19-D20)*Unmeasured_Gains_Losses!$C$7</f>
        <v>8.6890812006808424</v>
      </c>
      <c r="V20" s="31"/>
      <c r="W20" s="89">
        <f>((W19*M19)+(E20*G20)+(U20*$T$3))/M20</f>
        <v>0.27023278299461817</v>
      </c>
      <c r="X20" s="125">
        <f t="shared" si="1"/>
        <v>830.50923052483529</v>
      </c>
      <c r="Y20" s="249"/>
    </row>
    <row r="21" spans="1:25" s="30" customFormat="1">
      <c r="A21" s="357" t="s">
        <v>21</v>
      </c>
      <c r="B21" s="3" t="s">
        <v>165</v>
      </c>
      <c r="C21" s="70"/>
      <c r="D21" s="254">
        <v>43.07</v>
      </c>
      <c r="E21" s="99">
        <v>-6</v>
      </c>
      <c r="F21" s="23"/>
      <c r="G21" s="87">
        <v>0.27</v>
      </c>
      <c r="H21" s="1">
        <f t="shared" si="3"/>
        <v>571.69999999999993</v>
      </c>
      <c r="I21" s="28">
        <f>I20+(G21*E21*$T$2)</f>
        <v>755.51215837999996</v>
      </c>
      <c r="J21" s="26"/>
      <c r="K21" s="31"/>
      <c r="L21" s="31">
        <f>(D20-D21)*Unmeasured_Gains_Losses!$B$7</f>
        <v>0</v>
      </c>
      <c r="M21" s="31">
        <f t="shared" si="4"/>
        <v>563.78787234042545</v>
      </c>
      <c r="N21" s="414">
        <v>6.198312236286916E-2</v>
      </c>
      <c r="O21" s="31">
        <f t="shared" si="2"/>
        <v>6.198312236286916E-2</v>
      </c>
      <c r="P21" s="2"/>
      <c r="Q21" s="81">
        <f>((Q20*M20)+(E21*Q20)+(L21*N21))/M21</f>
        <v>0.24195876762605711</v>
      </c>
      <c r="R21" s="131">
        <f t="shared" si="0"/>
        <v>735.78397002273448</v>
      </c>
      <c r="S21" s="79">
        <f>(G21*E21*$T$2)</f>
        <v>-8.7379236000000002</v>
      </c>
      <c r="T21" s="25"/>
      <c r="U21" s="27">
        <f>(D20-D21)*Unmeasured_Gains_Losses!$C$7</f>
        <v>0</v>
      </c>
      <c r="V21" s="31"/>
      <c r="W21" s="89">
        <f>((W20*M20)+(E21*G21)+(U21*$T$3))/M21</f>
        <v>0.27023526034121648</v>
      </c>
      <c r="X21" s="125">
        <f t="shared" si="1"/>
        <v>821.77130692483524</v>
      </c>
      <c r="Y21" s="249"/>
    </row>
    <row r="22" spans="1:25" s="30" customFormat="1">
      <c r="A22" s="357" t="s">
        <v>21</v>
      </c>
      <c r="B22" s="3" t="s">
        <v>166</v>
      </c>
      <c r="C22" s="70"/>
      <c r="D22" s="254">
        <v>42.849999999999994</v>
      </c>
      <c r="E22" s="105">
        <v>-1</v>
      </c>
      <c r="F22" s="23"/>
      <c r="G22" s="87">
        <v>0.27</v>
      </c>
      <c r="H22" s="1">
        <f t="shared" si="3"/>
        <v>570.69999999999993</v>
      </c>
      <c r="I22" s="28">
        <f>I21+(G22*E22*$T$2)</f>
        <v>754.05583777999993</v>
      </c>
      <c r="J22" s="26"/>
      <c r="K22" s="31"/>
      <c r="L22" s="31">
        <f>(D21-D22)*Unmeasured_Gains_Losses!$B$7</f>
        <v>0.98765957446811237</v>
      </c>
      <c r="M22" s="31">
        <f t="shared" si="4"/>
        <v>563.77553191489358</v>
      </c>
      <c r="N22" s="414">
        <v>6.4458509142053477E-2</v>
      </c>
      <c r="O22" s="31">
        <f t="shared" si="2"/>
        <v>6.4458509142053477E-2</v>
      </c>
      <c r="P22" s="2"/>
      <c r="Q22" s="81">
        <f>((Q21*M21)+(E22*Q21)+(L22*N22))/M22</f>
        <v>0.24164781083591971</v>
      </c>
      <c r="R22" s="131">
        <f t="shared" si="0"/>
        <v>734.82228222086678</v>
      </c>
      <c r="S22" s="79">
        <f>(G22*E22*$T$2)</f>
        <v>-1.4563206</v>
      </c>
      <c r="T22" s="25"/>
      <c r="U22" s="27">
        <f>(D21-D22)*Unmeasured_Gains_Losses!$C$7</f>
        <v>4.4455764282554382</v>
      </c>
      <c r="V22" s="31"/>
      <c r="W22" s="89">
        <f>((W21*M21)+(E22*G22)+(U22*$T$3))/M22</f>
        <v>0.27122419838812278</v>
      </c>
      <c r="X22" s="125">
        <f t="shared" si="1"/>
        <v>824.76056275309054</v>
      </c>
      <c r="Y22" s="249"/>
    </row>
    <row r="23" spans="1:25" s="38" customFormat="1">
      <c r="A23" s="355" t="s">
        <v>47</v>
      </c>
      <c r="B23" s="32" t="s">
        <v>167</v>
      </c>
      <c r="C23" s="68">
        <v>13206305</v>
      </c>
      <c r="D23" s="252">
        <v>42.8</v>
      </c>
      <c r="E23" s="98">
        <v>564</v>
      </c>
      <c r="F23" s="109">
        <v>0.27</v>
      </c>
      <c r="G23" s="93"/>
      <c r="H23" s="33">
        <f>H22</f>
        <v>570.69999999999993</v>
      </c>
      <c r="I23" s="34">
        <f>I22</f>
        <v>754.05583777999993</v>
      </c>
      <c r="J23" s="56">
        <v>32.89</v>
      </c>
      <c r="K23" s="57">
        <f>E23-(E13+(SUM(E14:E22)))</f>
        <v>21.100000000000023</v>
      </c>
      <c r="L23" s="36">
        <f>(D22-D23)*Unmeasured_Gains_Losses!$B$7</f>
        <v>0.22446808510637031</v>
      </c>
      <c r="M23" s="36">
        <f>M22+L23</f>
        <v>564</v>
      </c>
      <c r="N23" s="412">
        <v>6.5021097046413498E-2</v>
      </c>
      <c r="O23" s="36">
        <f t="shared" si="2"/>
        <v>6.5021097046413498E-2</v>
      </c>
      <c r="P23" s="93"/>
      <c r="Q23" s="80">
        <f>((Q22*M22)+(L23*N23))/M23</f>
        <v>0.24157751462985061</v>
      </c>
      <c r="R23" s="130">
        <f t="shared" si="0"/>
        <v>734.90100530915026</v>
      </c>
      <c r="S23" s="318">
        <f>F23*M23*$T$2</f>
        <v>821.36481839999999</v>
      </c>
      <c r="T23" s="56">
        <f>S23-(S13+(SUM(S14:S22)))</f>
        <v>94.973678240000027</v>
      </c>
      <c r="U23" s="55">
        <f>(D22-D23)*Unmeasured_Gains_Losses!$C$7</f>
        <v>1.0103582791488785</v>
      </c>
      <c r="V23" s="57">
        <f>(T23/K23)*$T$3</f>
        <v>0.83450236966824576</v>
      </c>
      <c r="W23" s="88">
        <f>((W22*M22)+(U23*$T$3))/M23</f>
        <v>0.27144837919040904</v>
      </c>
      <c r="X23" s="85">
        <f t="shared" si="1"/>
        <v>825.77092103223936</v>
      </c>
      <c r="Y23" s="249" t="s">
        <v>221</v>
      </c>
    </row>
    <row r="24" spans="1:25" s="30" customFormat="1">
      <c r="A24" s="357" t="s">
        <v>21</v>
      </c>
      <c r="B24" s="4" t="s">
        <v>168</v>
      </c>
      <c r="C24" s="70"/>
      <c r="D24" s="292">
        <v>42.7</v>
      </c>
      <c r="E24" s="106">
        <v>0</v>
      </c>
      <c r="F24" s="23"/>
      <c r="G24" s="87">
        <v>0.27</v>
      </c>
      <c r="H24" s="1">
        <f>H23+E24</f>
        <v>570.69999999999993</v>
      </c>
      <c r="I24" s="28">
        <f>I23+(G24*E24*$T$2)</f>
        <v>754.05583777999993</v>
      </c>
      <c r="J24" s="26"/>
      <c r="K24" s="31"/>
      <c r="L24" s="31">
        <f>(D23-D24)*Unmeasured_Gains_Losses!$B$8</f>
        <v>7.4607843137250978</v>
      </c>
      <c r="M24" s="31">
        <f>M23+E24+L24</f>
        <v>571.46078431372507</v>
      </c>
      <c r="N24" s="414">
        <v>6.6146272855133553E-2</v>
      </c>
      <c r="O24" s="31">
        <f t="shared" si="2"/>
        <v>6.6146272855133553E-2</v>
      </c>
      <c r="P24" s="2"/>
      <c r="Q24" s="81">
        <f>((Q23*M23)+(E24*Q23)+(L24*N24))/M24</f>
        <v>0.23928714809430268</v>
      </c>
      <c r="R24" s="131">
        <f t="shared" si="0"/>
        <v>737.56285232464063</v>
      </c>
      <c r="S24" s="79">
        <f>(G24*E24*$T$2)</f>
        <v>0</v>
      </c>
      <c r="T24" s="25"/>
      <c r="U24" s="27">
        <f>(D23-D24)*Unmeasured_Gains_Losses!$C$8</f>
        <v>-8.5100099549014505</v>
      </c>
      <c r="V24" s="31"/>
      <c r="W24" s="89">
        <f>((W23*M23)+(E24*G24)+(U24*$T$3))/M24</f>
        <v>0.26514354952162283</v>
      </c>
      <c r="X24" s="125">
        <f t="shared" si="1"/>
        <v>817.26091107733794</v>
      </c>
      <c r="Y24" s="249" t="s">
        <v>35</v>
      </c>
    </row>
    <row r="25" spans="1:25" s="30" customFormat="1">
      <c r="A25" s="357" t="s">
        <v>21</v>
      </c>
      <c r="B25" s="3" t="s">
        <v>2</v>
      </c>
      <c r="C25" s="70"/>
      <c r="D25" s="292">
        <v>42.4</v>
      </c>
      <c r="E25" s="111">
        <v>-0.1</v>
      </c>
      <c r="F25" s="23"/>
      <c r="G25" s="87">
        <v>0.27</v>
      </c>
      <c r="H25" s="1">
        <f>H24+E25</f>
        <v>570.59999999999991</v>
      </c>
      <c r="I25" s="28">
        <f>I24+(G25*E25*$T$2)</f>
        <v>753.91020571999991</v>
      </c>
      <c r="J25" s="26"/>
      <c r="K25" s="31"/>
      <c r="L25" s="31">
        <f>(D24-D25)*Unmeasured_Gains_Losses!$B$8</f>
        <v>22.382352941176883</v>
      </c>
      <c r="M25" s="31">
        <f>M24+E25+L25</f>
        <v>593.74313725490197</v>
      </c>
      <c r="N25" s="414">
        <v>6.9521800281293941E-2</v>
      </c>
      <c r="O25" s="31">
        <f t="shared" si="2"/>
        <v>6.9521800281293941E-2</v>
      </c>
      <c r="P25" s="2"/>
      <c r="Q25" s="81">
        <f>((Q24*M24)+(E25*Q24)+(L25*N25))/M25</f>
        <v>0.23288749866087918</v>
      </c>
      <c r="R25" s="131">
        <f t="shared" si="0"/>
        <v>745.82683934233648</v>
      </c>
      <c r="S25" s="79">
        <f>(G25*E25*$T$2)</f>
        <v>-0.14563206000000001</v>
      </c>
      <c r="T25" s="25"/>
      <c r="U25" s="27">
        <f>(D24-D25)*Unmeasured_Gains_Losses!$C$8</f>
        <v>-25.530029864706169</v>
      </c>
      <c r="V25" s="31"/>
      <c r="W25" s="89">
        <f>((W24*M24)+(E25*G25)+(U25*$T$3))/M25</f>
        <v>0.24717575035857353</v>
      </c>
      <c r="X25" s="125">
        <f t="shared" si="1"/>
        <v>791.58524915263195</v>
      </c>
      <c r="Y25" s="249"/>
    </row>
    <row r="26" spans="1:25" s="30" customFormat="1">
      <c r="A26" s="357" t="s">
        <v>21</v>
      </c>
      <c r="B26" s="3" t="s">
        <v>169</v>
      </c>
      <c r="C26" s="70"/>
      <c r="D26" s="254">
        <v>42.019999999999996</v>
      </c>
      <c r="E26" s="106">
        <v>0</v>
      </c>
      <c r="F26" s="23"/>
      <c r="G26" s="87">
        <v>0.27</v>
      </c>
      <c r="H26" s="1">
        <f>H25+E26</f>
        <v>570.59999999999991</v>
      </c>
      <c r="I26" s="28">
        <f>I25+(G26*E26*$T$2)</f>
        <v>753.91020571999991</v>
      </c>
      <c r="J26" s="26"/>
      <c r="K26" s="31"/>
      <c r="L26" s="31">
        <f>(D25-D26)*Unmeasured_Gains_Losses!$B$8</f>
        <v>28.350980392157172</v>
      </c>
      <c r="M26" s="31">
        <f>M25+E26+L26</f>
        <v>622.09411764705919</v>
      </c>
      <c r="N26" s="414">
        <v>7.3797468354430393E-2</v>
      </c>
      <c r="O26" s="31">
        <f t="shared" si="2"/>
        <v>7.3797468354430393E-2</v>
      </c>
      <c r="P26" s="2"/>
      <c r="Q26" s="81">
        <f>((Q25*M25)+(E26*Q25)+(L26*N26))/M26</f>
        <v>0.22563721578267851</v>
      </c>
      <c r="R26" s="131">
        <f t="shared" si="0"/>
        <v>757.11187079099875</v>
      </c>
      <c r="S26" s="79">
        <f>(G26*E26*$T$2)</f>
        <v>0</v>
      </c>
      <c r="T26" s="25"/>
      <c r="U26" s="27">
        <f>(D25-D26)*Unmeasured_Gains_Losses!$C$8</f>
        <v>-32.33803782862757</v>
      </c>
      <c r="V26" s="31"/>
      <c r="W26" s="89">
        <f>((W25*M25)+(E26*G26)+(U26*$T$3))/M26</f>
        <v>0.22627359768501468</v>
      </c>
      <c r="X26" s="125">
        <f t="shared" si="1"/>
        <v>759.24721132400441</v>
      </c>
      <c r="Y26" s="249"/>
    </row>
    <row r="27" spans="1:25" s="49" customFormat="1">
      <c r="A27" s="356" t="s">
        <v>22</v>
      </c>
      <c r="B27" s="43" t="s">
        <v>170</v>
      </c>
      <c r="C27" s="69">
        <v>13208750</v>
      </c>
      <c r="D27" s="253">
        <v>41.89</v>
      </c>
      <c r="E27" s="107">
        <v>11</v>
      </c>
      <c r="F27" s="110">
        <v>0.05</v>
      </c>
      <c r="G27" s="94"/>
      <c r="H27" s="44">
        <f>H26+E27</f>
        <v>581.59999999999991</v>
      </c>
      <c r="I27" s="45">
        <f>I26+(F27*E27*$T$2)</f>
        <v>756.87678471999993</v>
      </c>
      <c r="J27" s="46"/>
      <c r="K27" s="47"/>
      <c r="L27" s="47">
        <f>(D26-D27)*Unmeasured_Gains_Losses!$B$8</f>
        <v>9.699019607842839</v>
      </c>
      <c r="M27" s="47">
        <f>M26+E27+L27</f>
        <v>642.79313725490204</v>
      </c>
      <c r="N27" s="413">
        <v>7.5260196905766491E-2</v>
      </c>
      <c r="O27" s="47">
        <f t="shared" si="2"/>
        <v>7.5260196905766491E-2</v>
      </c>
      <c r="P27" s="410">
        <f>F27</f>
        <v>0.05</v>
      </c>
      <c r="Q27" s="83">
        <f>((P27*E27)+(Q26*M26)+(L27*N27))/(M27)</f>
        <v>0.22036254990378465</v>
      </c>
      <c r="R27" s="132">
        <f t="shared" si="0"/>
        <v>764.01564017880582</v>
      </c>
      <c r="S27" s="319">
        <f>(F27*E27*$T$2)</f>
        <v>2.9665789999999999</v>
      </c>
      <c r="T27" s="62"/>
      <c r="U27" s="46">
        <f>(D26-D27)*Unmeasured_Gains_Losses!$C$8</f>
        <v>-11.063012941372127</v>
      </c>
      <c r="V27" s="47"/>
      <c r="W27" s="90">
        <f>((W26*M26)+(F27*E27)+(U27*$T$3))/M27</f>
        <v>0.21665197930700519</v>
      </c>
      <c r="X27" s="86">
        <f t="shared" si="1"/>
        <v>751.15077738263244</v>
      </c>
      <c r="Y27" s="249"/>
    </row>
    <row r="28" spans="1:25" s="38" customFormat="1">
      <c r="A28" s="355" t="s">
        <v>47</v>
      </c>
      <c r="B28" s="32" t="s">
        <v>171</v>
      </c>
      <c r="C28" s="68">
        <v>13208800</v>
      </c>
      <c r="D28" s="252">
        <v>41.779999999999994</v>
      </c>
      <c r="E28" s="98">
        <v>651</v>
      </c>
      <c r="F28" s="109">
        <v>0.21</v>
      </c>
      <c r="G28" s="93"/>
      <c r="H28" s="58">
        <f>H27</f>
        <v>581.59999999999991</v>
      </c>
      <c r="I28" s="34">
        <f>I27</f>
        <v>756.87678471999993</v>
      </c>
      <c r="J28" s="55">
        <v>37.520000000000003</v>
      </c>
      <c r="K28" s="37">
        <f>E28-(E23+SUM(E24:E27))</f>
        <v>76.100000000000023</v>
      </c>
      <c r="L28" s="37">
        <f>(D27-D28)*Unmeasured_Gains_Losses!$B$8</f>
        <v>8.2068627450985616</v>
      </c>
      <c r="M28" s="36">
        <f>M27+L28</f>
        <v>651.00000000000057</v>
      </c>
      <c r="N28" s="412">
        <v>7.6497890295358695E-2</v>
      </c>
      <c r="O28" s="36">
        <f t="shared" si="2"/>
        <v>7.6497890295358695E-2</v>
      </c>
      <c r="P28" s="93"/>
      <c r="Q28" s="80">
        <f>((Q27*M27)+(L28*N28))/M28</f>
        <v>0.21854891316756855</v>
      </c>
      <c r="R28" s="130">
        <f t="shared" si="0"/>
        <v>767.40189671909479</v>
      </c>
      <c r="S28" s="318">
        <f>F28*M28*$T$2</f>
        <v>737.38366380000059</v>
      </c>
      <c r="T28" s="55">
        <f>S28-(S23+(SUM(S24:S27)))</f>
        <v>-86.802101539999398</v>
      </c>
      <c r="U28" s="55">
        <f>(D27-D28)*Unmeasured_Gains_Losses!$C$8</f>
        <v>-9.3610109503926839</v>
      </c>
      <c r="V28" s="37">
        <f>(T28/K28)*$T$3</f>
        <v>-0.2114717477003927</v>
      </c>
      <c r="W28" s="88">
        <f>((W27*M27)+(U28*$T$3))/M28</f>
        <v>0.21125481699445567</v>
      </c>
      <c r="X28" s="85">
        <f t="shared" si="1"/>
        <v>741.78976643223973</v>
      </c>
      <c r="Y28" s="249" t="s">
        <v>119</v>
      </c>
    </row>
    <row r="29" spans="1:25" s="30" customFormat="1">
      <c r="A29" s="357" t="s">
        <v>21</v>
      </c>
      <c r="B29" s="3" t="s">
        <v>3</v>
      </c>
      <c r="C29" s="70"/>
      <c r="D29" s="254">
        <v>41.41</v>
      </c>
      <c r="E29" s="99">
        <v>-328</v>
      </c>
      <c r="F29" s="23"/>
      <c r="G29" s="87">
        <v>0.21</v>
      </c>
      <c r="H29" s="1">
        <f>H28+E29</f>
        <v>253.59999999999991</v>
      </c>
      <c r="I29" s="28">
        <f>I28+(G29*E29*$T$2)</f>
        <v>385.35321832</v>
      </c>
      <c r="J29" s="26"/>
      <c r="K29" s="31"/>
      <c r="L29" s="31">
        <f>(D28-D29)*Unmeasured_Gains_Losses!$B$9</f>
        <v>-9.0328638497651852</v>
      </c>
      <c r="M29" s="31">
        <f>M28+E29+L29</f>
        <v>313.96713615023538</v>
      </c>
      <c r="N29" s="414">
        <v>8.0661040787623081E-2</v>
      </c>
      <c r="O29" s="31">
        <f t="shared" si="2"/>
        <v>8.0661040787623081E-2</v>
      </c>
      <c r="P29" s="2"/>
      <c r="Q29" s="81">
        <f>((Q28*M28)+(E29*Q28)+(L29*Q28))/M29</f>
        <v>0.21854891316756858</v>
      </c>
      <c r="R29" s="131">
        <f t="shared" si="0"/>
        <v>370.10595359316852</v>
      </c>
      <c r="S29" s="79">
        <f>(G29*E29*$T$2)</f>
        <v>-371.52356639999994</v>
      </c>
      <c r="T29" s="25"/>
      <c r="U29" s="27">
        <f>(D28-D29)*Unmeasured_Gains_Losses!$C$9</f>
        <v>-9.2289348403755245</v>
      </c>
      <c r="V29" s="31"/>
      <c r="W29" s="89">
        <f>((W28*M28)+(E29*G29)+(U29*$T$3))/M29</f>
        <v>0.2131938196471358</v>
      </c>
      <c r="X29" s="125">
        <f t="shared" si="1"/>
        <v>361.03726519186426</v>
      </c>
      <c r="Y29" s="249"/>
    </row>
    <row r="30" spans="1:25" s="49" customFormat="1">
      <c r="A30" s="356" t="s">
        <v>47</v>
      </c>
      <c r="B30" s="43" t="s">
        <v>4</v>
      </c>
      <c r="C30" s="69" t="s">
        <v>82</v>
      </c>
      <c r="D30" s="253">
        <v>40.199999999999996</v>
      </c>
      <c r="E30" s="104">
        <f>North_Channel!L16</f>
        <v>92</v>
      </c>
      <c r="F30" s="110">
        <v>0.08</v>
      </c>
      <c r="G30" s="94"/>
      <c r="H30" s="44">
        <f>H29+E30</f>
        <v>345.59999999999991</v>
      </c>
      <c r="I30" s="45">
        <f>I29+(F30*E30*$T$2)</f>
        <v>425.05143912</v>
      </c>
      <c r="J30" s="46"/>
      <c r="K30" s="47"/>
      <c r="L30" s="47">
        <f>(D29-D30)*Unmeasured_Gains_Losses!$B$9</f>
        <v>-29.539906103286373</v>
      </c>
      <c r="M30" s="47">
        <f>M29+E30+L30</f>
        <v>376.42723004694898</v>
      </c>
      <c r="N30" s="413">
        <v>9.4275668073136448E-2</v>
      </c>
      <c r="O30" s="47">
        <f t="shared" si="2"/>
        <v>9.4275668073136448E-2</v>
      </c>
      <c r="P30" s="50">
        <f>North_Channel!P16</f>
        <v>7.7191501734651974E-2</v>
      </c>
      <c r="Q30" s="83">
        <f>((P30*E30)+(Q29*M29)+(L30*Q29))/(M30)</f>
        <v>0.18400071682638913</v>
      </c>
      <c r="R30" s="132">
        <f t="shared" si="0"/>
        <v>373.58873775809252</v>
      </c>
      <c r="S30" s="319">
        <f>(F30*E30*$T$2)</f>
        <v>39.698220800000001</v>
      </c>
      <c r="T30" s="62"/>
      <c r="U30" s="46">
        <f>(D29-D30)*Unmeasured_Gains_Losses!$C$9</f>
        <v>-30.18111123474181</v>
      </c>
      <c r="V30" s="47"/>
      <c r="W30" s="90">
        <f>((W29*M29)+(F30*E30)+(U30*$T$3))/M30</f>
        <v>0.18250622593075755</v>
      </c>
      <c r="X30" s="86">
        <f t="shared" si="1"/>
        <v>370.55437475712245</v>
      </c>
      <c r="Y30" s="249" t="s">
        <v>147</v>
      </c>
    </row>
    <row r="31" spans="1:25" s="42" customFormat="1">
      <c r="A31" s="358" t="s">
        <v>47</v>
      </c>
      <c r="B31" s="40" t="s">
        <v>172</v>
      </c>
      <c r="C31" s="164">
        <v>434050116260100</v>
      </c>
      <c r="D31" s="255">
        <v>39.65</v>
      </c>
      <c r="E31" s="100">
        <v>363</v>
      </c>
      <c r="F31" s="109">
        <v>0.18</v>
      </c>
      <c r="G31" s="93"/>
      <c r="H31" s="41">
        <f>H30</f>
        <v>345.59999999999991</v>
      </c>
      <c r="I31" s="34">
        <f>I30</f>
        <v>425.05143912</v>
      </c>
      <c r="J31" s="55">
        <v>43.48</v>
      </c>
      <c r="K31" s="37">
        <f>E31-(E28+SUM(E29:E30))</f>
        <v>-52</v>
      </c>
      <c r="L31" s="36">
        <f>(D30-D31)*Unmeasured_Gains_Losses!$B$9</f>
        <v>-13.427230046948273</v>
      </c>
      <c r="M31" s="36">
        <f>M30+L31</f>
        <v>363.00000000000068</v>
      </c>
      <c r="N31" s="412">
        <v>0.10046413502109704</v>
      </c>
      <c r="O31" s="36">
        <f t="shared" si="2"/>
        <v>0.10046413502109704</v>
      </c>
      <c r="P31" s="93"/>
      <c r="Q31" s="80">
        <f>((Q30*M30)+(L31*Q30))/M31</f>
        <v>0.18400071682638913</v>
      </c>
      <c r="R31" s="130">
        <f t="shared" si="0"/>
        <v>360.262757264595</v>
      </c>
      <c r="S31" s="318">
        <f>F31*M31*$T$2</f>
        <v>352.42958520000059</v>
      </c>
      <c r="T31" s="35">
        <f>S31-(S28+(SUM(S29:S30)))</f>
        <v>-53.128733000000068</v>
      </c>
      <c r="U31" s="55">
        <f>(D30-D31)*Unmeasured_Gains_Losses!$C$9</f>
        <v>-13.71868692488256</v>
      </c>
      <c r="V31" s="36">
        <f>(T31/K31)*$T$3</f>
        <v>0.18942307692307719</v>
      </c>
      <c r="W31" s="88">
        <f>((W30*M30)+(U31*$T$3))/M31</f>
        <v>0.18225037427931312</v>
      </c>
      <c r="X31" s="85">
        <f t="shared" si="1"/>
        <v>356.8356878322399</v>
      </c>
      <c r="Y31" s="250"/>
    </row>
    <row r="32" spans="1:25" s="53" customFormat="1">
      <c r="A32" s="359" t="s">
        <v>22</v>
      </c>
      <c r="B32" s="51" t="s">
        <v>173</v>
      </c>
      <c r="C32" s="69">
        <v>13209490</v>
      </c>
      <c r="D32" s="256">
        <v>36.629999999999995</v>
      </c>
      <c r="E32" s="108">
        <v>2.59</v>
      </c>
      <c r="F32" s="110">
        <v>0.16</v>
      </c>
      <c r="G32" s="94"/>
      <c r="H32" s="52">
        <f>H31+E32</f>
        <v>348.18999999999988</v>
      </c>
      <c r="I32" s="45">
        <f>I31+(F32*E32*$T$2)</f>
        <v>427.28662155199999</v>
      </c>
      <c r="J32" s="46"/>
      <c r="K32" s="47"/>
      <c r="L32" s="47">
        <f>(D31-D32)*Unmeasured_Gains_Losses!$B$10</f>
        <v>0.38098461538463907</v>
      </c>
      <c r="M32" s="47">
        <f>M31+E32+L32</f>
        <v>365.97098461538531</v>
      </c>
      <c r="N32" s="413">
        <v>0.13444444444444448</v>
      </c>
      <c r="O32" s="47">
        <f t="shared" si="2"/>
        <v>0.13444444444444448</v>
      </c>
      <c r="P32" s="410">
        <f>F32</f>
        <v>0.16</v>
      </c>
      <c r="Q32" s="83">
        <f>((P32*E32)+(Q31*M31)+(L32*N32))/M32</f>
        <v>0.18377927294870344</v>
      </c>
      <c r="R32" s="132">
        <f t="shared" si="0"/>
        <v>362.77421593109619</v>
      </c>
      <c r="S32" s="319">
        <f>(F32*E32*$T$2)</f>
        <v>2.2351824319999998</v>
      </c>
      <c r="T32" s="62"/>
      <c r="U32" s="46">
        <f>(D31-D32)*Unmeasured_Gains_Losses!$C$10</f>
        <v>-54.402972864197054</v>
      </c>
      <c r="V32" s="47"/>
      <c r="W32" s="90">
        <f>((W31*M31)+(F32*E32)+(U32*$T$3))/M32</f>
        <v>0.15434295552477983</v>
      </c>
      <c r="X32" s="86">
        <f t="shared" si="1"/>
        <v>304.66789740004288</v>
      </c>
      <c r="Y32" s="250"/>
    </row>
    <row r="33" spans="1:25" s="42" customFormat="1">
      <c r="A33" s="358" t="s">
        <v>47</v>
      </c>
      <c r="B33" s="40" t="s">
        <v>174</v>
      </c>
      <c r="C33" s="164">
        <v>13210000</v>
      </c>
      <c r="D33" s="255">
        <v>36.4</v>
      </c>
      <c r="E33" s="100">
        <v>366</v>
      </c>
      <c r="F33" s="109">
        <v>0.15</v>
      </c>
      <c r="G33" s="93"/>
      <c r="H33" s="41">
        <f>H32</f>
        <v>348.18999999999988</v>
      </c>
      <c r="I33" s="34">
        <f>I32</f>
        <v>427.28662155199999</v>
      </c>
      <c r="J33" s="56">
        <v>19.59</v>
      </c>
      <c r="K33" s="57">
        <f>E33-(E31+SUM(E32))</f>
        <v>0.41000000000002501</v>
      </c>
      <c r="L33" s="36">
        <f>(D32-D33)*Unmeasured_Gains_Losses!$B$10</f>
        <v>2.9015384615385994E-2</v>
      </c>
      <c r="M33" s="36">
        <f>M32+L33</f>
        <v>366.00000000000068</v>
      </c>
      <c r="N33" s="412">
        <v>0.13703234880450071</v>
      </c>
      <c r="O33" s="36">
        <f t="shared" si="2"/>
        <v>0.13703234880450071</v>
      </c>
      <c r="P33" s="93"/>
      <c r="Q33" s="80">
        <f>((Q32*M32)+(L33*N33))/M33</f>
        <v>0.18377556699246403</v>
      </c>
      <c r="R33" s="130">
        <f t="shared" si="0"/>
        <v>362.79566185013687</v>
      </c>
      <c r="S33" s="318">
        <f>F33*M33*$T$2</f>
        <v>296.1185220000005</v>
      </c>
      <c r="T33" s="56">
        <f>S33-(S31+S32)</f>
        <v>-58.54624563200008</v>
      </c>
      <c r="U33" s="55">
        <f>(D32-D33)*Unmeasured_Gains_Losses!$C$10</f>
        <v>-4.1432727678030261</v>
      </c>
      <c r="V33" s="57">
        <f>(T33/K33)*$T$3</f>
        <v>-26.474146341461839</v>
      </c>
      <c r="W33" s="88">
        <f>((W32*M32)+(U33*$T$3))/M33</f>
        <v>0.1522319285884991</v>
      </c>
      <c r="X33" s="85">
        <f t="shared" si="1"/>
        <v>300.52462463223986</v>
      </c>
      <c r="Y33" s="250"/>
    </row>
    <row r="34" spans="1:25">
      <c r="A34" s="360" t="s">
        <v>21</v>
      </c>
      <c r="B34" s="5" t="s">
        <v>175</v>
      </c>
      <c r="C34" s="70"/>
      <c r="D34" s="257">
        <v>36.32</v>
      </c>
      <c r="E34" s="105">
        <v>-68</v>
      </c>
      <c r="F34" s="23"/>
      <c r="G34" s="87">
        <v>0.15</v>
      </c>
      <c r="H34" s="19">
        <f>H33+E34</f>
        <v>280.18999999999988</v>
      </c>
      <c r="I34" s="28">
        <f>I33+(G34*E34*$T$2)</f>
        <v>372.27006555200001</v>
      </c>
      <c r="K34" s="31"/>
      <c r="L34" s="31">
        <f>(D33-D34)*Unmeasured_Gains_Losses!$B$11</f>
        <v>-0.16096579476860826</v>
      </c>
      <c r="M34" s="31">
        <f>M33+E34+L34</f>
        <v>297.83903420523205</v>
      </c>
      <c r="N34" s="414">
        <v>0.13793248945147679</v>
      </c>
      <c r="O34" s="31">
        <f t="shared" si="2"/>
        <v>0.13793248945147679</v>
      </c>
      <c r="P34" s="2"/>
      <c r="Q34" s="81">
        <f>((Q33*M33)+(E34*Q33)+(L34*Q33))/M34</f>
        <v>0.18377556699246403</v>
      </c>
      <c r="R34" s="131">
        <f t="shared" si="0"/>
        <v>295.23144682866808</v>
      </c>
      <c r="S34" s="79">
        <f>(G34*E34*$T$2)</f>
        <v>-55.016555999999994</v>
      </c>
      <c r="U34" s="27">
        <f>(D33-D34)*Unmeasured_Gains_Losses!$C$11</f>
        <v>0.52874237746477959</v>
      </c>
      <c r="V34" s="31"/>
      <c r="W34" s="89">
        <f>((W33*M33)+(E34*G34)+(U34*$T$3))/M34</f>
        <v>0.15315290742237961</v>
      </c>
      <c r="X34" s="125">
        <f t="shared" si="1"/>
        <v>246.03681100970468</v>
      </c>
      <c r="Y34" s="250"/>
    </row>
    <row r="35" spans="1:25">
      <c r="A35" s="360" t="s">
        <v>21</v>
      </c>
      <c r="B35" s="5" t="s">
        <v>176</v>
      </c>
      <c r="C35" s="70"/>
      <c r="D35" s="257">
        <v>36.269999999999996</v>
      </c>
      <c r="E35" s="105">
        <v>-35</v>
      </c>
      <c r="F35" s="23"/>
      <c r="G35" s="87">
        <v>0.15</v>
      </c>
      <c r="H35" s="19">
        <f>H34+E35</f>
        <v>245.18999999999988</v>
      </c>
      <c r="I35" s="28">
        <f>I34+(G35*E35*$T$2)</f>
        <v>343.95272055200002</v>
      </c>
      <c r="K35" s="31"/>
      <c r="L35" s="31">
        <f>(D34-D35)*Unmeasured_Gains_Losses!$B$11</f>
        <v>-0.10060362173039089</v>
      </c>
      <c r="M35" s="31">
        <f>M34+E35+L35</f>
        <v>262.73843058350167</v>
      </c>
      <c r="N35" s="414">
        <v>0.13849507735583691</v>
      </c>
      <c r="O35" s="31">
        <f t="shared" si="2"/>
        <v>0.13849507735583691</v>
      </c>
      <c r="P35" s="2"/>
      <c r="Q35" s="81">
        <f>((Q34*M34)+(E35*Q34)+(L35*Q34))/M35</f>
        <v>0.183775566992464</v>
      </c>
      <c r="R35" s="131">
        <f t="shared" si="0"/>
        <v>260.43814977324467</v>
      </c>
      <c r="S35" s="79">
        <f>(G35*E35*$T$2)</f>
        <v>-28.317344999999996</v>
      </c>
      <c r="U35" s="27">
        <f>(D34-D35)*Unmeasured_Gains_Losses!$C$11</f>
        <v>0.33046398591552251</v>
      </c>
      <c r="V35" s="31"/>
      <c r="W35" s="89">
        <f>((W34*M34)+(E35*G35)+(U35*$T$3))/M35</f>
        <v>0.15386474505559897</v>
      </c>
      <c r="X35" s="125">
        <f t="shared" si="1"/>
        <v>218.0499299956202</v>
      </c>
      <c r="Y35" s="250"/>
    </row>
    <row r="36" spans="1:25">
      <c r="A36" s="360" t="s">
        <v>21</v>
      </c>
      <c r="B36" s="335" t="s">
        <v>5</v>
      </c>
      <c r="C36" s="70"/>
      <c r="D36" s="257">
        <v>35.739999999999995</v>
      </c>
      <c r="E36" s="105">
        <v>0</v>
      </c>
      <c r="F36" s="23"/>
      <c r="G36" s="87">
        <v>0.15</v>
      </c>
      <c r="H36" s="19">
        <f>H35+E36</f>
        <v>245.18999999999988</v>
      </c>
      <c r="I36" s="28">
        <f>I35+(G36*E36*$T$2)</f>
        <v>343.95272055200002</v>
      </c>
      <c r="K36" s="31"/>
      <c r="L36" s="31">
        <f>(D35-D36)*Unmeasured_Gains_Losses!$B$11</f>
        <v>-1.0663983903420549</v>
      </c>
      <c r="M36" s="31">
        <f>M35+E36+L36</f>
        <v>261.67203219315962</v>
      </c>
      <c r="N36" s="414">
        <v>0.14445850914205352</v>
      </c>
      <c r="O36" s="31">
        <f t="shared" si="2"/>
        <v>0.14445850914205352</v>
      </c>
      <c r="P36" s="2"/>
      <c r="Q36" s="81">
        <f>((Q35*M35)+(E36*Q35)+(L36*Q35))/M36</f>
        <v>0.183775566992464</v>
      </c>
      <c r="R36" s="131">
        <f t="shared" si="0"/>
        <v>259.38108772455593</v>
      </c>
      <c r="S36" s="79">
        <f>(G36*E36*$T$2)</f>
        <v>0</v>
      </c>
      <c r="U36" s="27">
        <f>(D35-D36)*Unmeasured_Gains_Losses!$C$11</f>
        <v>3.5029182507042473</v>
      </c>
      <c r="V36" s="31"/>
      <c r="W36" s="89">
        <f>((W35*M35)+(E36*G36)+(U36*$T$3))/M36</f>
        <v>0.15697366628557388</v>
      </c>
      <c r="X36" s="125">
        <f t="shared" si="1"/>
        <v>221.55284824632446</v>
      </c>
      <c r="Y36" s="250"/>
    </row>
    <row r="37" spans="1:25" s="42" customFormat="1">
      <c r="A37" s="358" t="s">
        <v>47</v>
      </c>
      <c r="B37" s="40" t="s">
        <v>177</v>
      </c>
      <c r="C37" s="68">
        <v>13210050</v>
      </c>
      <c r="D37" s="255">
        <v>31.43</v>
      </c>
      <c r="E37" s="100">
        <v>253</v>
      </c>
      <c r="F37" s="109">
        <v>0.18</v>
      </c>
      <c r="G37" s="93"/>
      <c r="H37" s="41">
        <f>H36</f>
        <v>245.18999999999988</v>
      </c>
      <c r="I37" s="34">
        <f>I36</f>
        <v>343.95272055200002</v>
      </c>
      <c r="J37" s="56">
        <v>29.87</v>
      </c>
      <c r="K37" s="57">
        <f>E37-(E33+SUM(E34:E36))</f>
        <v>-10</v>
      </c>
      <c r="L37" s="36">
        <f>(D36-D37)*Unmeasured_Gains_Losses!$B$11</f>
        <v>-8.6720321931589446</v>
      </c>
      <c r="M37" s="36">
        <f>M36+L37</f>
        <v>253.00000000000068</v>
      </c>
      <c r="N37" s="412">
        <v>0.19295358649789029</v>
      </c>
      <c r="O37" s="36">
        <f t="shared" si="2"/>
        <v>0.19295358649789029</v>
      </c>
      <c r="P37" s="93"/>
      <c r="Q37" s="80">
        <f>((Q36*M36)+(L37*Q36))/M37</f>
        <v>0.18377556699246397</v>
      </c>
      <c r="R37" s="130">
        <f t="shared" si="0"/>
        <v>250.78497936635159</v>
      </c>
      <c r="S37" s="318">
        <f>F37*M37*$T$2</f>
        <v>245.63274120000062</v>
      </c>
      <c r="T37" s="56">
        <f>S37-(S33+(SUM(S34:S36)))</f>
        <v>32.848120200000125</v>
      </c>
      <c r="U37" s="55">
        <f>(D36-D37)*Unmeasured_Gains_Losses!$C$11</f>
        <v>28.485995585915578</v>
      </c>
      <c r="V37" s="57">
        <f>(T37/K37)*$T$3</f>
        <v>-0.60900000000000232</v>
      </c>
      <c r="W37" s="88">
        <f>((W36*M36)+(U37*$T$3))/M37</f>
        <v>0.18322879787901455</v>
      </c>
      <c r="X37" s="85">
        <f t="shared" si="1"/>
        <v>250.03884383224005</v>
      </c>
      <c r="Y37" s="250" t="s">
        <v>222</v>
      </c>
    </row>
    <row r="38" spans="1:25" s="49" customFormat="1">
      <c r="A38" s="356" t="s">
        <v>22</v>
      </c>
      <c r="B38" s="43" t="s">
        <v>178</v>
      </c>
      <c r="C38" s="69">
        <v>13210815</v>
      </c>
      <c r="D38" s="253">
        <v>30.310000000000002</v>
      </c>
      <c r="E38" s="104">
        <v>92.8</v>
      </c>
      <c r="F38" s="110">
        <v>0.3</v>
      </c>
      <c r="G38" s="94"/>
      <c r="H38" s="44">
        <f>H37+E38</f>
        <v>337.9899999999999</v>
      </c>
      <c r="I38" s="45">
        <f>I37+(F38*E38*$T$2)</f>
        <v>494.11555575199998</v>
      </c>
      <c r="J38" s="46"/>
      <c r="K38" s="47"/>
      <c r="L38" s="47">
        <f>(D37-D38)*Unmeasured_Gains_Losses!$B$12</f>
        <v>45.924324324324218</v>
      </c>
      <c r="M38" s="47">
        <f>M37+E38+L38</f>
        <v>391.72432432432493</v>
      </c>
      <c r="N38" s="413">
        <v>0.20555555555555552</v>
      </c>
      <c r="O38" s="47">
        <f t="shared" si="2"/>
        <v>0.20555555555555552</v>
      </c>
      <c r="P38" s="410">
        <f>F38</f>
        <v>0.3</v>
      </c>
      <c r="Q38" s="83">
        <f>((P38*E38)+(Q37*M37)+(L38*N38))/M38</f>
        <v>0.21386269181418641</v>
      </c>
      <c r="R38" s="132">
        <f t="shared" si="0"/>
        <v>451.86509776635148</v>
      </c>
      <c r="S38" s="319">
        <f>(F38*E38*$T$2)</f>
        <v>150.16283519999999</v>
      </c>
      <c r="T38" s="62"/>
      <c r="U38" s="46">
        <f>(D37-D38)*Unmeasured_Gains_Losses!$C$12</f>
        <v>60.783527264864823</v>
      </c>
      <c r="V38" s="47"/>
      <c r="W38" s="90">
        <f>((W37*M37)+(F38*E38)+(U38*$T$3))/M38</f>
        <v>0.21817913707553951</v>
      </c>
      <c r="X38" s="86">
        <f t="shared" si="1"/>
        <v>460.98520629710481</v>
      </c>
      <c r="Y38" s="249" t="s">
        <v>120</v>
      </c>
    </row>
    <row r="39" spans="1:25" s="38" customFormat="1">
      <c r="A39" s="355" t="s">
        <v>47</v>
      </c>
      <c r="B39" s="32" t="s">
        <v>179</v>
      </c>
      <c r="C39" s="68">
        <v>13210820</v>
      </c>
      <c r="D39" s="252">
        <v>28.84</v>
      </c>
      <c r="E39" s="98">
        <v>452</v>
      </c>
      <c r="F39" s="109">
        <v>0.22</v>
      </c>
      <c r="G39" s="93"/>
      <c r="H39" s="33">
        <f>H38</f>
        <v>337.9899999999999</v>
      </c>
      <c r="I39" s="34">
        <f>I38</f>
        <v>494.11555575199998</v>
      </c>
      <c r="J39" s="35">
        <v>30.64</v>
      </c>
      <c r="K39" s="36">
        <f>E39-(E37+E38)</f>
        <v>106.19999999999999</v>
      </c>
      <c r="L39" s="36">
        <f>(D38-D39)*Unmeasured_Gains_Losses!$B$12</f>
        <v>60.275675675675778</v>
      </c>
      <c r="M39" s="36">
        <f>M38+L39</f>
        <v>452.00000000000068</v>
      </c>
      <c r="N39" s="415">
        <v>0.25</v>
      </c>
      <c r="O39" s="59">
        <v>0.25</v>
      </c>
      <c r="P39" s="93"/>
      <c r="Q39" s="80">
        <f>((Q38*M38)+(L39*N39))/M39</f>
        <v>0.21868171984073514</v>
      </c>
      <c r="R39" s="130">
        <f t="shared" si="0"/>
        <v>533.1435312528381</v>
      </c>
      <c r="S39" s="318">
        <f>F39*M39*$T$2</f>
        <v>536.35748320000084</v>
      </c>
      <c r="T39" s="35">
        <f>S39-(S37+S38)</f>
        <v>140.5619068000002</v>
      </c>
      <c r="U39" s="55">
        <f>(D38-D39)*Unmeasured_Gains_Losses!$C$12</f>
        <v>79.778379535135386</v>
      </c>
      <c r="V39" s="36">
        <f>(T39/K39)*$T$3</f>
        <v>0.24538606403013224</v>
      </c>
      <c r="W39" s="88">
        <f>((W38*M38)+(U39*$T$3))/M39</f>
        <v>0.22180726960927141</v>
      </c>
      <c r="X39" s="85">
        <f t="shared" si="1"/>
        <v>540.76358583224021</v>
      </c>
      <c r="Y39" s="249"/>
    </row>
    <row r="40" spans="1:25" s="49" customFormat="1">
      <c r="A40" s="356" t="s">
        <v>22</v>
      </c>
      <c r="B40" s="43" t="s">
        <v>180</v>
      </c>
      <c r="C40" s="69">
        <v>132108247</v>
      </c>
      <c r="D40" s="253">
        <v>27.23</v>
      </c>
      <c r="E40" s="104">
        <v>122</v>
      </c>
      <c r="F40" s="110">
        <v>0.19</v>
      </c>
      <c r="G40" s="94"/>
      <c r="H40" s="44">
        <f t="shared" ref="H40:H48" si="5">H39+E40</f>
        <v>459.9899999999999</v>
      </c>
      <c r="I40" s="45">
        <f t="shared" ref="I40:I46" si="6">I39+(F40*E40*$T$2)</f>
        <v>619.14337615199997</v>
      </c>
      <c r="J40" s="46"/>
      <c r="K40" s="47"/>
      <c r="L40" s="47">
        <f>(D39-D40)*Unmeasured_Gains_Losses!$B$13</f>
        <v>45.149567901234555</v>
      </c>
      <c r="M40" s="47">
        <f t="shared" ref="M40:M46" si="7">M39+E40+L40</f>
        <v>619.14956790123529</v>
      </c>
      <c r="N40" s="413">
        <v>0.25</v>
      </c>
      <c r="O40" s="47">
        <f>O39</f>
        <v>0.25</v>
      </c>
      <c r="P40" s="410">
        <f>F40</f>
        <v>0.19</v>
      </c>
      <c r="Q40" s="83">
        <f>((P40*E40)+(Q39*M39)+(L40*N40))/M40</f>
        <v>0.21531393423274831</v>
      </c>
      <c r="R40" s="132">
        <f t="shared" si="0"/>
        <v>719.05306074141845</v>
      </c>
      <c r="S40" s="319">
        <f t="shared" ref="S40:S46" si="8">(F40*E40*$T$2)</f>
        <v>125.02782039999998</v>
      </c>
      <c r="T40" s="62"/>
      <c r="U40" s="46">
        <f>(D39-D40)*Unmeasured_Gains_Losses!$C$13</f>
        <v>54.361929790835454</v>
      </c>
      <c r="V40" s="47"/>
      <c r="W40" s="90">
        <f>((W39*M39)+(F40*E40)+(U40*$T$3))/M40</f>
        <v>0.21564340171236432</v>
      </c>
      <c r="X40" s="86">
        <f t="shared" si="1"/>
        <v>720.15333602307567</v>
      </c>
      <c r="Y40" s="249" t="s">
        <v>121</v>
      </c>
    </row>
    <row r="41" spans="1:25" s="49" customFormat="1">
      <c r="A41" s="356">
        <v>0.3</v>
      </c>
      <c r="B41" s="43" t="s">
        <v>181</v>
      </c>
      <c r="C41" s="165">
        <v>434149116382200</v>
      </c>
      <c r="D41" s="253">
        <v>27.1</v>
      </c>
      <c r="E41" s="104">
        <v>1.01</v>
      </c>
      <c r="F41" s="110">
        <v>3.23</v>
      </c>
      <c r="G41" s="94"/>
      <c r="H41" s="44">
        <f t="shared" si="5"/>
        <v>460.99999999999989</v>
      </c>
      <c r="I41" s="45">
        <f t="shared" si="6"/>
        <v>636.739504646</v>
      </c>
      <c r="J41" s="46"/>
      <c r="K41" s="47"/>
      <c r="L41" s="47">
        <f>(D40-D41)*Unmeasured_Gains_Losses!$B$13</f>
        <v>3.6456172839505898</v>
      </c>
      <c r="M41" s="47">
        <f t="shared" si="7"/>
        <v>623.80518518518591</v>
      </c>
      <c r="N41" s="413">
        <v>0.25</v>
      </c>
      <c r="O41" s="47">
        <f t="shared" ref="O41:O76" si="9">O40</f>
        <v>0.25</v>
      </c>
      <c r="P41" s="409">
        <f>F41</f>
        <v>3.23</v>
      </c>
      <c r="Q41" s="83">
        <f>((P41*E41)+(Q40*M40)+(L41*N41))/M41</f>
        <v>0.22039770897943758</v>
      </c>
      <c r="R41" s="132">
        <f t="shared" si="0"/>
        <v>741.56510363387531</v>
      </c>
      <c r="S41" s="319">
        <f t="shared" si="8"/>
        <v>17.596128493999998</v>
      </c>
      <c r="T41" s="62"/>
      <c r="U41" s="46">
        <f>(D40-D41)*Unmeasured_Gains_Losses!$C$13</f>
        <v>4.3894725918065571</v>
      </c>
      <c r="V41" s="47"/>
      <c r="W41" s="90">
        <f>((W40*M40)+(E41*F41)+(U41*$T$3))/M41</f>
        <v>0.22056825581694045</v>
      </c>
      <c r="X41" s="86">
        <f t="shared" ref="X41:X72" si="10">W41*M41*$T$2</f>
        <v>742.13893710888226</v>
      </c>
      <c r="Y41" s="249" t="s">
        <v>88</v>
      </c>
    </row>
    <row r="42" spans="1:25" s="49" customFormat="1">
      <c r="A42" s="356" t="s">
        <v>22</v>
      </c>
      <c r="B42" s="43" t="s">
        <v>182</v>
      </c>
      <c r="C42" s="69">
        <v>13210835</v>
      </c>
      <c r="D42" s="253">
        <v>26.95</v>
      </c>
      <c r="E42" s="104">
        <v>31.6</v>
      </c>
      <c r="F42" s="110">
        <v>0.19</v>
      </c>
      <c r="G42" s="94"/>
      <c r="H42" s="44">
        <f t="shared" si="5"/>
        <v>492.59999999999991</v>
      </c>
      <c r="I42" s="45">
        <f t="shared" si="6"/>
        <v>669.12375976600003</v>
      </c>
      <c r="J42" s="46"/>
      <c r="K42" s="47"/>
      <c r="L42" s="47">
        <f>(D41-D42)*Unmeasured_Gains_Losses!$B$13</f>
        <v>4.2064814814815419</v>
      </c>
      <c r="M42" s="47">
        <f t="shared" si="7"/>
        <v>659.61166666666747</v>
      </c>
      <c r="N42" s="413">
        <v>0.25</v>
      </c>
      <c r="O42" s="47">
        <f t="shared" si="9"/>
        <v>0.25</v>
      </c>
      <c r="P42" s="410">
        <f>F42</f>
        <v>0.19</v>
      </c>
      <c r="Q42" s="83">
        <f>((P42*E42)+(Q41*M41)+(L42*N42))/M42</f>
        <v>0.21913022667581528</v>
      </c>
      <c r="R42" s="132">
        <f t="shared" si="0"/>
        <v>779.6215676751716</v>
      </c>
      <c r="S42" s="319">
        <f t="shared" si="8"/>
        <v>32.384255119999999</v>
      </c>
      <c r="T42" s="62"/>
      <c r="U42" s="46">
        <f>(D41-D42)*Unmeasured_Gains_Losses!$C$13</f>
        <v>5.0647760674692153</v>
      </c>
      <c r="V42" s="47"/>
      <c r="W42" s="90">
        <f>((W41*M41)+(F42*E42)+(U42*$T$3))/M42</f>
        <v>0.21912078281253303</v>
      </c>
      <c r="X42" s="86">
        <f t="shared" si="10"/>
        <v>779.58796829635151</v>
      </c>
      <c r="Y42" s="249"/>
    </row>
    <row r="43" spans="1:25" s="49" customFormat="1">
      <c r="A43" s="356" t="s">
        <v>22</v>
      </c>
      <c r="B43" s="54" t="s">
        <v>183</v>
      </c>
      <c r="C43" s="69">
        <v>13210849</v>
      </c>
      <c r="D43" s="253">
        <v>25.57</v>
      </c>
      <c r="E43" s="104">
        <v>13.2</v>
      </c>
      <c r="F43" s="110">
        <v>0.22</v>
      </c>
      <c r="G43" s="94"/>
      <c r="H43" s="44">
        <f t="shared" si="5"/>
        <v>505.7999999999999</v>
      </c>
      <c r="I43" s="45">
        <f t="shared" si="6"/>
        <v>684.78729688600004</v>
      </c>
      <c r="J43" s="46"/>
      <c r="K43" s="47"/>
      <c r="L43" s="47">
        <f>(D42-D43)*Unmeasured_Gains_Losses!$B$13</f>
        <v>38.699629629629605</v>
      </c>
      <c r="M43" s="47">
        <f t="shared" si="7"/>
        <v>711.51129629629713</v>
      </c>
      <c r="N43" s="413">
        <v>0.25</v>
      </c>
      <c r="O43" s="47">
        <f t="shared" si="9"/>
        <v>0.25</v>
      </c>
      <c r="P43" s="410">
        <f>F43</f>
        <v>0.22</v>
      </c>
      <c r="Q43" s="83">
        <f>((P43*E43)+(Q42*M42)+(L43*N43))/M43</f>
        <v>0.22082539273790616</v>
      </c>
      <c r="R43" s="132">
        <f t="shared" si="0"/>
        <v>847.46942687109743</v>
      </c>
      <c r="S43" s="319">
        <f t="shared" si="8"/>
        <v>15.663537119999999</v>
      </c>
      <c r="T43" s="62"/>
      <c r="U43" s="46">
        <f>(D42-D43)*Unmeasured_Gains_Losses!$C$13</f>
        <v>46.595939820716083</v>
      </c>
      <c r="V43" s="47"/>
      <c r="W43" s="90">
        <f>((W42*M42)+(F43*E43)+(U43*$T$3))/M43</f>
        <v>0.2193604710983332</v>
      </c>
      <c r="X43" s="86">
        <f t="shared" si="10"/>
        <v>841.84744523706752</v>
      </c>
      <c r="Y43" s="249"/>
    </row>
    <row r="44" spans="1:25" s="49" customFormat="1">
      <c r="A44" s="356" t="s">
        <v>22</v>
      </c>
      <c r="B44" s="43" t="s">
        <v>184</v>
      </c>
      <c r="C44" s="69">
        <v>13210983</v>
      </c>
      <c r="D44" s="253">
        <v>24.95</v>
      </c>
      <c r="E44" s="104">
        <v>155</v>
      </c>
      <c r="F44" s="110">
        <v>0.31</v>
      </c>
      <c r="G44" s="94"/>
      <c r="H44" s="44">
        <f t="shared" si="5"/>
        <v>660.8</v>
      </c>
      <c r="I44" s="45">
        <f t="shared" si="6"/>
        <v>943.95842588599999</v>
      </c>
      <c r="J44" s="46"/>
      <c r="K44" s="47"/>
      <c r="L44" s="47">
        <f>(D43-D44)*Unmeasured_Gains_Losses!$B$13</f>
        <v>17.386790123456819</v>
      </c>
      <c r="M44" s="47">
        <f t="shared" si="7"/>
        <v>883.89808641975401</v>
      </c>
      <c r="N44" s="413">
        <v>0.25</v>
      </c>
      <c r="O44" s="47">
        <f t="shared" si="9"/>
        <v>0.25</v>
      </c>
      <c r="P44" s="410">
        <f>F44</f>
        <v>0.31</v>
      </c>
      <c r="Q44" s="83">
        <f>((P44*E44)+(Q43*M43)+(L44*N44))/M44</f>
        <v>0.23703689621232371</v>
      </c>
      <c r="R44" s="132">
        <f t="shared" si="0"/>
        <v>1130.0856860791223</v>
      </c>
      <c r="S44" s="319">
        <f t="shared" si="8"/>
        <v>259.17112899999995</v>
      </c>
      <c r="T44" s="62"/>
      <c r="U44" s="46">
        <f>(D43-D44)*Unmeasured_Gains_Losses!$C$13</f>
        <v>20.934407745539158</v>
      </c>
      <c r="V44" s="47"/>
      <c r="W44" s="90">
        <f>((W43*M43)+(F44*E44)+(U44*$T$3))/M44</f>
        <v>0.23533105128339651</v>
      </c>
      <c r="X44" s="86">
        <f t="shared" si="10"/>
        <v>1121.9529819826068</v>
      </c>
      <c r="Y44" s="249"/>
    </row>
    <row r="45" spans="1:25" s="49" customFormat="1">
      <c r="A45" s="356" t="s">
        <v>21</v>
      </c>
      <c r="B45" s="43" t="s">
        <v>185</v>
      </c>
      <c r="C45" s="69">
        <v>132109853</v>
      </c>
      <c r="D45" s="253">
        <v>24.57</v>
      </c>
      <c r="E45" s="104">
        <v>-224</v>
      </c>
      <c r="F45" s="110">
        <v>0.25</v>
      </c>
      <c r="G45" s="94"/>
      <c r="H45" s="44">
        <f t="shared" si="5"/>
        <v>436.79999999999995</v>
      </c>
      <c r="I45" s="45">
        <f t="shared" si="6"/>
        <v>641.90674588599995</v>
      </c>
      <c r="J45" s="46"/>
      <c r="K45" s="47"/>
      <c r="L45" s="47">
        <f>(D44-D45)*Unmeasured_Gains_Losses!$B$13</f>
        <v>10.656419753086393</v>
      </c>
      <c r="M45" s="47">
        <f t="shared" si="7"/>
        <v>670.55450617284043</v>
      </c>
      <c r="N45" s="413">
        <v>0.25</v>
      </c>
      <c r="O45" s="47">
        <f t="shared" si="9"/>
        <v>0.25</v>
      </c>
      <c r="P45" s="94"/>
      <c r="Q45" s="83">
        <f>((Q44*M44)+(L45*N45)+(E45*Q44))/M45</f>
        <v>0.23724290523022257</v>
      </c>
      <c r="R45" s="132">
        <f t="shared" ref="R45:R72" si="11">Q45*M45*$T$2</f>
        <v>858.06571112140091</v>
      </c>
      <c r="S45" s="319">
        <f t="shared" si="8"/>
        <v>-302.05167999999998</v>
      </c>
      <c r="T45" s="62"/>
      <c r="U45" s="46">
        <f>(D44-D45)*Unmeasured_Gains_Losses!$C$13</f>
        <v>12.830766037588463</v>
      </c>
      <c r="V45" s="47"/>
      <c r="W45" s="90">
        <f>((W44*M44)+(F45*E45)+(U45*$T$3))/M45</f>
        <v>0.23023851499355769</v>
      </c>
      <c r="X45" s="86">
        <f t="shared" si="10"/>
        <v>832.73206802019513</v>
      </c>
      <c r="Y45" s="249" t="s">
        <v>87</v>
      </c>
    </row>
    <row r="46" spans="1:25" s="49" customFormat="1">
      <c r="A46" s="356" t="s">
        <v>22</v>
      </c>
      <c r="B46" s="43" t="s">
        <v>186</v>
      </c>
      <c r="C46" s="69">
        <v>13210988</v>
      </c>
      <c r="D46" s="253">
        <v>24.43</v>
      </c>
      <c r="E46" s="104">
        <v>34.9</v>
      </c>
      <c r="F46" s="110">
        <v>0.24</v>
      </c>
      <c r="G46" s="94"/>
      <c r="H46" s="44">
        <f t="shared" si="5"/>
        <v>471.69999999999993</v>
      </c>
      <c r="I46" s="45">
        <f t="shared" si="6"/>
        <v>687.08504716599998</v>
      </c>
      <c r="J46" s="46"/>
      <c r="K46" s="47"/>
      <c r="L46" s="47">
        <f>(D45-D46)*Unmeasured_Gains_Losses!$B$13</f>
        <v>3.9260493827160658</v>
      </c>
      <c r="M46" s="47">
        <f t="shared" si="7"/>
        <v>709.3805555555565</v>
      </c>
      <c r="N46" s="413">
        <v>0.25</v>
      </c>
      <c r="O46" s="47">
        <f t="shared" si="9"/>
        <v>0.25</v>
      </c>
      <c r="P46" s="410">
        <f>F46</f>
        <v>0.24</v>
      </c>
      <c r="Q46" s="83">
        <f>((P46*E46)+(Q45*M45)+(L46*N46))/M46</f>
        <v>0.2374491522021272</v>
      </c>
      <c r="R46" s="132">
        <f t="shared" si="0"/>
        <v>908.53807406127748</v>
      </c>
      <c r="S46" s="319">
        <f t="shared" si="8"/>
        <v>45.178301279999992</v>
      </c>
      <c r="T46" s="62"/>
      <c r="U46" s="46">
        <f>(D45-D46)*Unmeasured_Gains_Losses!$C$13</f>
        <v>4.7271243296378866</v>
      </c>
      <c r="V46" s="47"/>
      <c r="W46" s="90">
        <f>((W45*M45)+(F46*E46)+(U46*$T$3))/M46</f>
        <v>0.23067995777805878</v>
      </c>
      <c r="X46" s="86">
        <f t="shared" si="10"/>
        <v>882.6374936298331</v>
      </c>
      <c r="Y46" s="249"/>
    </row>
    <row r="47" spans="1:25" s="30" customFormat="1">
      <c r="A47" s="357" t="s">
        <v>21</v>
      </c>
      <c r="B47" s="43" t="s">
        <v>187</v>
      </c>
      <c r="C47" s="70"/>
      <c r="D47" s="254">
        <v>24.03</v>
      </c>
      <c r="E47" s="99">
        <v>-321</v>
      </c>
      <c r="F47" s="23"/>
      <c r="G47" s="87">
        <v>0.24</v>
      </c>
      <c r="H47" s="1">
        <f t="shared" si="5"/>
        <v>150.69999999999993</v>
      </c>
      <c r="I47" s="28">
        <f>I46+(G47*E47*$T$2)</f>
        <v>271.54823596600005</v>
      </c>
      <c r="J47" s="26"/>
      <c r="K47" s="31"/>
      <c r="L47" s="31">
        <f>(D46-D47)*Unmeasured_Gains_Losses!$B$13</f>
        <v>11.217283950617245</v>
      </c>
      <c r="M47" s="31">
        <f>M46+E47+L47</f>
        <v>399.59783950617373</v>
      </c>
      <c r="N47" s="414">
        <v>0.25</v>
      </c>
      <c r="O47" s="31">
        <f t="shared" si="9"/>
        <v>0.25</v>
      </c>
      <c r="P47" s="2"/>
      <c r="Q47" s="81">
        <f>((Q46*M46)+(E47*Q46)+(L47*N47))/M47</f>
        <v>0.23780147248429817</v>
      </c>
      <c r="R47" s="131">
        <f t="shared" si="11"/>
        <v>512.54369981717014</v>
      </c>
      <c r="S47" s="79">
        <f>(G47*E47*$T$2)</f>
        <v>-415.53681119999993</v>
      </c>
      <c r="T47" s="25"/>
      <c r="U47" s="27">
        <f>(D46-D47)*Unmeasured_Gains_Losses!$C$13</f>
        <v>13.506069513251001</v>
      </c>
      <c r="V47" s="31"/>
      <c r="W47" s="89">
        <f>((W46*M46)+(E47*G47)+(U47*$T$3))/M47</f>
        <v>0.22298390037518628</v>
      </c>
      <c r="X47" s="125">
        <f t="shared" si="10"/>
        <v>480.60675194308419</v>
      </c>
      <c r="Y47" s="249" t="s">
        <v>86</v>
      </c>
    </row>
    <row r="48" spans="1:25" s="30" customFormat="1">
      <c r="A48" s="357" t="s">
        <v>21</v>
      </c>
      <c r="B48" s="3" t="s">
        <v>188</v>
      </c>
      <c r="C48" s="70"/>
      <c r="D48" s="254">
        <v>24.02</v>
      </c>
      <c r="E48" s="99">
        <v>-19</v>
      </c>
      <c r="F48" s="23"/>
      <c r="G48" s="87">
        <v>0.24</v>
      </c>
      <c r="H48" s="1">
        <f t="shared" si="5"/>
        <v>131.69999999999993</v>
      </c>
      <c r="I48" s="28">
        <f>I47+(G48*E48*$T$2)</f>
        <v>246.95259916600006</v>
      </c>
      <c r="J48" s="26"/>
      <c r="K48" s="31"/>
      <c r="L48" s="31">
        <f>(D47-D48)*Unmeasured_Gains_Losses!$B$13</f>
        <v>0.28043209876547598</v>
      </c>
      <c r="M48" s="31">
        <f>M47+E48+L48</f>
        <v>380.87827160493919</v>
      </c>
      <c r="N48" s="414">
        <v>0.25</v>
      </c>
      <c r="O48" s="31">
        <f t="shared" si="9"/>
        <v>0.25</v>
      </c>
      <c r="P48" s="2"/>
      <c r="Q48" s="81">
        <f>((Q47*M47)+(E48*Q47)+(L48*N48))/M48</f>
        <v>0.23781045398554965</v>
      </c>
      <c r="R48" s="131">
        <f t="shared" si="11"/>
        <v>488.55151937971914</v>
      </c>
      <c r="S48" s="79">
        <f>(G48*E48*$T$2)</f>
        <v>-24.595636799999998</v>
      </c>
      <c r="T48" s="25"/>
      <c r="U48" s="27">
        <f>(D47-D48)*Unmeasured_Gains_Losses!$C$13</f>
        <v>0.33765173783132901</v>
      </c>
      <c r="V48" s="31"/>
      <c r="W48" s="89">
        <f>((W47*M47)+(E48*G48)+(U48*$T$3))/M48</f>
        <v>0.22213523676168792</v>
      </c>
      <c r="X48" s="125">
        <f t="shared" si="10"/>
        <v>456.34876688091549</v>
      </c>
      <c r="Y48" s="249" t="s">
        <v>85</v>
      </c>
    </row>
    <row r="49" spans="1:25" s="38" customFormat="1">
      <c r="A49" s="355" t="s">
        <v>47</v>
      </c>
      <c r="B49" s="32" t="s">
        <v>189</v>
      </c>
      <c r="C49" s="68">
        <v>13211000</v>
      </c>
      <c r="D49" s="252">
        <v>23.98</v>
      </c>
      <c r="E49" s="98">
        <v>382</v>
      </c>
      <c r="F49" s="109">
        <v>0.22</v>
      </c>
      <c r="G49" s="93"/>
      <c r="H49" s="33">
        <f>H48</f>
        <v>131.69999999999993</v>
      </c>
      <c r="I49" s="34">
        <f>I48</f>
        <v>246.95259916600006</v>
      </c>
      <c r="J49" s="35">
        <v>94.93</v>
      </c>
      <c r="K49" s="36">
        <f>E49-(E39+(SUM(E40:E48)))</f>
        <v>136.29</v>
      </c>
      <c r="L49" s="36">
        <f>(D48-D49)*Unmeasured_Gains_Losses!$B$13</f>
        <v>1.1217283950617045</v>
      </c>
      <c r="M49" s="36">
        <f>M48+L49</f>
        <v>382.00000000000091</v>
      </c>
      <c r="N49" s="412">
        <v>0.25</v>
      </c>
      <c r="O49" s="36">
        <f t="shared" si="9"/>
        <v>0.25</v>
      </c>
      <c r="P49" s="93"/>
      <c r="Q49" s="80">
        <f>((Q48*M48)+(L49*N49))/M49</f>
        <v>0.23784624812138033</v>
      </c>
      <c r="R49" s="130">
        <f t="shared" si="11"/>
        <v>490.06410842539816</v>
      </c>
      <c r="S49" s="318">
        <f>F49*M49*$T$2</f>
        <v>453.29327120000107</v>
      </c>
      <c r="T49" s="35">
        <f>S49-(S39+(SUM(S40:S48)))</f>
        <v>164.09874458600024</v>
      </c>
      <c r="U49" s="55">
        <f>(D48-D49)*Unmeasured_Gains_Losses!$C$13</f>
        <v>1.350606951325076</v>
      </c>
      <c r="V49" s="36">
        <f>(T49/K49)*$T$3</f>
        <v>0.22322767627852411</v>
      </c>
      <c r="W49" s="88">
        <f>((W48*M48)+(U49*$T$3))/M49</f>
        <v>0.22213844466856209</v>
      </c>
      <c r="X49" s="85">
        <f t="shared" si="10"/>
        <v>457.69937383224061</v>
      </c>
      <c r="Y49" s="249" t="s">
        <v>84</v>
      </c>
    </row>
    <row r="50" spans="1:25" s="30" customFormat="1">
      <c r="A50" s="357" t="s">
        <v>21</v>
      </c>
      <c r="B50" s="3" t="s">
        <v>6</v>
      </c>
      <c r="C50" s="70"/>
      <c r="D50" s="254">
        <v>23.19</v>
      </c>
      <c r="E50" s="99">
        <v>0</v>
      </c>
      <c r="F50" s="23"/>
      <c r="G50" s="87">
        <v>0.22</v>
      </c>
      <c r="H50" s="1">
        <f>H49+E50</f>
        <v>131.69999999999993</v>
      </c>
      <c r="I50" s="28">
        <f>I49+(G50*E50*$T$2)</f>
        <v>246.95259916600006</v>
      </c>
      <c r="J50" s="26"/>
      <c r="K50" s="31"/>
      <c r="L50" s="31">
        <f>(D49-D50)*Unmeasured_Gains_Losses!$B$14</f>
        <v>3.3613725490196105</v>
      </c>
      <c r="M50" s="31">
        <f>M49+E50+L50</f>
        <v>385.36137254902053</v>
      </c>
      <c r="N50" s="414">
        <v>0.25</v>
      </c>
      <c r="O50" s="31">
        <f t="shared" si="9"/>
        <v>0.25</v>
      </c>
      <c r="P50" s="2"/>
      <c r="Q50" s="81">
        <f>((Q49*M49)+(E50*Q49)+(L50*N50))/M50</f>
        <v>0.23795226105065281</v>
      </c>
      <c r="R50" s="131">
        <f t="shared" si="11"/>
        <v>494.59673443226092</v>
      </c>
      <c r="S50" s="79">
        <f>(G50*E50*$T$2)</f>
        <v>0</v>
      </c>
      <c r="T50" s="25"/>
      <c r="U50" s="27">
        <f>(D49-D50)*Unmeasured_Gains_Losses!$C$14</f>
        <v>6.1284445641177561</v>
      </c>
      <c r="V50" s="31"/>
      <c r="W50" s="89">
        <f>((W49*M49)+(E50*G50)+(U50*$T$3))/M50</f>
        <v>0.22314922530229722</v>
      </c>
      <c r="X50" s="125">
        <f t="shared" si="10"/>
        <v>463.8278183963584</v>
      </c>
      <c r="Y50" s="249"/>
    </row>
    <row r="51" spans="1:25" s="30" customFormat="1">
      <c r="A51" s="357" t="s">
        <v>21</v>
      </c>
      <c r="B51" s="3" t="s">
        <v>7</v>
      </c>
      <c r="C51" s="70"/>
      <c r="D51" s="254">
        <v>23.09</v>
      </c>
      <c r="E51" s="105">
        <v>-0.4</v>
      </c>
      <c r="F51" s="23"/>
      <c r="G51" s="87">
        <v>0.22</v>
      </c>
      <c r="H51" s="1">
        <f>H50+E51</f>
        <v>131.29999999999993</v>
      </c>
      <c r="I51" s="28">
        <f>I50+(G51*E51*$T$2)</f>
        <v>246.47794652600007</v>
      </c>
      <c r="J51" s="26"/>
      <c r="K51" s="31"/>
      <c r="L51" s="31">
        <f>(D50-D51)*Unmeasured_Gains_Losses!$B$14</f>
        <v>0.42549019607843824</v>
      </c>
      <c r="M51" s="31">
        <f>M50+E51+L51</f>
        <v>385.38686274509899</v>
      </c>
      <c r="N51" s="414">
        <v>0.25</v>
      </c>
      <c r="O51" s="31">
        <f t="shared" si="9"/>
        <v>0.25</v>
      </c>
      <c r="P51" s="2"/>
      <c r="Q51" s="81">
        <f>((Q50*M50)+(E51*Q50)+(L51*N51))/M51</f>
        <v>0.23796556247657932</v>
      </c>
      <c r="R51" s="131">
        <f t="shared" si="11"/>
        <v>494.65709970106798</v>
      </c>
      <c r="S51" s="79">
        <f>(G51*E51*$T$2)</f>
        <v>-0.47465264000000001</v>
      </c>
      <c r="T51" s="25"/>
      <c r="U51" s="27">
        <f>(D50-D51)*Unmeasured_Gains_Losses!$C$14</f>
        <v>0.77575247647061385</v>
      </c>
      <c r="V51" s="31"/>
      <c r="W51" s="89">
        <f>((W50*M50)+(E51*G51)+(U51*$T$3))/M51</f>
        <v>0.22327931643085039</v>
      </c>
      <c r="X51" s="125">
        <f t="shared" si="10"/>
        <v>464.12891823282911</v>
      </c>
      <c r="Y51" s="249"/>
    </row>
    <row r="52" spans="1:25" s="49" customFormat="1">
      <c r="A52" s="356" t="s">
        <v>22</v>
      </c>
      <c r="B52" s="43" t="s">
        <v>190</v>
      </c>
      <c r="C52" s="166">
        <v>434038116420900</v>
      </c>
      <c r="D52" s="253">
        <v>22.55</v>
      </c>
      <c r="E52" s="108">
        <v>12.85</v>
      </c>
      <c r="F52" s="110">
        <v>1.83</v>
      </c>
      <c r="G52" s="94"/>
      <c r="H52" s="44">
        <f>H51+E52</f>
        <v>144.14999999999992</v>
      </c>
      <c r="I52" s="45">
        <f>I51+(F52*E52*$T$2)</f>
        <v>373.31538011600003</v>
      </c>
      <c r="J52" s="46"/>
      <c r="K52" s="47"/>
      <c r="L52" s="47">
        <f>(D51-D52)*Unmeasured_Gains_Losses!$B$14</f>
        <v>2.29764705882353</v>
      </c>
      <c r="M52" s="47">
        <f>M51+E52+L52</f>
        <v>400.53450980392256</v>
      </c>
      <c r="N52" s="413">
        <v>0.25</v>
      </c>
      <c r="O52" s="47">
        <f t="shared" si="9"/>
        <v>0.25</v>
      </c>
      <c r="P52" s="409">
        <f>F52</f>
        <v>1.83</v>
      </c>
      <c r="Q52" s="83">
        <f>((P52*E52)+(Q51*M51)+(L52*N52))/M52</f>
        <v>0.28911045239426608</v>
      </c>
      <c r="R52" s="132">
        <f t="shared" si="11"/>
        <v>624.59278397930336</v>
      </c>
      <c r="S52" s="319">
        <f>(F52*E52*$T$2)</f>
        <v>126.83743358999999</v>
      </c>
      <c r="T52" s="62"/>
      <c r="U52" s="46">
        <f>(D51-D52)*Unmeasured_Gains_Losses!$C$14</f>
        <v>4.1890633729412485</v>
      </c>
      <c r="V52" s="47"/>
      <c r="W52" s="90">
        <f>((W51*M51)+(E52*F52)+(U52*$T$3))/M52</f>
        <v>0.27548453287582014</v>
      </c>
      <c r="X52" s="86">
        <f t="shared" si="10"/>
        <v>595.15541519577039</v>
      </c>
      <c r="Y52" s="249"/>
    </row>
    <row r="53" spans="1:25" s="49" customFormat="1">
      <c r="A53" s="356" t="s">
        <v>22</v>
      </c>
      <c r="B53" s="43" t="s">
        <v>191</v>
      </c>
      <c r="C53" s="69">
        <v>13211445</v>
      </c>
      <c r="D53" s="253">
        <v>22.44</v>
      </c>
      <c r="E53" s="108">
        <v>69.7</v>
      </c>
      <c r="F53" s="110">
        <v>0.45</v>
      </c>
      <c r="G53" s="94"/>
      <c r="H53" s="44">
        <f>H52+E53</f>
        <v>213.84999999999991</v>
      </c>
      <c r="I53" s="45">
        <f>I52+(F53*E53*$T$2)</f>
        <v>542.49128981600006</v>
      </c>
      <c r="J53" s="46"/>
      <c r="K53" s="47"/>
      <c r="L53" s="47">
        <f>(D52-D53)*Unmeasured_Gains_Losses!$B$14</f>
        <v>0.46803921568627299</v>
      </c>
      <c r="M53" s="47">
        <f>M52+E53+L53</f>
        <v>470.7025490196088</v>
      </c>
      <c r="N53" s="413">
        <v>0.25</v>
      </c>
      <c r="O53" s="47">
        <f t="shared" si="9"/>
        <v>0.25</v>
      </c>
      <c r="P53" s="410">
        <f>F53</f>
        <v>0.45</v>
      </c>
      <c r="Q53" s="83">
        <f>((P53*E53)+(Q52*M52)+(L53*N53))/M53</f>
        <v>0.31289552911835566</v>
      </c>
      <c r="R53" s="132">
        <f t="shared" si="11"/>
        <v>794.3998188194995</v>
      </c>
      <c r="S53" s="319">
        <f>(F53*E53*$T$2)</f>
        <v>169.17590970000001</v>
      </c>
      <c r="T53" s="62"/>
      <c r="U53" s="46">
        <f>(D52-D53)*Unmeasured_Gains_Losses!$C$14</f>
        <v>0.85332772411765867</v>
      </c>
      <c r="V53" s="47"/>
      <c r="W53" s="90">
        <f>((W52*M52)+(F53*E53)+(U53*$T$3))/M53</f>
        <v>0.30138835770447953</v>
      </c>
      <c r="X53" s="86">
        <f t="shared" si="10"/>
        <v>765.18465261988808</v>
      </c>
      <c r="Y53" s="249"/>
    </row>
    <row r="54" spans="1:25" s="38" customFormat="1">
      <c r="A54" s="355" t="s">
        <v>47</v>
      </c>
      <c r="B54" s="32" t="s">
        <v>192</v>
      </c>
      <c r="C54" s="68">
        <v>13211600</v>
      </c>
      <c r="D54" s="252">
        <v>21.43</v>
      </c>
      <c r="E54" s="100">
        <v>475</v>
      </c>
      <c r="F54" s="109">
        <v>0.3</v>
      </c>
      <c r="G54" s="93"/>
      <c r="H54" s="33">
        <f>H53</f>
        <v>213.84999999999991</v>
      </c>
      <c r="I54" s="34">
        <f>I53</f>
        <v>542.49128981600006</v>
      </c>
      <c r="J54" s="56">
        <v>85.93</v>
      </c>
      <c r="K54" s="57">
        <f>E54-(E49+(SUM(E50:E53)))</f>
        <v>10.850000000000023</v>
      </c>
      <c r="L54" s="36">
        <f>(D53-D54)*Unmeasured_Gains_Losses!$B$14</f>
        <v>4.2974509803921714</v>
      </c>
      <c r="M54" s="36">
        <f>M53+L54</f>
        <v>475.00000000000097</v>
      </c>
      <c r="N54" s="412">
        <v>0.25</v>
      </c>
      <c r="O54" s="36">
        <f t="shared" si="9"/>
        <v>0.25</v>
      </c>
      <c r="P54" s="93"/>
      <c r="Q54" s="80">
        <f>((Q53*M53)+(L54*N54))/M54</f>
        <v>0.31232649658515155</v>
      </c>
      <c r="R54" s="130">
        <f t="shared" si="11"/>
        <v>800.19469510675447</v>
      </c>
      <c r="S54" s="318">
        <f>F54*M54*$T$2</f>
        <v>768.61365000000148</v>
      </c>
      <c r="T54" s="35">
        <f>S54-(S49+(SUM(S50:S53)))</f>
        <v>19.781688150000377</v>
      </c>
      <c r="U54" s="55">
        <f>(D53-D54)*Unmeasured_Gains_Losses!$C$14</f>
        <v>7.8351000123531005</v>
      </c>
      <c r="V54" s="36">
        <f>(T54/K54)*$T$3</f>
        <v>0.33801843317972924</v>
      </c>
      <c r="W54" s="88">
        <f>((W53*M53)+(U54*$T$3))/M54</f>
        <v>0.3017197597124015</v>
      </c>
      <c r="X54" s="85">
        <f t="shared" si="10"/>
        <v>773.01975263224108</v>
      </c>
      <c r="Y54" s="249"/>
    </row>
    <row r="55" spans="1:25" s="30" customFormat="1">
      <c r="A55" s="357" t="s">
        <v>21</v>
      </c>
      <c r="B55" s="3" t="s">
        <v>9</v>
      </c>
      <c r="C55" s="70"/>
      <c r="D55" s="207">
        <v>20.079999999999998</v>
      </c>
      <c r="E55" s="105">
        <v>-0.4</v>
      </c>
      <c r="F55" s="23"/>
      <c r="G55" s="87">
        <v>0.3</v>
      </c>
      <c r="H55" s="1">
        <f t="shared" ref="H55:H60" si="12">H54+E55</f>
        <v>213.4499999999999</v>
      </c>
      <c r="I55" s="28">
        <f t="shared" ref="I55:I60" si="13">I54+(G55*E55*$T$2)</f>
        <v>541.84403621600006</v>
      </c>
      <c r="J55" s="26"/>
      <c r="K55" s="31"/>
      <c r="L55" s="31">
        <f>(D54-D55)*Unmeasured_Gains_Losses!$B$15</f>
        <v>18.811091854419427</v>
      </c>
      <c r="M55" s="31">
        <f>M54+E55+L55</f>
        <v>493.41109185442042</v>
      </c>
      <c r="N55" s="414">
        <v>0.25</v>
      </c>
      <c r="O55" s="31">
        <f t="shared" si="9"/>
        <v>0.25</v>
      </c>
      <c r="P55" s="2"/>
      <c r="Q55" s="81">
        <f t="shared" ref="Q55:Q60" si="14">((Q54*M54)+(E55*Q54)+(L55*N55))/M55</f>
        <v>0.30995032492711072</v>
      </c>
      <c r="R55" s="131">
        <f t="shared" si="11"/>
        <v>824.88656969808665</v>
      </c>
      <c r="S55" s="79">
        <f t="shared" ref="S55:S60" si="15">(G55*E55*$T$2)</f>
        <v>-0.64725359999999987</v>
      </c>
      <c r="T55" s="25"/>
      <c r="U55" s="27">
        <f>(D54-D55)*Unmeasured_Gains_Losses!$C$15</f>
        <v>41.291863112651711</v>
      </c>
      <c r="V55" s="31"/>
      <c r="W55" s="89">
        <f t="shared" ref="W55:W60" si="16">((W54*M54)+(E55*G55)+(U55*$T$3))/M55</f>
        <v>0.3057335913721142</v>
      </c>
      <c r="X55" s="125">
        <f t="shared" si="10"/>
        <v>813.66436214489272</v>
      </c>
      <c r="Y55" s="249"/>
    </row>
    <row r="56" spans="1:25" s="30" customFormat="1">
      <c r="A56" s="357" t="s">
        <v>21</v>
      </c>
      <c r="B56" s="3" t="s">
        <v>193</v>
      </c>
      <c r="C56" s="70"/>
      <c r="D56" s="207">
        <v>20.079999999999998</v>
      </c>
      <c r="E56" s="99">
        <v>-106</v>
      </c>
      <c r="F56" s="23"/>
      <c r="G56" s="87">
        <v>0.3</v>
      </c>
      <c r="H56" s="1">
        <f t="shared" si="12"/>
        <v>107.4499999999999</v>
      </c>
      <c r="I56" s="28">
        <f t="shared" si="13"/>
        <v>370.32183221600008</v>
      </c>
      <c r="J56" s="26"/>
      <c r="K56" s="31"/>
      <c r="L56" s="31">
        <f>(D55-D56)*Unmeasured_Gains_Losses!$B$15</f>
        <v>0</v>
      </c>
      <c r="M56" s="31">
        <f t="shared" ref="M56:M64" si="17">M55+E56+L56</f>
        <v>387.41109185442042</v>
      </c>
      <c r="N56" s="414">
        <v>0.25</v>
      </c>
      <c r="O56" s="31">
        <f t="shared" si="9"/>
        <v>0.25</v>
      </c>
      <c r="P56" s="2"/>
      <c r="Q56" s="81">
        <f t="shared" si="14"/>
        <v>0.30995032492711072</v>
      </c>
      <c r="R56" s="131">
        <f t="shared" si="11"/>
        <v>647.67536015803944</v>
      </c>
      <c r="S56" s="79">
        <f t="shared" si="15"/>
        <v>-171.52220399999996</v>
      </c>
      <c r="T56" s="25"/>
      <c r="U56" s="27">
        <f>(D55-D56)*Unmeasured_Gains_Losses!$C$15</f>
        <v>0</v>
      </c>
      <c r="V56" s="31"/>
      <c r="W56" s="89">
        <f t="shared" si="16"/>
        <v>0.30730236598446442</v>
      </c>
      <c r="X56" s="125">
        <f t="shared" si="10"/>
        <v>642.14215814489273</v>
      </c>
      <c r="Y56" s="249"/>
    </row>
    <row r="57" spans="1:25" s="30" customFormat="1">
      <c r="A57" s="357" t="s">
        <v>21</v>
      </c>
      <c r="B57" s="3" t="s">
        <v>194</v>
      </c>
      <c r="C57" s="70"/>
      <c r="D57" s="207">
        <v>20.080000000000002</v>
      </c>
      <c r="E57" s="99">
        <v>-19</v>
      </c>
      <c r="F57" s="23"/>
      <c r="G57" s="87">
        <v>0.3</v>
      </c>
      <c r="H57" s="1">
        <f t="shared" si="12"/>
        <v>88.449999999999903</v>
      </c>
      <c r="I57" s="28">
        <f t="shared" si="13"/>
        <v>339.57728621600006</v>
      </c>
      <c r="J57" s="26"/>
      <c r="K57" s="31"/>
      <c r="L57" s="31">
        <f>(D56-D57)*Unmeasured_Gains_Losses!$B$15</f>
        <v>-4.9504017292124823E-14</v>
      </c>
      <c r="M57" s="31">
        <f t="shared" si="17"/>
        <v>368.41109185442036</v>
      </c>
      <c r="N57" s="414">
        <v>0.25</v>
      </c>
      <c r="O57" s="31">
        <f t="shared" si="9"/>
        <v>0.25</v>
      </c>
      <c r="P57" s="2"/>
      <c r="Q57" s="81">
        <f t="shared" si="14"/>
        <v>0.30995032492711072</v>
      </c>
      <c r="R57" s="131">
        <f t="shared" si="11"/>
        <v>615.91108674991767</v>
      </c>
      <c r="S57" s="79">
        <f t="shared" si="15"/>
        <v>-30.744546</v>
      </c>
      <c r="T57" s="25"/>
      <c r="U57" s="27">
        <f>(D56-D57)*Unmeasured_Gains_Losses!$C$15</f>
        <v>-1.086653088173892E-13</v>
      </c>
      <c r="V57" s="31"/>
      <c r="W57" s="89">
        <f t="shared" si="16"/>
        <v>0.30767896961223917</v>
      </c>
      <c r="X57" s="125">
        <f t="shared" si="10"/>
        <v>611.39761214489272</v>
      </c>
      <c r="Y57" s="249"/>
    </row>
    <row r="58" spans="1:25" s="30" customFormat="1">
      <c r="A58" s="357" t="s">
        <v>21</v>
      </c>
      <c r="B58" s="3" t="s">
        <v>195</v>
      </c>
      <c r="C58" s="70"/>
      <c r="D58" s="207">
        <v>20</v>
      </c>
      <c r="E58" s="99">
        <v>0</v>
      </c>
      <c r="F58" s="23"/>
      <c r="G58" s="87">
        <v>0.3</v>
      </c>
      <c r="H58" s="1">
        <f t="shared" si="12"/>
        <v>88.449999999999903</v>
      </c>
      <c r="I58" s="28">
        <f t="shared" si="13"/>
        <v>339.57728621600006</v>
      </c>
      <c r="J58" s="26"/>
      <c r="K58" s="31"/>
      <c r="L58" s="31">
        <f>(D57-D58)*Unmeasured_Gains_Losses!$B$15</f>
        <v>1.1147313691508054</v>
      </c>
      <c r="M58" s="31">
        <f t="shared" si="17"/>
        <v>369.52582322357119</v>
      </c>
      <c r="N58" s="414">
        <v>0.25</v>
      </c>
      <c r="O58" s="31">
        <f t="shared" si="9"/>
        <v>0.25</v>
      </c>
      <c r="P58" s="2"/>
      <c r="Q58" s="81">
        <f t="shared" si="14"/>
        <v>0.30976947556940126</v>
      </c>
      <c r="R58" s="131">
        <f t="shared" si="11"/>
        <v>617.41424069099219</v>
      </c>
      <c r="S58" s="79">
        <f t="shared" si="15"/>
        <v>0</v>
      </c>
      <c r="T58" s="25"/>
      <c r="U58" s="27">
        <f>(D57-D58)*Unmeasured_Gains_Losses!$C$15</f>
        <v>2.4469252214905257</v>
      </c>
      <c r="V58" s="31"/>
      <c r="W58" s="89">
        <f t="shared" si="16"/>
        <v>0.30797848168891528</v>
      </c>
      <c r="X58" s="125">
        <f t="shared" si="10"/>
        <v>613.84453736638318</v>
      </c>
      <c r="Y58" s="249"/>
    </row>
    <row r="59" spans="1:25" s="30" customFormat="1">
      <c r="A59" s="357" t="s">
        <v>21</v>
      </c>
      <c r="B59" s="3" t="s">
        <v>10</v>
      </c>
      <c r="C59" s="70"/>
      <c r="D59" s="207">
        <v>19.07</v>
      </c>
      <c r="E59" s="99">
        <v>0</v>
      </c>
      <c r="F59" s="23"/>
      <c r="G59" s="87">
        <v>0.3</v>
      </c>
      <c r="H59" s="1">
        <f t="shared" si="12"/>
        <v>88.449999999999903</v>
      </c>
      <c r="I59" s="28">
        <f t="shared" si="13"/>
        <v>339.57728621600006</v>
      </c>
      <c r="J59" s="26"/>
      <c r="K59" s="31"/>
      <c r="L59" s="31">
        <f>(D58-D59)*Unmeasured_Gains_Losses!$B$15</f>
        <v>12.95875216637781</v>
      </c>
      <c r="M59" s="31">
        <f t="shared" si="17"/>
        <v>382.48457538994899</v>
      </c>
      <c r="N59" s="414">
        <v>0.25</v>
      </c>
      <c r="O59" s="31">
        <f t="shared" si="9"/>
        <v>0.25</v>
      </c>
      <c r="P59" s="2"/>
      <c r="Q59" s="81">
        <f t="shared" si="14"/>
        <v>0.30774445842922354</v>
      </c>
      <c r="R59" s="131">
        <f t="shared" si="11"/>
        <v>634.88840525598357</v>
      </c>
      <c r="S59" s="79">
        <f t="shared" si="15"/>
        <v>0</v>
      </c>
      <c r="T59" s="25"/>
      <c r="U59" s="27">
        <f>(D58-D59)*Unmeasured_Gains_Losses!$C$15</f>
        <v>28.445505699826697</v>
      </c>
      <c r="V59" s="31"/>
      <c r="W59" s="89">
        <f t="shared" si="16"/>
        <v>0.31133219605451373</v>
      </c>
      <c r="X59" s="125">
        <f t="shared" si="10"/>
        <v>642.29004306620993</v>
      </c>
      <c r="Y59" s="249"/>
    </row>
    <row r="60" spans="1:25" s="30" customFormat="1">
      <c r="A60" s="357" t="s">
        <v>21</v>
      </c>
      <c r="B60" s="3" t="s">
        <v>196</v>
      </c>
      <c r="C60" s="70"/>
      <c r="D60" s="207">
        <v>18.059999999999999</v>
      </c>
      <c r="E60" s="99">
        <v>-39</v>
      </c>
      <c r="F60" s="23"/>
      <c r="G60" s="87">
        <v>0.32</v>
      </c>
      <c r="H60" s="1">
        <f t="shared" si="12"/>
        <v>49.449999999999903</v>
      </c>
      <c r="I60" s="28">
        <f t="shared" si="13"/>
        <v>272.26291181600004</v>
      </c>
      <c r="J60" s="26"/>
      <c r="K60" s="31"/>
      <c r="L60" s="31">
        <f>(D59-D60)*Unmeasured_Gains_Losses!$B$15</f>
        <v>14.073483535528617</v>
      </c>
      <c r="M60" s="31">
        <f t="shared" si="17"/>
        <v>357.55805892547761</v>
      </c>
      <c r="N60" s="414">
        <v>0.25</v>
      </c>
      <c r="O60" s="31">
        <f t="shared" si="9"/>
        <v>0.25</v>
      </c>
      <c r="P60" s="2"/>
      <c r="Q60" s="81">
        <f t="shared" si="14"/>
        <v>0.30547163681414408</v>
      </c>
      <c r="R60" s="131">
        <f t="shared" si="11"/>
        <v>589.12939346758083</v>
      </c>
      <c r="S60" s="79">
        <f t="shared" si="15"/>
        <v>-67.314374399999991</v>
      </c>
      <c r="T60" s="25"/>
      <c r="U60" s="27">
        <f>(D59-D60)*Unmeasured_Gains_Losses!$C$15</f>
        <v>30.892430921317224</v>
      </c>
      <c r="V60" s="31"/>
      <c r="W60" s="89">
        <f t="shared" si="16"/>
        <v>0.31415088455378737</v>
      </c>
      <c r="X60" s="125">
        <f t="shared" si="10"/>
        <v>605.86809958752701</v>
      </c>
      <c r="Y60" s="249"/>
    </row>
    <row r="61" spans="1:25" s="38" customFormat="1">
      <c r="A61" s="355" t="s">
        <v>47</v>
      </c>
      <c r="B61" s="32" t="s">
        <v>197</v>
      </c>
      <c r="C61" s="68">
        <v>13212500</v>
      </c>
      <c r="D61" s="252">
        <v>15.66</v>
      </c>
      <c r="E61" s="98">
        <v>391</v>
      </c>
      <c r="F61" s="109">
        <v>0.32</v>
      </c>
      <c r="G61" s="93"/>
      <c r="H61" s="33">
        <f>H60</f>
        <v>49.449999999999903</v>
      </c>
      <c r="I61" s="34">
        <f>I60</f>
        <v>272.26291181600004</v>
      </c>
      <c r="J61" s="35">
        <v>45.16</v>
      </c>
      <c r="K61" s="36">
        <f>E61-(E54+(SUM(E55:E60)))</f>
        <v>80.399999999999977</v>
      </c>
      <c r="L61" s="36">
        <f>(D60-D61)*Unmeasured_Gains_Losses!$B$15</f>
        <v>33.441941074523371</v>
      </c>
      <c r="M61" s="36">
        <f>M60+L61</f>
        <v>391.00000000000097</v>
      </c>
      <c r="N61" s="412">
        <v>0.25</v>
      </c>
      <c r="O61" s="36">
        <f t="shared" si="9"/>
        <v>0.25</v>
      </c>
      <c r="P61" s="93"/>
      <c r="Q61" s="80">
        <f>((Q60*M60)+(L61*N61))/M61</f>
        <v>0.30072718870763265</v>
      </c>
      <c r="R61" s="130">
        <f t="shared" si="11"/>
        <v>634.22401169981629</v>
      </c>
      <c r="S61" s="318">
        <f>F61*M61*$T$2</f>
        <v>674.86975360000167</v>
      </c>
      <c r="T61" s="35">
        <f>S61-(S54+(SUM(S55:S60)))</f>
        <v>176.48448160000009</v>
      </c>
      <c r="U61" s="55">
        <f>(D60-D61)*Unmeasured_Gains_Losses!$C$15</f>
        <v>73.407756644714041</v>
      </c>
      <c r="V61" s="36">
        <f>(T61/K61)*$T$3</f>
        <v>0.40696517412935362</v>
      </c>
      <c r="W61" s="88">
        <f>((W60*M60)+(U61*$T$3))/M61</f>
        <v>0.32208922215700941</v>
      </c>
      <c r="X61" s="85">
        <f t="shared" si="10"/>
        <v>679.27585623224104</v>
      </c>
      <c r="Y61" s="249"/>
    </row>
    <row r="62" spans="1:25" s="30" customFormat="1">
      <c r="A62" s="357" t="s">
        <v>21</v>
      </c>
      <c r="B62" s="3" t="s">
        <v>198</v>
      </c>
      <c r="C62" s="70"/>
      <c r="D62" s="207">
        <v>14.98</v>
      </c>
      <c r="E62" s="103">
        <v>-11</v>
      </c>
      <c r="F62" s="23"/>
      <c r="G62" s="87">
        <v>0.32</v>
      </c>
      <c r="H62" s="1">
        <f t="shared" ref="H62:H69" si="18">H61+E62</f>
        <v>38.449999999999903</v>
      </c>
      <c r="I62" s="28">
        <f>I61+(G62*E62*$T$2)</f>
        <v>253.27680621600004</v>
      </c>
      <c r="J62" s="26"/>
      <c r="K62" s="31"/>
      <c r="L62" s="31">
        <f>(D61-D62)*Unmeasured_Gains_Losses!$B$16</f>
        <v>3.5332365747460024</v>
      </c>
      <c r="M62" s="31">
        <f t="shared" si="17"/>
        <v>383.53323657474698</v>
      </c>
      <c r="N62" s="414">
        <v>0.25</v>
      </c>
      <c r="O62" s="31">
        <f t="shared" si="9"/>
        <v>0.25</v>
      </c>
      <c r="P62" s="2"/>
      <c r="Q62" s="81">
        <f>((Q61*M61)+(E62*Q61)+(L62*N62))/M62</f>
        <v>0.30025987286278821</v>
      </c>
      <c r="R62" s="131">
        <f t="shared" si="11"/>
        <v>621.14576763786772</v>
      </c>
      <c r="S62" s="79">
        <f>(G62*E62*$T$2)</f>
        <v>-18.986105599999998</v>
      </c>
      <c r="T62" s="25"/>
      <c r="U62" s="27">
        <f>(D61-D62)*Unmeasured_Gains_Losses!$C$16</f>
        <v>3.0545234477793524</v>
      </c>
      <c r="V62" s="31"/>
      <c r="W62" s="89">
        <f>((W61*M61)+(E62*G62)+(U62*$T$3))/M62</f>
        <v>0.32065849560073995</v>
      </c>
      <c r="X62" s="84">
        <f t="shared" si="10"/>
        <v>663.34427408002034</v>
      </c>
      <c r="Y62" s="249"/>
    </row>
    <row r="63" spans="1:25" s="49" customFormat="1">
      <c r="A63" s="356" t="s">
        <v>22</v>
      </c>
      <c r="B63" s="43" t="s">
        <v>199</v>
      </c>
      <c r="C63" s="69">
        <v>13212550</v>
      </c>
      <c r="D63" s="253">
        <v>14.219999999999999</v>
      </c>
      <c r="E63" s="104">
        <v>37</v>
      </c>
      <c r="F63" s="110">
        <v>0.32</v>
      </c>
      <c r="G63" s="94"/>
      <c r="H63" s="44">
        <f t="shared" si="18"/>
        <v>75.449999999999903</v>
      </c>
      <c r="I63" s="45">
        <f>I62+(F63*E63*$T$2)</f>
        <v>317.13916141600004</v>
      </c>
      <c r="J63" s="46"/>
      <c r="K63" s="47"/>
      <c r="L63" s="47">
        <f>(D62-D63)*Unmeasured_Gains_Losses!$B$16</f>
        <v>3.9489114658926008</v>
      </c>
      <c r="M63" s="47">
        <f>M62+E63+L63</f>
        <v>424.48214804063957</v>
      </c>
      <c r="N63" s="413">
        <v>0.25</v>
      </c>
      <c r="O63" s="47">
        <f t="shared" si="9"/>
        <v>0.25</v>
      </c>
      <c r="P63" s="410">
        <f>F63</f>
        <v>0.32</v>
      </c>
      <c r="Q63" s="83">
        <f>((P63*E63)+(Q62*M62)+(L63*N63))/M63</f>
        <v>0.30151295951981233</v>
      </c>
      <c r="R63" s="132">
        <f t="shared" si="11"/>
        <v>690.33301275949327</v>
      </c>
      <c r="S63" s="319">
        <f>(F63*E63*$T$2)</f>
        <v>63.862355199999996</v>
      </c>
      <c r="T63" s="62"/>
      <c r="U63" s="46">
        <f>(D62-D63)*Unmeasured_Gains_Losses!$C$16</f>
        <v>3.4138791475181081</v>
      </c>
      <c r="V63" s="47"/>
      <c r="W63" s="90">
        <f>((W62*M62)+(F63*E63)+(U63*$T$3))/M63</f>
        <v>0.31910910779317608</v>
      </c>
      <c r="X63" s="86">
        <f t="shared" si="10"/>
        <v>730.62050842753854</v>
      </c>
      <c r="Y63" s="249" t="s">
        <v>122</v>
      </c>
    </row>
    <row r="64" spans="1:25" s="30" customFormat="1">
      <c r="A64" s="357" t="s">
        <v>21</v>
      </c>
      <c r="B64" s="3" t="s">
        <v>11</v>
      </c>
      <c r="C64" s="70"/>
      <c r="D64" s="207">
        <v>13.329999999999998</v>
      </c>
      <c r="E64" s="103">
        <v>-14</v>
      </c>
      <c r="F64" s="23"/>
      <c r="G64" s="87">
        <v>0.32</v>
      </c>
      <c r="H64" s="1">
        <f t="shared" si="18"/>
        <v>61.449999999999903</v>
      </c>
      <c r="I64" s="28">
        <f>I63+(G64*E64*$T$2)</f>
        <v>292.97502701600001</v>
      </c>
      <c r="J64" s="26"/>
      <c r="K64" s="31"/>
      <c r="L64" s="31">
        <f>(D63-D64)*Unmeasured_Gains_Losses!$B$16</f>
        <v>4.6243831640058017</v>
      </c>
      <c r="M64" s="31">
        <f t="shared" si="17"/>
        <v>415.10653120464536</v>
      </c>
      <c r="N64" s="414">
        <v>0.25</v>
      </c>
      <c r="O64" s="31">
        <f t="shared" si="9"/>
        <v>0.25</v>
      </c>
      <c r="P64" s="2"/>
      <c r="Q64" s="81">
        <f>((Q63*M63)+(E64*Q63)+(L64*N64))/M64</f>
        <v>0.30093909318713813</v>
      </c>
      <c r="R64" s="131">
        <f t="shared" si="11"/>
        <v>673.8006151238983</v>
      </c>
      <c r="S64" s="79">
        <f>(G64*E64*$T$2)</f>
        <v>-24.164134400000002</v>
      </c>
      <c r="T64" s="25"/>
      <c r="U64" s="27">
        <f>(D63-D64)*Unmeasured_Gains_Losses!$C$16</f>
        <v>3.9978321595935684</v>
      </c>
      <c r="V64" s="31"/>
      <c r="W64" s="89">
        <f>((W63*M63)+(E64*G64)+(U64*$T$3))/M64</f>
        <v>0.31730966069484734</v>
      </c>
      <c r="X64" s="84">
        <f t="shared" si="10"/>
        <v>710.45420618713217</v>
      </c>
      <c r="Y64" s="249"/>
    </row>
    <row r="65" spans="1:25" s="49" customFormat="1">
      <c r="A65" s="356" t="s">
        <v>22</v>
      </c>
      <c r="B65" s="43" t="s">
        <v>200</v>
      </c>
      <c r="C65" s="166">
        <v>434335116510400</v>
      </c>
      <c r="D65" s="253">
        <v>12.329999999999998</v>
      </c>
      <c r="E65" s="104">
        <v>12.2</v>
      </c>
      <c r="F65" s="110">
        <v>0.21</v>
      </c>
      <c r="G65" s="94"/>
      <c r="H65" s="44">
        <f t="shared" si="18"/>
        <v>73.649999999999906</v>
      </c>
      <c r="I65" s="45">
        <f>I64+(F65*E65*$T$2)</f>
        <v>306.79389137600003</v>
      </c>
      <c r="J65" s="46"/>
      <c r="K65" s="47"/>
      <c r="L65" s="47">
        <f>(D64-D65)*Unmeasured_Gains_Losses!$B$16</f>
        <v>5.1959361393323586</v>
      </c>
      <c r="M65" s="47">
        <f>M64+E65+L65</f>
        <v>432.50246734397768</v>
      </c>
      <c r="N65" s="413">
        <v>0.25</v>
      </c>
      <c r="O65" s="47">
        <f t="shared" si="9"/>
        <v>0.25</v>
      </c>
      <c r="P65" s="410">
        <f>F65</f>
        <v>0.21</v>
      </c>
      <c r="Q65" s="83">
        <f>((P65*E65)+(Q64*M64)+(L65*N65))/M65</f>
        <v>0.2977619246948574</v>
      </c>
      <c r="R65" s="132">
        <f t="shared" si="11"/>
        <v>694.62591359130022</v>
      </c>
      <c r="S65" s="319">
        <f>(F65*E65*$T$2)</f>
        <v>13.818864359999997</v>
      </c>
      <c r="T65" s="62"/>
      <c r="U65" s="46">
        <f>(D64-D65)*Unmeasured_Gains_Losses!$C$16</f>
        <v>4.4919462467343436</v>
      </c>
      <c r="V65" s="47"/>
      <c r="W65" s="90">
        <f>((W64*M64)+(F65*E65)+(U65*$T$3))/M65</f>
        <v>0.31239616864984687</v>
      </c>
      <c r="X65" s="86">
        <f t="shared" si="10"/>
        <v>728.76501679386661</v>
      </c>
      <c r="Y65" s="249"/>
    </row>
    <row r="66" spans="1:25" s="30" customFormat="1">
      <c r="A66" s="357" t="s">
        <v>21</v>
      </c>
      <c r="B66" s="3" t="s">
        <v>201</v>
      </c>
      <c r="C66" s="70"/>
      <c r="D66" s="207">
        <v>11.09</v>
      </c>
      <c r="E66" s="103">
        <v>-20</v>
      </c>
      <c r="F66" s="23"/>
      <c r="G66" s="87">
        <v>0.32</v>
      </c>
      <c r="H66" s="1">
        <f t="shared" si="18"/>
        <v>53.649999999999906</v>
      </c>
      <c r="I66" s="28">
        <f>I65+(G66*E66*$T$2)</f>
        <v>272.27369937600002</v>
      </c>
      <c r="J66" s="26"/>
      <c r="K66" s="31"/>
      <c r="L66" s="31">
        <f>(D65-D66)*Unmeasured_Gains_Losses!$B$16</f>
        <v>6.4429608127721165</v>
      </c>
      <c r="M66" s="31">
        <f t="shared" ref="M66:M68" si="19">M65+E66+L66</f>
        <v>418.94542815674981</v>
      </c>
      <c r="N66" s="414">
        <v>0.25</v>
      </c>
      <c r="O66" s="31">
        <f t="shared" si="9"/>
        <v>0.25</v>
      </c>
      <c r="P66" s="2"/>
      <c r="Q66" s="81">
        <f>((Q65*M65)+(E66*Q65)+(L66*N66))/M66</f>
        <v>0.29702739416064089</v>
      </c>
      <c r="R66" s="131">
        <f t="shared" si="11"/>
        <v>671.19264560086617</v>
      </c>
      <c r="S66" s="79">
        <f>(G66*E66*$T$2)</f>
        <v>-34.520192000000002</v>
      </c>
      <c r="T66" s="25"/>
      <c r="U66" s="27">
        <f>(D65-D66)*Unmeasured_Gains_Losses!$C$16</f>
        <v>5.5700133459505787</v>
      </c>
      <c r="V66" s="31"/>
      <c r="W66" s="89">
        <f>((W65*M65)+(E66*G66)+(U66*$T$3))/M66</f>
        <v>0.30969376546361899</v>
      </c>
      <c r="X66" s="84">
        <f t="shared" si="10"/>
        <v>699.81483813981708</v>
      </c>
      <c r="Y66" s="249"/>
    </row>
    <row r="67" spans="1:25" s="49" customFormat="1">
      <c r="A67" s="356" t="s">
        <v>22</v>
      </c>
      <c r="B67" s="43" t="s">
        <v>202</v>
      </c>
      <c r="C67" s="166">
        <v>434348116523600</v>
      </c>
      <c r="D67" s="253">
        <v>10.93</v>
      </c>
      <c r="E67" s="104">
        <v>23</v>
      </c>
      <c r="F67" s="110">
        <v>0.2</v>
      </c>
      <c r="G67" s="94"/>
      <c r="H67" s="44">
        <f t="shared" si="18"/>
        <v>76.649999999999906</v>
      </c>
      <c r="I67" s="45">
        <f>I66+(F67*E67*$T$2)</f>
        <v>297.08508737600005</v>
      </c>
      <c r="J67" s="46"/>
      <c r="K67" s="47"/>
      <c r="L67" s="47">
        <f>(D66-D67)*Unmeasured_Gains_Losses!$B$16</f>
        <v>0.83134978229317813</v>
      </c>
      <c r="M67" s="47">
        <f t="shared" si="19"/>
        <v>442.77677793904297</v>
      </c>
      <c r="N67" s="413">
        <v>0.25</v>
      </c>
      <c r="O67" s="47">
        <f t="shared" si="9"/>
        <v>0.25</v>
      </c>
      <c r="P67" s="410">
        <f>F67</f>
        <v>0.2</v>
      </c>
      <c r="Q67" s="83">
        <f>((P67*E67)+(Q66*M66)+(L67*N67))/M67</f>
        <v>0.29189901708052085</v>
      </c>
      <c r="R67" s="132">
        <f t="shared" si="11"/>
        <v>697.1250630580505</v>
      </c>
      <c r="S67" s="319">
        <f>(F67*E67*$T$2)</f>
        <v>24.811388000000001</v>
      </c>
      <c r="T67" s="62"/>
      <c r="U67" s="46">
        <f>(D66-D67)*Unmeasured_Gains_Losses!$C$16</f>
        <v>0.71871139947749563</v>
      </c>
      <c r="V67" s="47"/>
      <c r="W67" s="90">
        <f>((W66*M66)+(F67*E67)+(U67*$T$3))/M67</f>
        <v>0.3037151947790766</v>
      </c>
      <c r="X67" s="86">
        <f t="shared" si="10"/>
        <v>725.34493753929462</v>
      </c>
      <c r="Y67" s="249"/>
    </row>
    <row r="68" spans="1:25" s="49" customFormat="1">
      <c r="A68" s="356" t="s">
        <v>22</v>
      </c>
      <c r="B68" s="43" t="s">
        <v>203</v>
      </c>
      <c r="C68" s="69">
        <v>13212890</v>
      </c>
      <c r="D68" s="253">
        <v>10.53</v>
      </c>
      <c r="E68" s="104">
        <v>264</v>
      </c>
      <c r="F68" s="110">
        <v>0.33</v>
      </c>
      <c r="G68" s="94"/>
      <c r="H68" s="44">
        <f t="shared" si="18"/>
        <v>340.64999999999992</v>
      </c>
      <c r="I68" s="45">
        <f>I67+(F68*E68*$T$2)</f>
        <v>766.99120097600007</v>
      </c>
      <c r="J68" s="46"/>
      <c r="K68" s="47"/>
      <c r="L68" s="47">
        <f>(D67-D68)*Unmeasured_Gains_Losses!$B$16</f>
        <v>2.0783744557329453</v>
      </c>
      <c r="M68" s="47">
        <f t="shared" si="19"/>
        <v>708.85515239477593</v>
      </c>
      <c r="N68" s="413">
        <v>0.25</v>
      </c>
      <c r="O68" s="47">
        <f t="shared" si="9"/>
        <v>0.25</v>
      </c>
      <c r="P68" s="63">
        <f>F68</f>
        <v>0.33</v>
      </c>
      <c r="Q68" s="83">
        <f>((P68*E68)+(Q67*M67)+(L68*N68))/M68</f>
        <v>0.30596617538533721</v>
      </c>
      <c r="R68" s="132">
        <f t="shared" si="11"/>
        <v>1169.8337503010116</v>
      </c>
      <c r="S68" s="319">
        <f>(F68*E68*$T$2)</f>
        <v>469.90611359999997</v>
      </c>
      <c r="T68" s="62"/>
      <c r="U68" s="46">
        <f>(D67-D68)*Unmeasured_Gains_Losses!$C$16</f>
        <v>1.796778498693739</v>
      </c>
      <c r="V68" s="47"/>
      <c r="W68" s="90">
        <f>((W67*M67)+(F68*E68)+(U68*$T$3))/M68</f>
        <v>0.31308392845856275</v>
      </c>
      <c r="X68" s="86">
        <f t="shared" si="10"/>
        <v>1197.0478296379886</v>
      </c>
      <c r="Y68" s="249"/>
    </row>
    <row r="69" spans="1:25" s="30" customFormat="1">
      <c r="A69" s="357" t="s">
        <v>21</v>
      </c>
      <c r="B69" s="3" t="s">
        <v>12</v>
      </c>
      <c r="C69" s="70"/>
      <c r="D69" s="207">
        <v>10</v>
      </c>
      <c r="E69" s="103">
        <v>-7</v>
      </c>
      <c r="F69" s="23"/>
      <c r="G69" s="87">
        <v>0.31</v>
      </c>
      <c r="H69" s="1">
        <f t="shared" si="18"/>
        <v>333.64999999999992</v>
      </c>
      <c r="I69" s="28">
        <f>I68+(G69*E69*$T$2)</f>
        <v>755.28669837600012</v>
      </c>
      <c r="J69" s="26"/>
      <c r="K69" s="31"/>
      <c r="L69" s="31">
        <f>(D68-D69)*Unmeasured_Gains_Losses!$B$16</f>
        <v>2.7538461538461467</v>
      </c>
      <c r="M69" s="31">
        <f t="shared" ref="M69" si="20">M68+E69+L69</f>
        <v>704.60899854862203</v>
      </c>
      <c r="N69" s="414">
        <v>0.25</v>
      </c>
      <c r="O69" s="31">
        <f t="shared" si="9"/>
        <v>0.25</v>
      </c>
      <c r="P69" s="2"/>
      <c r="Q69" s="81">
        <f>((Q68*M68)+(E69*Q68)+(L69*N69))/M69</f>
        <v>0.30574744097072165</v>
      </c>
      <c r="R69" s="131">
        <f t="shared" si="11"/>
        <v>1161.994960715645</v>
      </c>
      <c r="S69" s="79">
        <f>(G69*E69*$T$2)</f>
        <v>-11.704502599999998</v>
      </c>
      <c r="T69" s="25"/>
      <c r="U69" s="27">
        <f>(D68-D69)*Unmeasured_Gains_Losses!$C$16</f>
        <v>2.3807315107691993</v>
      </c>
      <c r="V69" s="31"/>
      <c r="W69" s="89">
        <f>((W68*M68)+(E69*G69)+(U69*$T$3))/M69</f>
        <v>0.31251735485753812</v>
      </c>
      <c r="X69" s="84">
        <f t="shared" si="10"/>
        <v>1187.724058548758</v>
      </c>
      <c r="Y69" s="249"/>
    </row>
    <row r="70" spans="1:25" s="38" customFormat="1">
      <c r="A70" s="355" t="s">
        <v>47</v>
      </c>
      <c r="B70" s="32" t="s">
        <v>204</v>
      </c>
      <c r="C70" s="68">
        <v>13212900</v>
      </c>
      <c r="D70" s="252">
        <v>8.77</v>
      </c>
      <c r="E70" s="98">
        <v>711</v>
      </c>
      <c r="F70" s="109">
        <v>0.31</v>
      </c>
      <c r="G70" s="93"/>
      <c r="H70" s="33">
        <f>H69</f>
        <v>333.64999999999992</v>
      </c>
      <c r="I70" s="34">
        <f>I69</f>
        <v>755.28669837600012</v>
      </c>
      <c r="J70" s="56">
        <v>39.67</v>
      </c>
      <c r="K70" s="57">
        <f>E70-(E61+SUM(E62:E69))</f>
        <v>35.799999999999955</v>
      </c>
      <c r="L70" s="36">
        <f>(D69-D70)*Unmeasured_Gains_Losses!$B$16</f>
        <v>6.3910014513788029</v>
      </c>
      <c r="M70" s="36">
        <f>M69+L70</f>
        <v>711.0000000000008</v>
      </c>
      <c r="N70" s="412">
        <v>0.25</v>
      </c>
      <c r="O70" s="36">
        <f t="shared" si="9"/>
        <v>0.25</v>
      </c>
      <c r="P70" s="93"/>
      <c r="Q70" s="80">
        <f>((Q69*M69)+(L70*N70))/M70</f>
        <v>0.30524634114490656</v>
      </c>
      <c r="R70" s="130">
        <f t="shared" si="11"/>
        <v>1170.6128746677493</v>
      </c>
      <c r="S70" s="318">
        <f>F70*M70*$T$2</f>
        <v>1188.8430498000012</v>
      </c>
      <c r="T70" s="56">
        <f>S70-(S61+(SUM(S62:S69)))</f>
        <v>30.949509639999633</v>
      </c>
      <c r="U70" s="55">
        <f>(D69-D70)*Unmeasured_Gains_Losses!$C$16</f>
        <v>5.5250938834832448</v>
      </c>
      <c r="V70" s="57">
        <f>(T70/K70)*$T$3</f>
        <v>0.16027932960893687</v>
      </c>
      <c r="W70" s="88">
        <f>((W69*M69)+(U70*$T$3))/M70</f>
        <v>0.31114892526496596</v>
      </c>
      <c r="X70" s="85">
        <f t="shared" si="10"/>
        <v>1193.2491524322411</v>
      </c>
      <c r="Y70" s="251"/>
    </row>
    <row r="71" spans="1:25" s="30" customFormat="1">
      <c r="A71" s="357" t="s">
        <v>21</v>
      </c>
      <c r="B71" s="3" t="s">
        <v>13</v>
      </c>
      <c r="C71" s="70"/>
      <c r="D71" s="207">
        <v>8.0500000000000007</v>
      </c>
      <c r="E71" s="99">
        <v>-13</v>
      </c>
      <c r="F71" s="23"/>
      <c r="G71" s="87">
        <v>0.31</v>
      </c>
      <c r="H71" s="1">
        <f>H70+E71</f>
        <v>320.64999999999992</v>
      </c>
      <c r="I71" s="28">
        <f>I70+(G71*E71*$T$2)</f>
        <v>733.54976497600012</v>
      </c>
      <c r="J71" s="26"/>
      <c r="K71" s="31"/>
      <c r="L71" s="31">
        <f>(D70-D71)*Unmeasured_Gains_Losses!$B$17</f>
        <v>11.299798792756523</v>
      </c>
      <c r="M71" s="31">
        <f t="shared" ref="M71:M75" si="21">M70+E71+L71</f>
        <v>709.29979879275731</v>
      </c>
      <c r="N71" s="414">
        <v>0.25</v>
      </c>
      <c r="O71" s="31">
        <f t="shared" si="9"/>
        <v>0.25</v>
      </c>
      <c r="P71" s="2"/>
      <c r="Q71" s="81">
        <f>((Q70*M70)+(E71*Q70)+(L71*N71))/M71</f>
        <v>0.30436621606939412</v>
      </c>
      <c r="R71" s="131">
        <f t="shared" si="11"/>
        <v>1164.4464209216205</v>
      </c>
      <c r="S71" s="79">
        <f>(G71*E71*$T$2)</f>
        <v>-21.736933399999998</v>
      </c>
      <c r="T71" s="25"/>
      <c r="U71" s="27">
        <f>(D70-D71)*Unmeasured_Gains_Losses!$C$17</f>
        <v>13.111769104225372</v>
      </c>
      <c r="V71" s="31"/>
      <c r="W71" s="89">
        <f>((W70*M70)+(E71*G71)+(U71*$T$3))/M71</f>
        <v>0.30964028422085776</v>
      </c>
      <c r="X71" s="84">
        <f t="shared" si="10"/>
        <v>1184.6239881364666</v>
      </c>
      <c r="Y71" s="251"/>
    </row>
    <row r="72" spans="1:25" s="30" customFormat="1">
      <c r="A72" s="357" t="s">
        <v>21</v>
      </c>
      <c r="B72" s="3" t="s">
        <v>14</v>
      </c>
      <c r="C72" s="70"/>
      <c r="D72" s="207">
        <v>7.47</v>
      </c>
      <c r="E72" s="99">
        <v>-36</v>
      </c>
      <c r="F72" s="23"/>
      <c r="G72" s="87">
        <v>0.31</v>
      </c>
      <c r="H72" s="1">
        <f>H71+E72</f>
        <v>284.64999999999992</v>
      </c>
      <c r="I72" s="28">
        <f>I71+(G72*E72*$T$2)</f>
        <v>673.35518017600009</v>
      </c>
      <c r="J72" s="26"/>
      <c r="K72" s="31"/>
      <c r="L72" s="31">
        <f>(D71-D72)*Unmeasured_Gains_Losses!$B$17</f>
        <v>9.1026156941650047</v>
      </c>
      <c r="M72" s="31">
        <f t="shared" si="21"/>
        <v>682.40241448692234</v>
      </c>
      <c r="N72" s="414">
        <v>0.25</v>
      </c>
      <c r="O72" s="31">
        <f t="shared" si="9"/>
        <v>0.25</v>
      </c>
      <c r="P72" s="2"/>
      <c r="Q72" s="81">
        <f>((Q71*M71)+(E72*Q71)+(L72*N72))/M72</f>
        <v>0.30364102113877872</v>
      </c>
      <c r="R72" s="131">
        <f t="shared" si="11"/>
        <v>1117.6201588205508</v>
      </c>
      <c r="S72" s="79">
        <f>(G72*E72*$T$2)</f>
        <v>-60.194584799999994</v>
      </c>
      <c r="T72" s="25"/>
      <c r="U72" s="27">
        <f>(D71-D72)*Unmeasured_Gains_Losses!$C$17</f>
        <v>10.562258445070473</v>
      </c>
      <c r="V72" s="31"/>
      <c r="W72" s="89">
        <f>((W71*M71)+(E72*G72)+(U72*$T$3))/M72</f>
        <v>0.30836060395603537</v>
      </c>
      <c r="X72" s="84">
        <f t="shared" si="10"/>
        <v>1134.991661781537</v>
      </c>
      <c r="Y72" s="249"/>
    </row>
    <row r="73" spans="1:25" s="30" customFormat="1">
      <c r="A73" s="357" t="s">
        <v>21</v>
      </c>
      <c r="B73" s="3" t="s">
        <v>205</v>
      </c>
      <c r="C73" s="70"/>
      <c r="D73" s="207">
        <v>6.33</v>
      </c>
      <c r="E73" s="99">
        <v>-58</v>
      </c>
      <c r="F73" s="23"/>
      <c r="G73" s="87">
        <v>0.3</v>
      </c>
      <c r="H73" s="1">
        <f>H72+E73</f>
        <v>226.64999999999992</v>
      </c>
      <c r="I73" s="28">
        <f>I72+(G73*E73*$T$2)</f>
        <v>579.50340817600011</v>
      </c>
      <c r="J73" s="26"/>
      <c r="K73" s="31"/>
      <c r="L73" s="31">
        <f>(D72-D73)*Unmeasured_Gains_Losses!$B$17</f>
        <v>17.891348088531181</v>
      </c>
      <c r="M73" s="31">
        <f t="shared" si="21"/>
        <v>642.29376257545357</v>
      </c>
      <c r="N73" s="414">
        <v>0.25</v>
      </c>
      <c r="O73" s="31">
        <f t="shared" si="9"/>
        <v>0.25</v>
      </c>
      <c r="P73" s="2"/>
      <c r="Q73" s="81">
        <f>((Q72*M72)+(E73*Q72)+(L73*N73))/M73</f>
        <v>0.30214682917096336</v>
      </c>
      <c r="R73" s="131">
        <f t="shared" ref="R73:R76" si="22">Q73*M73*$T$2</f>
        <v>1046.7548314079108</v>
      </c>
      <c r="S73" s="79">
        <f>(G73*E73*$T$2)</f>
        <v>-93.851771999999983</v>
      </c>
      <c r="T73" s="25"/>
      <c r="U73" s="27">
        <f>(D72-D73)*Unmeasured_Gains_Losses!$C$17</f>
        <v>20.760301081690201</v>
      </c>
      <c r="V73" s="31"/>
      <c r="W73" s="89">
        <f>((W72*M72)+(E73*G73)+(U73*$T$3))/M73</f>
        <v>0.306518552327878</v>
      </c>
      <c r="X73" s="84">
        <f t="shared" ref="X73:X76" si="23">W73*M73*$T$2</f>
        <v>1061.9001908632272</v>
      </c>
      <c r="Y73" s="249"/>
    </row>
    <row r="74" spans="1:25" s="30" customFormat="1">
      <c r="A74" s="357" t="s">
        <v>21</v>
      </c>
      <c r="B74" s="3" t="s">
        <v>15</v>
      </c>
      <c r="C74" s="70"/>
      <c r="D74" s="207">
        <v>4.32</v>
      </c>
      <c r="E74" s="99">
        <v>0</v>
      </c>
      <c r="F74" s="23"/>
      <c r="G74" s="87">
        <v>0.3</v>
      </c>
      <c r="H74" s="1">
        <f>H73+E74</f>
        <v>226.64999999999992</v>
      </c>
      <c r="I74" s="28">
        <f>I73+(G74*E74*$T$2)</f>
        <v>579.50340817600011</v>
      </c>
      <c r="J74" s="26"/>
      <c r="K74" s="31"/>
      <c r="L74" s="31">
        <f>(D73-D74)*Unmeasured_Gains_Losses!$B$17</f>
        <v>31.545271629778671</v>
      </c>
      <c r="M74" s="31">
        <f t="shared" si="21"/>
        <v>673.83903420523222</v>
      </c>
      <c r="N74" s="414">
        <v>0.25</v>
      </c>
      <c r="O74" s="31">
        <f t="shared" si="9"/>
        <v>0.25</v>
      </c>
      <c r="P74" s="2"/>
      <c r="Q74" s="81">
        <f>((Q73*M73)+(E74*Q73)+(L74*N74))/M74</f>
        <v>0.29970561427047915</v>
      </c>
      <c r="R74" s="131">
        <f t="shared" si="22"/>
        <v>1089.2918952107277</v>
      </c>
      <c r="S74" s="79">
        <f>(G74*E74*$T$2)</f>
        <v>0</v>
      </c>
      <c r="T74" s="25"/>
      <c r="U74" s="27">
        <f>(D73-D74)*Unmeasured_Gains_Losses!$C$17</f>
        <v>36.603688749295884</v>
      </c>
      <c r="V74" s="31"/>
      <c r="W74" s="89">
        <f>((W73*M73)+(E74*G74)+(U74*$T$3))/M74</f>
        <v>0.30224018141077352</v>
      </c>
      <c r="X74" s="84">
        <f t="shared" si="23"/>
        <v>1098.503879612523</v>
      </c>
      <c r="Y74" s="249"/>
    </row>
    <row r="75" spans="1:25" s="30" customFormat="1">
      <c r="A75" s="357" t="s">
        <v>21</v>
      </c>
      <c r="B75" s="3" t="s">
        <v>206</v>
      </c>
      <c r="C75" s="70"/>
      <c r="D75" s="207">
        <v>3.9099999999999997</v>
      </c>
      <c r="E75" s="99">
        <v>-58</v>
      </c>
      <c r="F75" s="23"/>
      <c r="G75" s="87">
        <v>0.3</v>
      </c>
      <c r="H75" s="1">
        <f>H74+E75</f>
        <v>168.64999999999992</v>
      </c>
      <c r="I75" s="28">
        <f>I74+(G75*E75*$T$2)</f>
        <v>485.65163617600012</v>
      </c>
      <c r="J75" s="26"/>
      <c r="K75" s="31"/>
      <c r="L75" s="31">
        <f>(D74-D75)*Unmeasured_Gains_Losses!$B$17</f>
        <v>6.4346076458752606</v>
      </c>
      <c r="M75" s="31">
        <f t="shared" si="21"/>
        <v>622.27364185110753</v>
      </c>
      <c r="N75" s="414">
        <v>0.25</v>
      </c>
      <c r="O75" s="31">
        <f t="shared" si="9"/>
        <v>0.25</v>
      </c>
      <c r="P75" s="2"/>
      <c r="Q75" s="81">
        <f>((Q74*M74)+(E75*Q74)+(L75*N75))/M75</f>
        <v>0.29919163440034302</v>
      </c>
      <c r="R75" s="131">
        <f t="shared" si="22"/>
        <v>1004.2089331256602</v>
      </c>
      <c r="S75" s="79">
        <f>(G75*E75*$T$2)</f>
        <v>-93.851771999999983</v>
      </c>
      <c r="T75" s="25"/>
      <c r="U75" s="27">
        <f>(D74-D75)*Unmeasured_Gains_Losses!$C$17</f>
        <v>7.4664240732394704</v>
      </c>
      <c r="V75" s="31"/>
      <c r="W75" s="89">
        <f>((W74*M74)+(E75*G75)+(U75*$T$3))/M75</f>
        <v>0.30154820148771372</v>
      </c>
      <c r="X75" s="84">
        <f t="shared" si="23"/>
        <v>1012.1185316857625</v>
      </c>
      <c r="Y75" s="249"/>
    </row>
    <row r="76" spans="1:25" s="38" customFormat="1" ht="15.75" thickBot="1">
      <c r="A76" s="361" t="s">
        <v>47</v>
      </c>
      <c r="B76" s="153" t="s">
        <v>207</v>
      </c>
      <c r="C76" s="167">
        <v>13213000</v>
      </c>
      <c r="D76" s="258">
        <v>3.8</v>
      </c>
      <c r="E76" s="154">
        <v>624</v>
      </c>
      <c r="F76" s="155">
        <v>0.3</v>
      </c>
      <c r="G76" s="169"/>
      <c r="H76" s="170">
        <f>H75</f>
        <v>168.64999999999992</v>
      </c>
      <c r="I76" s="171">
        <f>I75</f>
        <v>485.65163617600012</v>
      </c>
      <c r="J76" s="175">
        <v>42.25</v>
      </c>
      <c r="K76" s="331">
        <f>E76-(E70+(SUM(E71:E75)))</f>
        <v>78</v>
      </c>
      <c r="L76" s="172">
        <f>(D75-D76)*Unmeasured_Gains_Losses!$B$17</f>
        <v>1.7263581488933584</v>
      </c>
      <c r="M76" s="172">
        <f>M75+L76</f>
        <v>624.00000000000091</v>
      </c>
      <c r="N76" s="416">
        <v>0.25</v>
      </c>
      <c r="O76" s="172">
        <f t="shared" si="9"/>
        <v>0.25</v>
      </c>
      <c r="P76" s="155"/>
      <c r="Q76" s="173">
        <f>((Q75*M75)+(L76*N76))/M76</f>
        <v>0.29905554084440644</v>
      </c>
      <c r="R76" s="174">
        <f t="shared" si="22"/>
        <v>1006.5368321397448</v>
      </c>
      <c r="S76" s="175">
        <f>F76*M76*$T$2</f>
        <v>1009.7156160000014</v>
      </c>
      <c r="T76" s="175">
        <f>S76-(S70+(SUM(S71:S75)))</f>
        <v>90.507628400000272</v>
      </c>
      <c r="U76" s="175">
        <f>(D75-D76)*Unmeasured_Gains_Losses!$C$17</f>
        <v>2.0031869464788774</v>
      </c>
      <c r="V76" s="331">
        <f>(T76/K76)*$T$3</f>
        <v>0.2151282051282058</v>
      </c>
      <c r="W76" s="91">
        <f>((W75*M75)+(U76*$T$3))/M76</f>
        <v>0.30130911196056215</v>
      </c>
      <c r="X76" s="92">
        <f t="shared" si="23"/>
        <v>1014.1217186322414</v>
      </c>
      <c r="Y76" s="249"/>
    </row>
    <row r="77" spans="1:25">
      <c r="A77" s="362"/>
      <c r="B77" s="5"/>
      <c r="C77" s="156"/>
      <c r="D77" s="60"/>
      <c r="E77" s="5"/>
      <c r="F77" s="71"/>
      <c r="M77" s="417" t="s">
        <v>236</v>
      </c>
      <c r="N77" s="418">
        <f>(SUM(,N76*L76,N75*L75,N74*L74,N73*L73,N72*L72,N71*L71,N70*L70,N69*L69,N68*L68,N67*L67,N66*L66,N65*L65,N64*L64,N63*L63,N62*L62,N61*L61,N60*L60,N59*L59,N58*L58,N57*L57,N56*L56,N55*L55,N54*L54,N53*L53,N52*L52,N51*L51,N50*L50,N49*L49,N48*L48,N47*L47,N46*L46,N45*L45,N44*L44,N43*L43,N42*L42,N41*L41,N40*L40,N39*L39,N38*L38,N33*L33,N32*L32,N28*L28,N27*L27,N26*L26,N25*L25,N24*L24,N23*L23,N22*L22,N21*L21,N20*L20,N19*L19,L18*N18,L17*N17,L16*N16,L15*N15,N14*L14))/(SUM(L14:L28,L32:L33,L38:L76))</f>
        <v>0.2133536862820071</v>
      </c>
      <c r="P77" s="61"/>
      <c r="Q77" s="61"/>
      <c r="R77" s="168"/>
      <c r="V77" s="127"/>
      <c r="W77" s="61"/>
      <c r="X77" s="127"/>
    </row>
    <row r="78" spans="1:25">
      <c r="A78" s="362"/>
      <c r="B78" s="72"/>
      <c r="C78" s="70"/>
      <c r="D78" s="60"/>
      <c r="E78" s="5"/>
      <c r="F78" s="71"/>
      <c r="P78" s="61"/>
      <c r="Q78" s="61"/>
      <c r="V78" s="127"/>
      <c r="W78" s="61"/>
      <c r="X78" s="127"/>
    </row>
    <row r="79" spans="1:25" ht="15.75" thickBot="1">
      <c r="A79" s="363" t="s">
        <v>123</v>
      </c>
      <c r="B79" s="5"/>
      <c r="C79" s="70"/>
      <c r="D79" s="60"/>
      <c r="E79" s="5"/>
      <c r="F79" s="71"/>
      <c r="P79" s="61"/>
      <c r="Q79" s="61"/>
      <c r="V79" s="127"/>
      <c r="W79" s="61"/>
      <c r="X79" s="127"/>
      <c r="Y79" s="389"/>
    </row>
    <row r="80" spans="1:25">
      <c r="A80" s="364" t="s">
        <v>22</v>
      </c>
      <c r="B80" s="158" t="s">
        <v>208</v>
      </c>
      <c r="C80" s="159">
        <v>13213080</v>
      </c>
      <c r="D80" s="393" t="s">
        <v>72</v>
      </c>
      <c r="E80" s="391">
        <v>169</v>
      </c>
      <c r="F80" s="160">
        <v>0.35</v>
      </c>
      <c r="G80" s="176"/>
      <c r="H80" s="393"/>
      <c r="I80" s="177"/>
      <c r="J80" s="177"/>
      <c r="K80" s="177"/>
      <c r="L80" s="177"/>
      <c r="M80" s="177"/>
      <c r="N80" s="177"/>
      <c r="O80" s="178"/>
      <c r="P80" s="198" t="s">
        <v>79</v>
      </c>
      <c r="Q80" s="179">
        <f>((Q76*$E$76)+($E$80*$F$80))/($E$76+$E$80)</f>
        <v>0.30991255673002477</v>
      </c>
      <c r="R80" s="180">
        <f>Q80*(E80+M76)*$T$2</f>
        <v>1325.578919139745</v>
      </c>
      <c r="S80" s="181"/>
      <c r="T80" s="182"/>
      <c r="U80" s="181"/>
      <c r="V80" s="183"/>
      <c r="W80" s="184">
        <f>((W76*$E$76)+($E$80*$F$80))/($E$76+$E$80)</f>
        <v>0.31168585859191777</v>
      </c>
      <c r="X80" s="185">
        <f>W80*(E80+E76)*$T$2</f>
        <v>1333.1638056322399</v>
      </c>
      <c r="Y80" s="389"/>
    </row>
    <row r="81" spans="1:25">
      <c r="A81" s="365" t="s">
        <v>78</v>
      </c>
      <c r="B81" s="73" t="s">
        <v>209</v>
      </c>
      <c r="C81" s="128">
        <v>13173600</v>
      </c>
      <c r="D81" s="61" t="s">
        <v>72</v>
      </c>
      <c r="E81" s="128">
        <v>5497</v>
      </c>
      <c r="F81" s="112">
        <v>0.05</v>
      </c>
      <c r="G81" s="186"/>
      <c r="H81" s="61"/>
      <c r="I81" s="127"/>
      <c r="J81" s="127"/>
      <c r="K81" s="127"/>
      <c r="L81" s="127"/>
      <c r="M81" s="127"/>
      <c r="N81" s="127"/>
      <c r="O81" s="126"/>
      <c r="P81" s="199" t="s">
        <v>54</v>
      </c>
      <c r="Q81" s="197">
        <f>F81</f>
        <v>0.05</v>
      </c>
      <c r="R81" s="133">
        <f>Q81*E81*$T$2</f>
        <v>1482.4804329999999</v>
      </c>
      <c r="T81" s="127"/>
      <c r="U81" s="79"/>
      <c r="V81" s="135"/>
      <c r="W81" s="367">
        <v>0.05</v>
      </c>
      <c r="X81" s="368">
        <f>W81*E81*$T$2</f>
        <v>1482.4804329999999</v>
      </c>
      <c r="Y81" s="389"/>
    </row>
    <row r="82" spans="1:25">
      <c r="A82" s="365"/>
      <c r="B82" s="73"/>
      <c r="D82" s="162"/>
      <c r="E82" s="25"/>
      <c r="F82" s="112"/>
      <c r="G82" s="186"/>
      <c r="H82" s="161"/>
      <c r="I82" s="127"/>
      <c r="J82" s="127"/>
      <c r="K82" s="392">
        <f>E83-E81-E80-E76</f>
        <v>-10</v>
      </c>
      <c r="L82" s="127"/>
      <c r="M82" s="127"/>
      <c r="N82" s="127"/>
      <c r="O82" s="126"/>
      <c r="P82" s="136" t="s">
        <v>38</v>
      </c>
      <c r="Q82" s="137"/>
      <c r="R82" s="138">
        <f>R83-R81-R80</f>
        <v>-4.4643232943417388</v>
      </c>
      <c r="T82" s="127"/>
      <c r="U82" s="79"/>
      <c r="V82" s="129"/>
      <c r="W82" s="134"/>
      <c r="X82" s="187">
        <f>X83-X81-X80</f>
        <v>-4.4763819374122704</v>
      </c>
      <c r="Y82" s="389"/>
    </row>
    <row r="83" spans="1:25" ht="15.75" thickBot="1">
      <c r="A83" s="366" t="s">
        <v>78</v>
      </c>
      <c r="B83" s="74" t="s">
        <v>210</v>
      </c>
      <c r="C83" s="157">
        <v>13213100</v>
      </c>
      <c r="D83" s="21" t="s">
        <v>72</v>
      </c>
      <c r="E83" s="157">
        <v>6280</v>
      </c>
      <c r="F83" s="113">
        <v>0.09</v>
      </c>
      <c r="G83" s="188"/>
      <c r="H83" s="21"/>
      <c r="I83" s="189"/>
      <c r="J83" s="189"/>
      <c r="K83" s="189"/>
      <c r="L83" s="189"/>
      <c r="M83" s="189"/>
      <c r="N83" s="189"/>
      <c r="O83" s="190"/>
      <c r="P83" s="191" t="s">
        <v>52</v>
      </c>
      <c r="Q83" s="192">
        <f>(($E$81*$F$81)+(Q80*($E$80+$E$76)))/($E$81+$E$80+$E$76)</f>
        <v>8.2767990061511865E-2</v>
      </c>
      <c r="R83" s="193">
        <f>Q83*E83*$T$2</f>
        <v>2803.5950288454032</v>
      </c>
      <c r="S83" s="194"/>
      <c r="T83" s="21"/>
      <c r="U83" s="194"/>
      <c r="V83" s="190"/>
      <c r="W83" s="195">
        <f>(($E$81*$F$81)+(W80*($E$80+$E$76)))/($E$81+$E$80+$E$76)</f>
        <v>8.2991555781143214E-2</v>
      </c>
      <c r="X83" s="196">
        <f>W83*E83*$T$2</f>
        <v>2811.1678566948276</v>
      </c>
      <c r="Y83" s="389"/>
    </row>
    <row r="84" spans="1:25">
      <c r="Y84" s="389"/>
    </row>
    <row r="85" spans="1:25">
      <c r="Y85" s="389"/>
    </row>
    <row r="86" spans="1:25">
      <c r="Y86" s="389"/>
    </row>
  </sheetData>
  <sheetProtection password="CDA1" sheet="1" objects="1" scenarios="1"/>
  <protectedRanges>
    <protectedRange password="C7D8" sqref="N9:N76 P67:P68 P65 P63 P53 P46 P52 P44 P43 P42 P41 P40 P38 O39 P32 P27 P18 P11 T2" name="Scenario Inputs"/>
  </protectedRanges>
  <mergeCells count="2">
    <mergeCell ref="Q7:R7"/>
    <mergeCell ref="W7:X7"/>
  </mergeCells>
  <pageMargins left="0.7" right="0.7" top="0.75" bottom="0.75" header="0.3" footer="0.3"/>
  <pageSetup orientation="portrait" verticalDpi="4" r:id="rId1"/>
  <ignoredErrors>
    <ignoredError sqref="X82" formula="1"/>
  </ignoredErrors>
  <legacyDrawing r:id="rId2"/>
</worksheet>
</file>

<file path=xl/worksheets/sheet3.xml><?xml version="1.0" encoding="utf-8"?>
<worksheet xmlns="http://schemas.openxmlformats.org/spreadsheetml/2006/main" xmlns:r="http://schemas.openxmlformats.org/officeDocument/2006/relationships">
  <sheetPr codeName="Sheet2">
    <tabColor rgb="FFFF0000"/>
  </sheetPr>
  <dimension ref="A1:Y40"/>
  <sheetViews>
    <sheetView topLeftCell="D1" workbookViewId="0">
      <selection activeCell="P17" sqref="P17"/>
    </sheetView>
  </sheetViews>
  <sheetFormatPr defaultRowHeight="12.75"/>
  <cols>
    <col min="1" max="1" width="10.140625" style="370" customWidth="1"/>
    <col min="2" max="2" width="55.42578125" style="7" customWidth="1"/>
    <col min="3" max="3" width="16" style="7" customWidth="1"/>
    <col min="4" max="4" width="9.140625" style="7"/>
    <col min="5" max="5" width="10.42578125" style="7" customWidth="1"/>
    <col min="6" max="6" width="9.85546875" style="7" customWidth="1"/>
    <col min="7" max="7" width="9.85546875" style="16" customWidth="1"/>
    <col min="8" max="8" width="10.28515625" style="7" bestFit="1" customWidth="1"/>
    <col min="9" max="9" width="11.5703125" style="16" customWidth="1"/>
    <col min="10" max="10" width="10.42578125" style="7" customWidth="1"/>
    <col min="11" max="15" width="10.42578125" style="16" customWidth="1"/>
    <col min="16" max="17" width="9.140625" style="16"/>
    <col min="18" max="18" width="13.140625" style="16" customWidth="1"/>
    <col min="19" max="19" width="9.140625" style="244"/>
    <col min="20" max="16384" width="9.140625" style="7"/>
  </cols>
  <sheetData>
    <row r="1" spans="1:25" s="16" customFormat="1" ht="15">
      <c r="A1" s="370"/>
      <c r="C1" s="259"/>
      <c r="D1" s="212" t="s">
        <v>43</v>
      </c>
      <c r="E1" s="259"/>
      <c r="F1" s="259"/>
      <c r="G1" s="259"/>
      <c r="H1" s="259"/>
      <c r="I1" s="259"/>
      <c r="J1" s="264">
        <v>1</v>
      </c>
      <c r="K1" s="213">
        <v>3</v>
      </c>
      <c r="L1" s="213">
        <v>4</v>
      </c>
      <c r="M1" s="213">
        <v>18</v>
      </c>
      <c r="N1" s="264">
        <v>5</v>
      </c>
      <c r="O1" s="264">
        <v>7</v>
      </c>
      <c r="P1" s="264">
        <v>14</v>
      </c>
      <c r="Q1" s="264">
        <v>9</v>
      </c>
      <c r="R1" s="264">
        <v>5</v>
      </c>
      <c r="S1" s="244"/>
      <c r="V1"/>
    </row>
    <row r="2" spans="1:25" s="16" customFormat="1" ht="33">
      <c r="A2" s="371"/>
      <c r="C2" s="259"/>
      <c r="D2" s="265" t="s">
        <v>67</v>
      </c>
      <c r="E2" s="259"/>
      <c r="F2" s="259"/>
      <c r="G2" s="259"/>
      <c r="H2" s="266"/>
      <c r="I2" s="259"/>
      <c r="J2" s="260" t="s">
        <v>69</v>
      </c>
      <c r="K2" s="282" t="s">
        <v>62</v>
      </c>
      <c r="L2" s="285" t="s">
        <v>63</v>
      </c>
      <c r="M2" s="287" t="s">
        <v>80</v>
      </c>
      <c r="N2" s="263" t="s">
        <v>83</v>
      </c>
      <c r="O2" s="281" t="s">
        <v>73</v>
      </c>
      <c r="P2" s="261" t="s">
        <v>60</v>
      </c>
      <c r="Q2" s="262" t="s">
        <v>58</v>
      </c>
      <c r="R2" s="260" t="s">
        <v>64</v>
      </c>
      <c r="S2" s="244"/>
      <c r="V2"/>
    </row>
    <row r="3" spans="1:25" s="224" customFormat="1" ht="60">
      <c r="A3" s="372" t="s">
        <v>75</v>
      </c>
      <c r="B3" s="279"/>
      <c r="C3" s="278"/>
      <c r="D3" s="278"/>
      <c r="E3" s="273" t="s">
        <v>91</v>
      </c>
      <c r="F3" s="273" t="s">
        <v>92</v>
      </c>
      <c r="G3" s="288" t="s">
        <v>41</v>
      </c>
      <c r="H3" s="274" t="s">
        <v>93</v>
      </c>
      <c r="I3" s="22" t="s">
        <v>153</v>
      </c>
      <c r="J3" s="275" t="s">
        <v>90</v>
      </c>
      <c r="K3" s="20" t="s">
        <v>96</v>
      </c>
      <c r="L3" s="20" t="s">
        <v>36</v>
      </c>
      <c r="M3" s="394" t="s">
        <v>227</v>
      </c>
      <c r="N3" s="275" t="s">
        <v>128</v>
      </c>
      <c r="O3" s="77" t="s">
        <v>127</v>
      </c>
      <c r="P3" s="276" t="s">
        <v>16</v>
      </c>
      <c r="Q3" s="277" t="s">
        <v>16</v>
      </c>
      <c r="R3" s="275" t="s">
        <v>126</v>
      </c>
      <c r="T3" s="225"/>
      <c r="U3" s="225"/>
      <c r="V3"/>
    </row>
    <row r="4" spans="1:25" s="9" customFormat="1" ht="17.25">
      <c r="A4" s="373"/>
      <c r="B4" s="245" t="s">
        <v>30</v>
      </c>
      <c r="C4" s="209" t="s">
        <v>19</v>
      </c>
      <c r="D4" s="209" t="s">
        <v>0</v>
      </c>
      <c r="E4" s="119" t="s">
        <v>50</v>
      </c>
      <c r="F4" s="209" t="s">
        <v>17</v>
      </c>
      <c r="G4" s="209" t="s">
        <v>17</v>
      </c>
      <c r="H4" s="119" t="s">
        <v>50</v>
      </c>
      <c r="I4" s="119" t="s">
        <v>50</v>
      </c>
      <c r="J4" s="119" t="s">
        <v>50</v>
      </c>
      <c r="K4" s="120" t="s">
        <v>49</v>
      </c>
      <c r="L4" s="120" t="s">
        <v>50</v>
      </c>
      <c r="M4" s="286" t="s">
        <v>17</v>
      </c>
      <c r="N4" s="209" t="s">
        <v>18</v>
      </c>
      <c r="O4" s="123" t="s">
        <v>48</v>
      </c>
      <c r="P4" s="246" t="s">
        <v>17</v>
      </c>
      <c r="Q4" s="247" t="s">
        <v>17</v>
      </c>
      <c r="R4" s="209" t="s">
        <v>18</v>
      </c>
      <c r="S4" s="248" t="s">
        <v>31</v>
      </c>
      <c r="T4" s="209"/>
      <c r="U4" s="209"/>
      <c r="V4" s="209"/>
      <c r="W4" s="245"/>
      <c r="X4" s="245"/>
      <c r="Y4" s="245"/>
    </row>
    <row r="5" spans="1:25">
      <c r="A5" s="369" t="s">
        <v>21</v>
      </c>
      <c r="B5" s="284" t="s">
        <v>160</v>
      </c>
      <c r="C5" s="369" t="s">
        <v>94</v>
      </c>
      <c r="D5" s="227">
        <v>45.5</v>
      </c>
      <c r="E5" s="15">
        <f>E8-E6-E7</f>
        <v>177</v>
      </c>
      <c r="F5" s="227"/>
      <c r="G5" s="227">
        <v>7.0000000000000007E-2</v>
      </c>
      <c r="H5" s="226">
        <f>E5</f>
        <v>177</v>
      </c>
      <c r="I5" s="227"/>
      <c r="J5" s="227"/>
      <c r="K5" s="227"/>
      <c r="L5" s="227">
        <f>H5</f>
        <v>177</v>
      </c>
      <c r="M5" s="235">
        <f>Aug.20.2012_Model!N14</f>
        <v>2.8902953586497887E-2</v>
      </c>
      <c r="N5" s="227"/>
      <c r="O5" s="235">
        <f>(D5-D6)*Unmeasured_Gains_Losses!$C$18</f>
        <v>-2.8766826666666594</v>
      </c>
      <c r="P5" s="269">
        <f>Aug.20.2012_Model!P15</f>
        <v>7.3626380159175372E-2</v>
      </c>
      <c r="Q5" s="271">
        <f>((G5*E5)+(O5*Aug.20.2012_Model!T3))/H5</f>
        <v>6.6986817325800391E-2</v>
      </c>
      <c r="R5" s="235">
        <f>(Aug.20.2012_Model!S15/-1)-R6</f>
        <v>62.459972399999991</v>
      </c>
      <c r="S5" s="272" t="s">
        <v>149</v>
      </c>
      <c r="T5" s="227"/>
      <c r="U5" s="227"/>
      <c r="V5" s="227"/>
    </row>
    <row r="6" spans="1:25">
      <c r="A6" s="374" t="s">
        <v>21</v>
      </c>
      <c r="B6" s="7" t="s">
        <v>211</v>
      </c>
      <c r="C6" s="227"/>
      <c r="D6" s="227">
        <v>44</v>
      </c>
      <c r="E6" s="236">
        <v>-16</v>
      </c>
      <c r="F6" s="227"/>
      <c r="G6" s="227">
        <v>0.06</v>
      </c>
      <c r="H6" s="236">
        <f>E6+E5</f>
        <v>161</v>
      </c>
      <c r="I6" s="227"/>
      <c r="J6" s="227"/>
      <c r="K6" s="227"/>
      <c r="L6" s="227">
        <f t="shared" ref="L6:L7" si="0">H6</f>
        <v>161</v>
      </c>
      <c r="M6" s="235">
        <f>Aug.20.2012_Model!N15</f>
        <v>3.4528832630098448E-2</v>
      </c>
      <c r="N6" s="227"/>
      <c r="O6" s="235">
        <f>(D6-D7)*Unmeasured_Gains_Losses!$C$18</f>
        <v>-2.3013461333333329</v>
      </c>
      <c r="P6" s="269">
        <f>((P5*L5)+(E6*P5))/L6</f>
        <v>7.3626380159175386E-2</v>
      </c>
      <c r="Q6" s="271">
        <f>((G6*E6)+(Q5*L5)+(O6*Aug.20.2012_Model!$T$3))/L6</f>
        <v>6.5031055900621137E-2</v>
      </c>
      <c r="R6" s="235">
        <f>E6*G6*Aug.20.2012_Model!$T$2</f>
        <v>-5.178028799999999</v>
      </c>
      <c r="S6" s="272"/>
      <c r="T6" s="235"/>
      <c r="U6" s="227"/>
      <c r="V6" s="227"/>
    </row>
    <row r="7" spans="1:25">
      <c r="A7" s="374" t="s">
        <v>21</v>
      </c>
      <c r="B7" s="12" t="s">
        <v>219</v>
      </c>
      <c r="C7" s="227"/>
      <c r="D7" s="228">
        <v>42.8</v>
      </c>
      <c r="E7" s="236">
        <v>0</v>
      </c>
      <c r="F7" s="227"/>
      <c r="G7" s="227">
        <v>0.06</v>
      </c>
      <c r="H7" s="236">
        <f>H6+E7</f>
        <v>161</v>
      </c>
      <c r="I7" s="227"/>
      <c r="J7" s="227"/>
      <c r="K7" s="227"/>
      <c r="L7" s="227">
        <f t="shared" si="0"/>
        <v>161</v>
      </c>
      <c r="M7" s="235">
        <f>Aug.20.2012_Model!N16</f>
        <v>4.2405063291139265E-2</v>
      </c>
      <c r="N7" s="227"/>
      <c r="O7" s="235">
        <f>(D7-D8)*Unmeasured_Gains_Losses!$C$18</f>
        <v>0</v>
      </c>
      <c r="P7" s="269">
        <f t="shared" ref="P7" si="1">((P6*L6)+(E7*P6))/L7</f>
        <v>7.3626380159175386E-2</v>
      </c>
      <c r="Q7" s="271">
        <f>((G7*E7)+(Q6*L6)+(O7*Aug.20.2012_Model!$T$3))/L7</f>
        <v>6.5031055900621137E-2</v>
      </c>
      <c r="R7" s="235">
        <f>E7*G7*Aug.20.2012_Model!$T$2</f>
        <v>0</v>
      </c>
      <c r="S7" s="272"/>
      <c r="T7" s="227"/>
      <c r="U7" s="227"/>
      <c r="V7" s="227"/>
    </row>
    <row r="8" spans="1:25">
      <c r="A8" s="369" t="s">
        <v>47</v>
      </c>
      <c r="B8" s="220" t="s">
        <v>214</v>
      </c>
      <c r="C8" s="229">
        <v>13206300</v>
      </c>
      <c r="D8" s="230">
        <v>42.8</v>
      </c>
      <c r="E8" s="237">
        <v>161</v>
      </c>
      <c r="F8" s="289">
        <v>0.06</v>
      </c>
      <c r="G8" s="289"/>
      <c r="H8" s="237">
        <v>161</v>
      </c>
      <c r="I8" s="280">
        <v>23.73</v>
      </c>
      <c r="J8" s="280">
        <f>H8-H7</f>
        <v>0</v>
      </c>
      <c r="K8" s="238">
        <v>0</v>
      </c>
      <c r="L8" s="238">
        <f>L7+K8</f>
        <v>161</v>
      </c>
      <c r="M8" s="235">
        <f>Aug.20.2012_Model!N17</f>
        <v>4.5893108298171559E-2</v>
      </c>
      <c r="N8" s="332">
        <f>R8-(SUM(R5:R7))</f>
        <v>-5.1780287999999928</v>
      </c>
      <c r="O8" s="239">
        <v>0</v>
      </c>
      <c r="P8" s="267">
        <f>((P7*L7)+(K8*M8))/L8</f>
        <v>7.3626380159175386E-2</v>
      </c>
      <c r="Q8" s="271">
        <f>((Q7*L7)+(O8*Aug.20.2012_Model!$T$3))/L8</f>
        <v>6.5031055900621137E-2</v>
      </c>
      <c r="R8" s="239">
        <f>E8*F8*Aug.20.2012_Model!$T$2</f>
        <v>52.103914799999998</v>
      </c>
      <c r="S8" s="249" t="s">
        <v>150</v>
      </c>
      <c r="T8" s="227"/>
      <c r="U8" s="227"/>
      <c r="V8" s="227"/>
    </row>
    <row r="9" spans="1:25" s="222" customFormat="1">
      <c r="A9" s="375" t="s">
        <v>22</v>
      </c>
      <c r="B9" s="222" t="s">
        <v>212</v>
      </c>
      <c r="C9" s="231">
        <v>13206400</v>
      </c>
      <c r="D9" s="232">
        <v>42.7</v>
      </c>
      <c r="E9" s="240">
        <v>40</v>
      </c>
      <c r="F9" s="290">
        <v>0.09</v>
      </c>
      <c r="G9" s="290"/>
      <c r="H9" s="240">
        <f>H8+E9</f>
        <v>201</v>
      </c>
      <c r="I9" s="241"/>
      <c r="J9" s="241"/>
      <c r="K9" s="241">
        <f>(D8-D9)*Unmeasured_Gains_Losses!$B$19</f>
        <v>2.97899999999983</v>
      </c>
      <c r="L9" s="241">
        <f>L8+K9+E9</f>
        <v>203.97899999999984</v>
      </c>
      <c r="M9" s="242">
        <f>Aug.20.2012_Model!N18</f>
        <v>4.9718706047819979E-2</v>
      </c>
      <c r="N9" s="242"/>
      <c r="O9" s="242">
        <f>(D8-D9)*Unmeasured_Gains_Losses!$C$19</f>
        <v>2.8345932033998391</v>
      </c>
      <c r="P9" s="268">
        <f>((P8*L8)+(E9*F9)+(K9*M9))/L9</f>
        <v>7.6488066080055775E-2</v>
      </c>
      <c r="Q9" s="270">
        <f>((E9*F9)+(Q8*L8)+(O9*Aug.20.2012_Model!$T$3))/L9</f>
        <v>7.1554081547610213E-2</v>
      </c>
      <c r="R9" s="242">
        <f>E9*F9*Aug.20.2012_Model!$T$2</f>
        <v>19.417607999999998</v>
      </c>
      <c r="S9" s="249" t="s">
        <v>152</v>
      </c>
      <c r="T9" s="232"/>
      <c r="U9" s="242"/>
      <c r="V9" s="232"/>
    </row>
    <row r="10" spans="1:25" s="222" customFormat="1">
      <c r="A10" s="375" t="s">
        <v>22</v>
      </c>
      <c r="B10" s="223" t="s">
        <v>213</v>
      </c>
      <c r="C10" s="231">
        <v>13208000</v>
      </c>
      <c r="D10" s="233">
        <v>42.5</v>
      </c>
      <c r="E10" s="240">
        <v>5.21</v>
      </c>
      <c r="F10" s="290">
        <v>7.0000000000000007E-2</v>
      </c>
      <c r="G10" s="290"/>
      <c r="H10" s="240">
        <f>H9+E10</f>
        <v>206.21</v>
      </c>
      <c r="I10" s="241"/>
      <c r="J10" s="241"/>
      <c r="K10" s="241">
        <f>(D9-D10)*Unmeasured_Gains_Losses!$B$19</f>
        <v>5.9580000000000828</v>
      </c>
      <c r="L10" s="241">
        <f t="shared" ref="L10:L11" si="2">L9+K10+E10</f>
        <v>215.14699999999993</v>
      </c>
      <c r="M10" s="242">
        <f>Aug.20.2012_Model!N19</f>
        <v>5.7144866385372681E-2</v>
      </c>
      <c r="N10" s="242"/>
      <c r="O10" s="242">
        <f>(D9-D10)*Unmeasured_Gains_Losses!$C$19</f>
        <v>5.6691864068000806</v>
      </c>
      <c r="P10" s="268">
        <f>((P9*L9)+(E10*F10)+(K10*M10))/L10</f>
        <v>7.5795285757494849E-2</v>
      </c>
      <c r="Q10" s="270">
        <f>((E10*F10)+(Q9*L9)+(O10*Aug.20.2012_Model!$T$3))/L10</f>
        <v>7.4420233607719322E-2</v>
      </c>
      <c r="R10" s="242">
        <f>E10*F10*Aug.20.2012_Model!$T$2</f>
        <v>1.967111566</v>
      </c>
      <c r="S10" s="249" t="s">
        <v>150</v>
      </c>
      <c r="T10" s="232"/>
      <c r="U10" s="242"/>
      <c r="V10" s="232"/>
    </row>
    <row r="11" spans="1:25">
      <c r="A11" s="374" t="s">
        <v>21</v>
      </c>
      <c r="B11" s="7" t="s">
        <v>215</v>
      </c>
      <c r="C11" s="14"/>
      <c r="D11" s="227">
        <v>42.1</v>
      </c>
      <c r="E11" s="236">
        <v>-8</v>
      </c>
      <c r="F11" s="206"/>
      <c r="G11" s="206">
        <v>0.08</v>
      </c>
      <c r="H11" s="236">
        <f>H10+E11</f>
        <v>198.21</v>
      </c>
      <c r="I11" s="227"/>
      <c r="J11" s="227"/>
      <c r="K11" s="283">
        <f>(D10-D11)*Unmeasured_Gains_Losses!$B$19</f>
        <v>11.915999999999954</v>
      </c>
      <c r="L11" s="283">
        <f t="shared" si="2"/>
        <v>219.06299999999987</v>
      </c>
      <c r="M11" s="235">
        <f>Aug.20.2012_Model!N20</f>
        <v>6.198312236286916E-2</v>
      </c>
      <c r="N11" s="235"/>
      <c r="O11" s="291">
        <f>(D10-D11)*Unmeasured_Gains_Losses!$C$19</f>
        <v>11.33837281359996</v>
      </c>
      <c r="P11" s="269">
        <f t="shared" ref="P11" si="3">((P10*L10)+(E11*F11)+(K11*M11))/L11</f>
        <v>7.7811950128244822E-2</v>
      </c>
      <c r="Q11" s="271">
        <f>((G11*E11)+(Q10*L10)+(O11*Aug.20.2012_Model!$T$3))/L11</f>
        <v>7.9764314375316628E-2</v>
      </c>
      <c r="R11" s="235">
        <f>G11*E11*Aug.20.2012_Model!T2</f>
        <v>-3.4520191999999996</v>
      </c>
      <c r="S11" s="272"/>
      <c r="T11" s="227"/>
      <c r="U11" s="227"/>
      <c r="V11" s="227"/>
    </row>
    <row r="12" spans="1:25">
      <c r="A12" s="369" t="s">
        <v>47</v>
      </c>
      <c r="B12" s="221" t="s">
        <v>216</v>
      </c>
      <c r="C12" s="229">
        <v>13208600</v>
      </c>
      <c r="D12" s="234">
        <v>41.8</v>
      </c>
      <c r="E12" s="237">
        <v>228</v>
      </c>
      <c r="F12" s="289">
        <v>0.08</v>
      </c>
      <c r="G12" s="289"/>
      <c r="H12" s="238">
        <f>H11</f>
        <v>198.21</v>
      </c>
      <c r="I12" s="238">
        <v>18.670000000000002</v>
      </c>
      <c r="J12" s="238">
        <f>E12-(SUM(E8:E11))</f>
        <v>29.789999999999992</v>
      </c>
      <c r="K12" s="238">
        <f>(D11-D12)*Unmeasured_Gains_Losses!$B$19</f>
        <v>8.9370000000001237</v>
      </c>
      <c r="L12" s="238">
        <f>L11+K12</f>
        <v>228</v>
      </c>
      <c r="M12" s="235">
        <f>Aug.20.2012_Model!N21</f>
        <v>6.198312236286916E-2</v>
      </c>
      <c r="N12" s="239">
        <f>R12-(SUM(R8:R11))</f>
        <v>28.345932034</v>
      </c>
      <c r="O12" s="239">
        <f>(D11-D12)*Unmeasured_Gains_Losses!$C$19</f>
        <v>8.5037796102001213</v>
      </c>
      <c r="P12" s="267">
        <f>((P11*L11)+(K12*M12))/L12</f>
        <v>7.7191501734652002E-2</v>
      </c>
      <c r="Q12" s="271">
        <f>((Q11*L11)+(O12*Aug.20.2012_Model!$T$3))/L12</f>
        <v>8.3552631578947351E-2</v>
      </c>
      <c r="R12" s="239">
        <f>E12*F12*Aug.20.2012_Model!$T$2</f>
        <v>98.382547200000005</v>
      </c>
      <c r="S12" s="249" t="s">
        <v>150</v>
      </c>
      <c r="T12" s="227"/>
      <c r="U12" s="227"/>
      <c r="V12" s="227"/>
    </row>
    <row r="13" spans="1:25">
      <c r="A13" s="374" t="s">
        <v>21</v>
      </c>
      <c r="B13" s="8" t="s">
        <v>217</v>
      </c>
      <c r="C13" s="227"/>
      <c r="D13" s="227">
        <v>41.5</v>
      </c>
      <c r="E13" s="236">
        <v>-117</v>
      </c>
      <c r="F13" s="235"/>
      <c r="G13" s="235">
        <v>0.08</v>
      </c>
      <c r="H13" s="243">
        <f>H12+E13</f>
        <v>81.210000000000008</v>
      </c>
      <c r="I13" s="227"/>
      <c r="J13" s="227"/>
      <c r="K13" s="283"/>
      <c r="L13" s="283">
        <f>K13+L12+E13</f>
        <v>111</v>
      </c>
      <c r="M13" s="291">
        <f>Aug.20.2012_Model!N22</f>
        <v>6.4458509142053477E-2</v>
      </c>
      <c r="N13" s="291"/>
      <c r="O13" s="283"/>
      <c r="P13" s="269">
        <f>((P12*L12)+(E13*P12)+(K13*M13))/L13</f>
        <v>7.7191501734651988E-2</v>
      </c>
      <c r="Q13" s="271">
        <f>((G13*E13)+(Q12*L12)+(O13*Aug.20.2012_Model!$T$3))/L13</f>
        <v>8.729729729729728E-2</v>
      </c>
      <c r="R13" s="235">
        <f>E13*G13*Aug.20.2012_Model!$T$2</f>
        <v>-50.485780799999993</v>
      </c>
      <c r="S13" s="272"/>
      <c r="T13" s="227"/>
      <c r="U13" s="227"/>
      <c r="V13" s="227"/>
    </row>
    <row r="14" spans="1:25">
      <c r="A14" s="374" t="s">
        <v>21</v>
      </c>
      <c r="B14" s="7" t="s">
        <v>32</v>
      </c>
      <c r="C14" s="227"/>
      <c r="D14" s="227">
        <v>41.4</v>
      </c>
      <c r="E14" s="236">
        <v>0</v>
      </c>
      <c r="F14" s="235"/>
      <c r="G14" s="235">
        <v>0.08</v>
      </c>
      <c r="H14" s="243">
        <f>H13+E14</f>
        <v>81.210000000000008</v>
      </c>
      <c r="I14" s="227"/>
      <c r="J14" s="227"/>
      <c r="K14" s="283"/>
      <c r="L14" s="283">
        <f>K14+L13+E14</f>
        <v>111</v>
      </c>
      <c r="M14" s="291">
        <f>Aug.20.2012_Model!N23</f>
        <v>6.5021097046413498E-2</v>
      </c>
      <c r="N14" s="291"/>
      <c r="O14" s="283"/>
      <c r="P14" s="269">
        <f>((P13*L13)+(E14*P13)+(K14*M14))/L14</f>
        <v>7.7191501734651988E-2</v>
      </c>
      <c r="Q14" s="271">
        <f>((G14*E14)+(Q13*L13)+(O14*Aug.20.2012_Model!$T$3))/L14</f>
        <v>8.729729729729728E-2</v>
      </c>
      <c r="R14" s="235">
        <f>E14*G14*Aug.20.2012_Model!$T$2</f>
        <v>0</v>
      </c>
      <c r="S14" s="272"/>
      <c r="T14" s="227"/>
      <c r="U14" s="227"/>
      <c r="V14" s="227"/>
    </row>
    <row r="15" spans="1:25">
      <c r="A15" s="374" t="s">
        <v>21</v>
      </c>
      <c r="B15" s="7" t="s">
        <v>218</v>
      </c>
      <c r="C15" s="227"/>
      <c r="D15" s="243">
        <v>41.2</v>
      </c>
      <c r="E15" s="236">
        <v>-19</v>
      </c>
      <c r="F15" s="235"/>
      <c r="G15" s="235">
        <v>0.08</v>
      </c>
      <c r="H15" s="243">
        <f>H14+E15</f>
        <v>62.210000000000008</v>
      </c>
      <c r="I15" s="227"/>
      <c r="J15" s="227"/>
      <c r="K15" s="283"/>
      <c r="L15" s="243">
        <f>K15+L14+E15</f>
        <v>92</v>
      </c>
      <c r="M15" s="235">
        <f>Aug.20.2012_Model!N24</f>
        <v>6.6146272855133553E-2</v>
      </c>
      <c r="N15" s="235"/>
      <c r="O15" s="283"/>
      <c r="P15" s="269">
        <f>((P14*L14)+(E15*P14)+(K15*M15))/L15</f>
        <v>7.7191501734651974E-2</v>
      </c>
      <c r="Q15" s="271">
        <f>((G15*E15)+(Q14*L14)+(O15*Aug.20.2012_Model!$T$3))/L15</f>
        <v>8.8804347826086941E-2</v>
      </c>
      <c r="R15" s="235">
        <f>E15*G15*Aug.20.2012_Model!$T$2</f>
        <v>-8.1985455999999992</v>
      </c>
      <c r="S15" s="272" t="s">
        <v>151</v>
      </c>
      <c r="T15" s="227"/>
      <c r="U15" s="227"/>
      <c r="V15" s="227"/>
    </row>
    <row r="16" spans="1:25">
      <c r="A16" s="369" t="s">
        <v>22</v>
      </c>
      <c r="B16" s="220" t="s">
        <v>97</v>
      </c>
      <c r="C16" s="230" t="s">
        <v>94</v>
      </c>
      <c r="D16" s="230">
        <v>40.200000000000003</v>
      </c>
      <c r="E16" s="252">
        <f>L16</f>
        <v>92</v>
      </c>
      <c r="F16" s="239"/>
      <c r="G16" s="239">
        <v>0.08</v>
      </c>
      <c r="H16" s="238"/>
      <c r="I16" s="230"/>
      <c r="J16" s="238"/>
      <c r="K16" s="238"/>
      <c r="L16" s="238">
        <v>92</v>
      </c>
      <c r="M16" s="235"/>
      <c r="N16" s="239"/>
      <c r="O16" s="238"/>
      <c r="P16" s="269">
        <f>P15</f>
        <v>7.7191501734651974E-2</v>
      </c>
      <c r="Q16" s="271">
        <f>Q15</f>
        <v>8.8804347826086941E-2</v>
      </c>
      <c r="R16" s="239"/>
      <c r="T16" s="227"/>
      <c r="U16" s="227"/>
      <c r="V16" s="227"/>
    </row>
    <row r="17" spans="1:22" s="16" customFormat="1">
      <c r="A17" s="370"/>
      <c r="B17" s="8"/>
      <c r="C17" s="227"/>
      <c r="D17" s="227"/>
      <c r="E17" s="207"/>
      <c r="F17" s="235"/>
      <c r="G17" s="235"/>
      <c r="H17" s="243"/>
      <c r="I17" s="227"/>
      <c r="J17" s="227"/>
      <c r="K17" s="238"/>
      <c r="L17" s="243"/>
      <c r="M17" s="227"/>
      <c r="N17" s="235"/>
      <c r="O17" s="235"/>
      <c r="P17" s="235"/>
      <c r="Q17" s="235"/>
      <c r="R17" s="235"/>
      <c r="S17" s="272"/>
      <c r="T17" s="227"/>
      <c r="U17" s="227"/>
      <c r="V17" s="227"/>
    </row>
    <row r="18" spans="1:22" s="16" customFormat="1" ht="15">
      <c r="A18" s="370"/>
      <c r="B18"/>
      <c r="C18"/>
      <c r="D18"/>
      <c r="E18"/>
      <c r="F18"/>
      <c r="G18" s="235"/>
      <c r="H18" s="243"/>
      <c r="I18" s="227"/>
      <c r="J18" s="227"/>
      <c r="K18" s="227"/>
      <c r="L18" s="235"/>
      <c r="M18" s="227"/>
      <c r="N18" s="235"/>
      <c r="O18" s="235"/>
      <c r="P18" s="235"/>
      <c r="Q18" s="235"/>
      <c r="R18" s="235"/>
      <c r="S18" s="272"/>
      <c r="T18" s="227"/>
      <c r="U18" s="227"/>
      <c r="V18" s="227"/>
    </row>
    <row r="19" spans="1:22" s="16" customFormat="1" ht="15">
      <c r="A19" s="370"/>
      <c r="B19"/>
      <c r="C19"/>
      <c r="D19"/>
      <c r="E19"/>
      <c r="F19"/>
      <c r="G19" s="235"/>
      <c r="H19" s="243"/>
      <c r="I19" s="227"/>
      <c r="J19" s="227"/>
      <c r="K19" s="227"/>
      <c r="L19" s="235"/>
      <c r="M19" s="227"/>
      <c r="N19" s="235"/>
      <c r="O19" s="235"/>
      <c r="P19" s="235"/>
      <c r="Q19" s="235"/>
      <c r="R19" s="235"/>
      <c r="S19" s="272"/>
      <c r="T19" s="227"/>
      <c r="U19" s="227"/>
      <c r="V19" s="227"/>
    </row>
    <row r="20" spans="1:22" ht="15">
      <c r="B20"/>
      <c r="C20"/>
      <c r="D20"/>
      <c r="E20"/>
      <c r="F20"/>
    </row>
    <row r="21" spans="1:22" ht="15">
      <c r="B21"/>
      <c r="C21"/>
      <c r="D21"/>
      <c r="E21"/>
      <c r="F21"/>
      <c r="G21" s="227"/>
    </row>
    <row r="22" spans="1:22" ht="15">
      <c r="B22"/>
      <c r="C22"/>
      <c r="D22"/>
      <c r="E22"/>
      <c r="F22"/>
      <c r="G22" s="11"/>
    </row>
    <row r="23" spans="1:22" ht="15">
      <c r="B23"/>
      <c r="C23"/>
      <c r="D23"/>
      <c r="E23"/>
      <c r="F23"/>
      <c r="G23" s="252"/>
      <c r="H23" s="98"/>
      <c r="M23" s="10"/>
    </row>
    <row r="24" spans="1:22" ht="15">
      <c r="B24"/>
      <c r="C24"/>
      <c r="D24"/>
      <c r="E24"/>
      <c r="F24"/>
      <c r="G24" s="254"/>
      <c r="H24" s="99"/>
    </row>
    <row r="25" spans="1:22" ht="15">
      <c r="B25"/>
      <c r="C25"/>
      <c r="D25"/>
      <c r="E25"/>
      <c r="F25"/>
    </row>
    <row r="26" spans="1:22">
      <c r="I26" s="284"/>
    </row>
    <row r="27" spans="1:22">
      <c r="I27" s="10"/>
    </row>
    <row r="28" spans="1:22">
      <c r="I28" s="10"/>
    </row>
    <row r="29" spans="1:22">
      <c r="I29" s="10"/>
    </row>
    <row r="30" spans="1:22">
      <c r="I30" s="10"/>
    </row>
    <row r="31" spans="1:22">
      <c r="I31" s="10"/>
    </row>
    <row r="32" spans="1:22">
      <c r="I32" s="10"/>
    </row>
    <row r="33" spans="9:9">
      <c r="I33" s="10"/>
    </row>
    <row r="34" spans="9:9">
      <c r="I34" s="10"/>
    </row>
    <row r="35" spans="9:9">
      <c r="I35" s="10"/>
    </row>
    <row r="36" spans="9:9">
      <c r="I36" s="10"/>
    </row>
    <row r="37" spans="9:9">
      <c r="I37" s="10"/>
    </row>
    <row r="38" spans="9:9">
      <c r="I38" s="10"/>
    </row>
    <row r="39" spans="9:9">
      <c r="I39" s="10"/>
    </row>
    <row r="40" spans="9:9">
      <c r="I40" s="10"/>
    </row>
  </sheetData>
  <sheetProtection password="CDA1" sheet="1" objects="1" scenarios="1"/>
  <pageMargins left="0.7" right="0.7" top="0.75" bottom="0.75" header="0.3" footer="0.3"/>
  <pageSetup orientation="portrait" verticalDpi="4" r:id="rId1"/>
  <legacyDrawing r:id="rId2"/>
</worksheet>
</file>

<file path=xl/worksheets/sheet4.xml><?xml version="1.0" encoding="utf-8"?>
<worksheet xmlns="http://schemas.openxmlformats.org/spreadsheetml/2006/main" xmlns:r="http://schemas.openxmlformats.org/officeDocument/2006/relationships">
  <sheetPr codeName="Sheet5">
    <tabColor theme="8" tint="0.39997558519241921"/>
  </sheetPr>
  <dimension ref="A1:J19"/>
  <sheetViews>
    <sheetView workbookViewId="0">
      <selection activeCell="H22" sqref="H22"/>
    </sheetView>
  </sheetViews>
  <sheetFormatPr defaultRowHeight="15"/>
  <cols>
    <col min="1" max="1" width="21.42578125" style="30" bestFit="1" customWidth="1"/>
    <col min="2" max="4" width="9.85546875" customWidth="1"/>
    <col min="6" max="6" width="9.85546875" customWidth="1"/>
    <col min="7" max="7" width="10.42578125" customWidth="1"/>
    <col min="8" max="8" width="13.5703125" style="30" customWidth="1"/>
    <col min="9" max="9" width="10.28515625" bestFit="1" customWidth="1"/>
    <col min="10" max="10" width="10.28515625" style="30" customWidth="1"/>
  </cols>
  <sheetData>
    <row r="1" spans="1:10" ht="15" customHeight="1">
      <c r="B1" s="430" t="s">
        <v>108</v>
      </c>
      <c r="C1" s="431"/>
      <c r="D1" s="431"/>
      <c r="E1" s="431"/>
      <c r="F1" s="431"/>
      <c r="G1" s="432"/>
      <c r="H1" s="61"/>
    </row>
    <row r="2" spans="1:10" s="30" customFormat="1">
      <c r="A2" s="212" t="s">
        <v>43</v>
      </c>
      <c r="B2" s="297">
        <v>2</v>
      </c>
      <c r="C2" s="298">
        <v>6</v>
      </c>
      <c r="D2" s="298"/>
      <c r="E2" s="298"/>
      <c r="F2" s="298">
        <v>1</v>
      </c>
      <c r="G2" s="299">
        <v>5</v>
      </c>
      <c r="H2" s="385"/>
    </row>
    <row r="3" spans="1:10" s="30" customFormat="1" ht="16.5">
      <c r="A3" s="212" t="s">
        <v>67</v>
      </c>
      <c r="B3" s="293" t="s">
        <v>106</v>
      </c>
      <c r="C3" s="294" t="s">
        <v>107</v>
      </c>
      <c r="D3" s="295"/>
      <c r="E3" s="295"/>
      <c r="F3" s="295" t="s">
        <v>69</v>
      </c>
      <c r="G3" s="296" t="s">
        <v>83</v>
      </c>
      <c r="H3" s="386"/>
    </row>
    <row r="4" spans="1:10" ht="69" customHeight="1">
      <c r="B4" s="321" t="s">
        <v>99</v>
      </c>
      <c r="C4" s="322" t="s">
        <v>101</v>
      </c>
      <c r="D4" s="322" t="s">
        <v>103</v>
      </c>
      <c r="E4" s="322" t="s">
        <v>102</v>
      </c>
      <c r="F4" s="322" t="s">
        <v>98</v>
      </c>
      <c r="G4" s="323" t="s">
        <v>100</v>
      </c>
      <c r="H4" s="387"/>
      <c r="I4" s="387"/>
      <c r="J4" s="387"/>
    </row>
    <row r="5" spans="1:10" s="30" customFormat="1" ht="17.25">
      <c r="B5" s="324" t="s">
        <v>131</v>
      </c>
      <c r="C5" s="325" t="s">
        <v>18</v>
      </c>
      <c r="D5" s="325" t="s">
        <v>104</v>
      </c>
      <c r="E5" s="325" t="s">
        <v>104</v>
      </c>
      <c r="F5" s="325" t="s">
        <v>131</v>
      </c>
      <c r="G5" s="326" t="s">
        <v>18</v>
      </c>
      <c r="H5" s="388"/>
    </row>
    <row r="6" spans="1:10">
      <c r="B6" s="376">
        <f t="shared" ref="B6:B17" si="0">F6/(D6-E6)</f>
        <v>-10.411985018726568</v>
      </c>
      <c r="C6" s="377">
        <f>G6/(D6-E6)</f>
        <v>-7.0916495693363932E-2</v>
      </c>
      <c r="D6" s="378">
        <v>50.17</v>
      </c>
      <c r="E6" s="378">
        <v>47.5</v>
      </c>
      <c r="F6" s="378">
        <f>Aug.20.2012_Model!K13</f>
        <v>-27.799999999999955</v>
      </c>
      <c r="G6" s="379">
        <f>Aug.20.2012_Model!T13</f>
        <v>-0.18934704350128181</v>
      </c>
      <c r="H6" s="383"/>
      <c r="I6" s="1"/>
      <c r="J6" s="1"/>
    </row>
    <row r="7" spans="1:10">
      <c r="B7" s="376">
        <f t="shared" si="0"/>
        <v>4.4893617021276615</v>
      </c>
      <c r="C7" s="377">
        <f t="shared" ref="C7:C17" si="1">G7/(D7-E7)</f>
        <v>20.207165582978718</v>
      </c>
      <c r="D7" s="378">
        <v>47.5</v>
      </c>
      <c r="E7" s="378">
        <v>42.8</v>
      </c>
      <c r="F7" s="378">
        <f>Aug.20.2012_Model!K23</f>
        <v>21.100000000000023</v>
      </c>
      <c r="G7" s="379">
        <f>Aug.20.2012_Model!T23</f>
        <v>94.973678240000027</v>
      </c>
      <c r="H7" s="383"/>
      <c r="I7" s="1"/>
      <c r="J7" s="1"/>
    </row>
    <row r="8" spans="1:10">
      <c r="B8" s="376">
        <f t="shared" si="0"/>
        <v>74.607843137255216</v>
      </c>
      <c r="C8" s="377">
        <f t="shared" si="1"/>
        <v>-85.100099549019347</v>
      </c>
      <c r="D8" s="377">
        <v>42.8</v>
      </c>
      <c r="E8" s="377">
        <v>41.78</v>
      </c>
      <c r="F8" s="377">
        <f>Aug.20.2012_Model!K28</f>
        <v>76.100000000000023</v>
      </c>
      <c r="G8" s="379">
        <f>Aug.20.2012_Model!T28</f>
        <v>-86.802101539999398</v>
      </c>
      <c r="H8" s="383"/>
      <c r="I8" s="19"/>
      <c r="J8" s="19"/>
    </row>
    <row r="9" spans="1:10">
      <c r="B9" s="376">
        <f t="shared" si="0"/>
        <v>-24.413145539906075</v>
      </c>
      <c r="C9" s="377">
        <f t="shared" si="1"/>
        <v>-24.943067136150237</v>
      </c>
      <c r="D9" s="377">
        <v>41.78</v>
      </c>
      <c r="E9" s="377">
        <v>39.65</v>
      </c>
      <c r="F9" s="377">
        <f>Aug.20.2012_Model!K31</f>
        <v>-52</v>
      </c>
      <c r="G9" s="379">
        <f>Aug.20.2012_Model!T31</f>
        <v>-53.128733000000068</v>
      </c>
      <c r="H9" s="383"/>
      <c r="I9" s="19"/>
      <c r="J9" s="19"/>
    </row>
    <row r="10" spans="1:10">
      <c r="B10" s="376">
        <f t="shared" si="0"/>
        <v>0.12615384615385386</v>
      </c>
      <c r="C10" s="377">
        <f t="shared" si="1"/>
        <v>-18.014229425230795</v>
      </c>
      <c r="D10" s="377">
        <v>39.65</v>
      </c>
      <c r="E10" s="377">
        <v>36.4</v>
      </c>
      <c r="F10" s="377">
        <f>Aug.20.2012_Model!K33</f>
        <v>0.41000000000002501</v>
      </c>
      <c r="G10" s="379">
        <f>Aug.20.2012_Model!T33</f>
        <v>-58.54624563200008</v>
      </c>
      <c r="H10" s="383"/>
      <c r="I10" s="19"/>
      <c r="J10" s="19"/>
    </row>
    <row r="11" spans="1:10">
      <c r="B11" s="376">
        <f t="shared" si="0"/>
        <v>-2.0120724346076462</v>
      </c>
      <c r="C11" s="377">
        <f t="shared" si="1"/>
        <v>6.6092797183098861</v>
      </c>
      <c r="D11" s="377">
        <v>36.4</v>
      </c>
      <c r="E11" s="377">
        <v>31.43</v>
      </c>
      <c r="F11" s="377">
        <f>Aug.20.2012_Model!K37</f>
        <v>-10</v>
      </c>
      <c r="G11" s="379">
        <f>Aug.20.2012_Model!T37</f>
        <v>32.848120200000125</v>
      </c>
      <c r="H11" s="383"/>
      <c r="I11" s="1"/>
      <c r="J11" s="1"/>
    </row>
    <row r="12" spans="1:10">
      <c r="B12" s="376">
        <f t="shared" si="0"/>
        <v>41.003861003861005</v>
      </c>
      <c r="C12" s="377">
        <f t="shared" si="1"/>
        <v>54.27100648648657</v>
      </c>
      <c r="D12" s="377">
        <v>31.43</v>
      </c>
      <c r="E12" s="377">
        <v>28.84</v>
      </c>
      <c r="F12" s="377">
        <f>Aug.20.2012_Model!K39</f>
        <v>106.19999999999999</v>
      </c>
      <c r="G12" s="379">
        <f>Aug.20.2012_Model!T39</f>
        <v>140.5619068000002</v>
      </c>
      <c r="H12" s="383"/>
      <c r="I12" s="1"/>
      <c r="J12" s="1"/>
    </row>
    <row r="13" spans="1:10">
      <c r="B13" s="376">
        <f t="shared" si="0"/>
        <v>28.043209876543212</v>
      </c>
      <c r="C13" s="377">
        <f t="shared" si="1"/>
        <v>33.765173783127622</v>
      </c>
      <c r="D13" s="377">
        <v>28.84</v>
      </c>
      <c r="E13" s="377">
        <v>23.98</v>
      </c>
      <c r="F13" s="377">
        <f>Aug.20.2012_Model!K49</f>
        <v>136.29</v>
      </c>
      <c r="G13" s="379">
        <f>Aug.20.2012_Model!T49</f>
        <v>164.09874458600024</v>
      </c>
      <c r="H13" s="383"/>
      <c r="I13" s="1"/>
      <c r="J13" s="1"/>
    </row>
    <row r="14" spans="1:10">
      <c r="B14" s="376">
        <f t="shared" si="0"/>
        <v>4.2549019607843217</v>
      </c>
      <c r="C14" s="377">
        <f t="shared" si="1"/>
        <v>7.7575247647060284</v>
      </c>
      <c r="D14" s="377">
        <v>23.98</v>
      </c>
      <c r="E14" s="377">
        <v>21.43</v>
      </c>
      <c r="F14" s="377">
        <f>Aug.20.2012_Model!K54</f>
        <v>10.850000000000023</v>
      </c>
      <c r="G14" s="379">
        <f>Aug.20.2012_Model!T54</f>
        <v>19.781688150000377</v>
      </c>
      <c r="H14" s="383"/>
      <c r="I14" s="1"/>
      <c r="J14" s="1"/>
    </row>
    <row r="15" spans="1:10">
      <c r="B15" s="376">
        <f t="shared" si="0"/>
        <v>13.934142114384747</v>
      </c>
      <c r="C15" s="377">
        <f t="shared" si="1"/>
        <v>30.586565268630867</v>
      </c>
      <c r="D15" s="377">
        <v>21.43</v>
      </c>
      <c r="E15" s="377">
        <v>15.66</v>
      </c>
      <c r="F15" s="377">
        <f>Aug.20.2012_Model!K61</f>
        <v>80.399999999999977</v>
      </c>
      <c r="G15" s="379">
        <f>Aug.20.2012_Model!T61</f>
        <v>176.48448160000009</v>
      </c>
      <c r="H15" s="383"/>
      <c r="I15" s="1"/>
      <c r="J15" s="1"/>
    </row>
    <row r="16" spans="1:10">
      <c r="B16" s="376">
        <f t="shared" si="0"/>
        <v>5.1959361393323586</v>
      </c>
      <c r="C16" s="377">
        <f t="shared" si="1"/>
        <v>4.4919462467343436</v>
      </c>
      <c r="D16" s="377">
        <v>15.66</v>
      </c>
      <c r="E16" s="377">
        <v>8.77</v>
      </c>
      <c r="F16" s="377">
        <f>Aug.20.2012_Model!K70</f>
        <v>35.799999999999955</v>
      </c>
      <c r="G16" s="379">
        <f>Aug.20.2012_Model!T70</f>
        <v>30.949509639999633</v>
      </c>
      <c r="H16" s="383"/>
      <c r="I16" s="1"/>
      <c r="J16" s="1"/>
    </row>
    <row r="17" spans="1:10" ht="15.75" thickBot="1">
      <c r="B17" s="380">
        <f t="shared" si="0"/>
        <v>15.694164989939638</v>
      </c>
      <c r="C17" s="381">
        <f t="shared" si="1"/>
        <v>18.210790422535268</v>
      </c>
      <c r="D17" s="381">
        <v>8.77</v>
      </c>
      <c r="E17" s="381">
        <v>3.8</v>
      </c>
      <c r="F17" s="381">
        <f>Aug.20.2012_Model!K76</f>
        <v>78</v>
      </c>
      <c r="G17" s="382">
        <f>Aug.20.2012_Model!T76</f>
        <v>90.507628400000272</v>
      </c>
      <c r="H17" s="383"/>
      <c r="I17" s="1"/>
      <c r="J17" s="1"/>
    </row>
    <row r="18" spans="1:10" s="30" customFormat="1">
      <c r="A18" s="300" t="s">
        <v>228</v>
      </c>
      <c r="B18" s="377">
        <f>F18/(D18-E18)</f>
        <v>0</v>
      </c>
      <c r="C18" s="377">
        <f>G18/(D18-E18)</f>
        <v>-1.9177884444444397</v>
      </c>
      <c r="D18" s="377">
        <v>45.5</v>
      </c>
      <c r="E18" s="377">
        <v>42.8</v>
      </c>
      <c r="F18" s="377">
        <f>North_Channel!J8</f>
        <v>0</v>
      </c>
      <c r="G18" s="383">
        <f>North_Channel!N8</f>
        <v>-5.1780287999999928</v>
      </c>
      <c r="H18" s="383"/>
    </row>
    <row r="19" spans="1:10">
      <c r="B19" s="377">
        <f t="shared" ref="B19" si="2">F19/(D19-E19)</f>
        <v>29.789999999999992</v>
      </c>
      <c r="C19" s="377">
        <f t="shared" ref="C19" si="3">G19/(D19-E19)</f>
        <v>28.345932034</v>
      </c>
      <c r="D19" s="377">
        <v>42.8</v>
      </c>
      <c r="E19" s="377">
        <v>41.8</v>
      </c>
      <c r="F19" s="384">
        <f>North_Channel!J12</f>
        <v>29.789999999999992</v>
      </c>
      <c r="G19" s="384">
        <f>North_Channel!N12</f>
        <v>28.345932034</v>
      </c>
      <c r="H19" s="384"/>
    </row>
  </sheetData>
  <sheetProtection password="CDA1" sheet="1" objects="1" scenarios="1"/>
  <sortState ref="I3:L12">
    <sortCondition descending="1" ref="I3:I12"/>
  </sortState>
  <mergeCells count="1">
    <mergeCell ref="B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7">
    <tabColor theme="8" tint="0.39997558519241921"/>
  </sheetPr>
  <dimension ref="A1:H33"/>
  <sheetViews>
    <sheetView workbookViewId="0">
      <selection activeCell="M27" sqref="M27"/>
    </sheetView>
  </sheetViews>
  <sheetFormatPr defaultRowHeight="15"/>
  <cols>
    <col min="2" max="2" width="10" customWidth="1"/>
    <col min="3" max="3" width="10.28515625" customWidth="1"/>
    <col min="4" max="4" width="10.42578125" customWidth="1"/>
  </cols>
  <sheetData>
    <row r="1" spans="1:8" s="205" customFormat="1" ht="26.25">
      <c r="A1" s="203" t="s">
        <v>0</v>
      </c>
      <c r="B1" s="203" t="s">
        <v>134</v>
      </c>
      <c r="C1" s="204" t="s">
        <v>53</v>
      </c>
      <c r="D1" s="204" t="s">
        <v>132</v>
      </c>
      <c r="E1" s="208" t="s">
        <v>230</v>
      </c>
      <c r="F1" s="208" t="s">
        <v>74</v>
      </c>
      <c r="G1" s="327" t="s">
        <v>231</v>
      </c>
      <c r="H1" s="327" t="s">
        <v>232</v>
      </c>
    </row>
    <row r="2" spans="1:8">
      <c r="A2" s="209" t="s">
        <v>76</v>
      </c>
      <c r="B2" s="210" t="s">
        <v>81</v>
      </c>
      <c r="C2" s="211" t="s">
        <v>17</v>
      </c>
      <c r="D2" s="211" t="s">
        <v>18</v>
      </c>
      <c r="E2" s="151" t="s">
        <v>18</v>
      </c>
      <c r="F2" s="151" t="s">
        <v>17</v>
      </c>
      <c r="G2" s="219" t="s">
        <v>17</v>
      </c>
      <c r="H2" s="219" t="s">
        <v>17</v>
      </c>
    </row>
    <row r="3" spans="1:8">
      <c r="A3" s="292">
        <v>61.1</v>
      </c>
      <c r="B3" s="403">
        <v>1605</v>
      </c>
      <c r="C3" s="395">
        <v>1.2E-2</v>
      </c>
      <c r="D3" s="396">
        <f>C3*B3*Aug.20.2012_Model!$T$2</f>
        <v>103.8842028</v>
      </c>
      <c r="E3" s="397"/>
      <c r="F3" s="398">
        <f t="shared" ref="F3:F15" si="0">C3</f>
        <v>1.2E-2</v>
      </c>
      <c r="G3" s="399"/>
      <c r="H3" s="400"/>
    </row>
    <row r="4" spans="1:8">
      <c r="A4" s="404">
        <v>50.17</v>
      </c>
      <c r="B4" s="401">
        <v>752</v>
      </c>
      <c r="C4" s="395">
        <v>1.4999999999999999E-2</v>
      </c>
      <c r="D4" s="396">
        <f>C4*B4*Aug.20.2012_Model!$T$2</f>
        <v>60.841838399999993</v>
      </c>
      <c r="E4" s="397">
        <f>Aug.20.2012_Model!X10</f>
        <v>61.408185299999992</v>
      </c>
      <c r="F4" s="398">
        <f t="shared" si="0"/>
        <v>1.4999999999999999E-2</v>
      </c>
      <c r="G4" s="399">
        <f>Aug.20.2012_Model!Q10</f>
        <v>1.4999999999999999E-2</v>
      </c>
      <c r="H4" s="400">
        <f>Aug.20.2012_Model!W10</f>
        <v>1.4999999999999999E-2</v>
      </c>
    </row>
    <row r="5" spans="1:8">
      <c r="A5" s="404">
        <v>47.5</v>
      </c>
      <c r="B5" s="405">
        <v>778</v>
      </c>
      <c r="C5" s="395">
        <v>7.0000000000000007E-2</v>
      </c>
      <c r="D5" s="396">
        <f>C5*B5*Aug.20.2012_Model!$T$2</f>
        <v>293.74525880000004</v>
      </c>
      <c r="E5" s="397">
        <f>Aug.20.2012_Model!X13</f>
        <v>311.40392977649867</v>
      </c>
      <c r="F5" s="398">
        <f t="shared" si="0"/>
        <v>7.0000000000000007E-2</v>
      </c>
      <c r="G5" s="399">
        <f>Aug.20.2012_Model!Q13</f>
        <v>7.4208304895317628E-2</v>
      </c>
      <c r="H5" s="400">
        <f>Aug.20.2012_Model!W13</f>
        <v>7.6773796937856506E-2</v>
      </c>
    </row>
    <row r="6" spans="1:8">
      <c r="A6" s="404">
        <v>42.8</v>
      </c>
      <c r="B6" s="403">
        <v>564</v>
      </c>
      <c r="C6" s="395">
        <v>0.27</v>
      </c>
      <c r="D6" s="396">
        <f>C6*B6*Aug.20.2012_Model!$T$2</f>
        <v>821.36481839999999</v>
      </c>
      <c r="E6" s="397">
        <f>Aug.20.2012_Model!X23</f>
        <v>825.77092103223936</v>
      </c>
      <c r="F6" s="398">
        <f t="shared" si="0"/>
        <v>0.27</v>
      </c>
      <c r="G6" s="399">
        <f>Aug.20.2012_Model!Q23</f>
        <v>0.24157751462985061</v>
      </c>
      <c r="H6" s="400">
        <f>Aug.20.2012_Model!W23</f>
        <v>0.27144837919040904</v>
      </c>
    </row>
    <row r="7" spans="1:8">
      <c r="A7" s="404">
        <v>41.779999999999994</v>
      </c>
      <c r="B7" s="403">
        <v>651</v>
      </c>
      <c r="C7" s="395">
        <v>0.21</v>
      </c>
      <c r="D7" s="396">
        <f>C7*B7*Aug.20.2012_Model!$T$2</f>
        <v>737.38366380000002</v>
      </c>
      <c r="E7" s="397">
        <f>Aug.20.2012_Model!X28</f>
        <v>741.78976643223973</v>
      </c>
      <c r="F7" s="398">
        <f t="shared" si="0"/>
        <v>0.21</v>
      </c>
      <c r="G7" s="399">
        <f>Aug.20.2012_Model!Q28</f>
        <v>0.21854891316756855</v>
      </c>
      <c r="H7" s="400">
        <f>Aug.20.2012_Model!W28</f>
        <v>0.21125481699445567</v>
      </c>
    </row>
    <row r="8" spans="1:8">
      <c r="A8" s="404">
        <v>39.65</v>
      </c>
      <c r="B8" s="403">
        <v>363</v>
      </c>
      <c r="C8" s="395">
        <v>0.18</v>
      </c>
      <c r="D8" s="396">
        <f>C8*B8*Aug.20.2012_Model!$T$2</f>
        <v>352.42958519999996</v>
      </c>
      <c r="E8" s="397">
        <f>Aug.20.2012_Model!X31</f>
        <v>356.8356878322399</v>
      </c>
      <c r="F8" s="398">
        <f t="shared" si="0"/>
        <v>0.18</v>
      </c>
      <c r="G8" s="399">
        <f>Aug.20.2012_Model!Q31</f>
        <v>0.18400071682638913</v>
      </c>
      <c r="H8" s="400">
        <f>Aug.20.2012_Model!W31</f>
        <v>0.18225037427931312</v>
      </c>
    </row>
    <row r="9" spans="1:8">
      <c r="A9" s="404">
        <v>36.4</v>
      </c>
      <c r="B9" s="403">
        <v>366</v>
      </c>
      <c r="C9" s="395">
        <v>0.15</v>
      </c>
      <c r="D9" s="396">
        <f>C9*B9*Aug.20.2012_Model!$T$2</f>
        <v>296.11852199999998</v>
      </c>
      <c r="E9" s="397">
        <f>Aug.20.2012_Model!X33</f>
        <v>300.52462463223986</v>
      </c>
      <c r="F9" s="398">
        <f t="shared" si="0"/>
        <v>0.15</v>
      </c>
      <c r="G9" s="399">
        <f>Aug.20.2012_Model!Q33</f>
        <v>0.18377556699246403</v>
      </c>
      <c r="H9" s="400">
        <f>Aug.20.2012_Model!W33</f>
        <v>0.1522319285884991</v>
      </c>
    </row>
    <row r="10" spans="1:8">
      <c r="A10" s="404">
        <v>31.43</v>
      </c>
      <c r="B10" s="403">
        <v>253</v>
      </c>
      <c r="C10" s="395">
        <v>0.18</v>
      </c>
      <c r="D10" s="396">
        <f>C10*B10*Aug.20.2012_Model!$T$2</f>
        <v>245.63274119999997</v>
      </c>
      <c r="E10" s="397">
        <f>Aug.20.2012_Model!X37</f>
        <v>250.03884383224005</v>
      </c>
      <c r="F10" s="398">
        <f t="shared" si="0"/>
        <v>0.18</v>
      </c>
      <c r="G10" s="399">
        <f>Aug.20.2012_Model!Q37</f>
        <v>0.18377556699246397</v>
      </c>
      <c r="H10" s="400">
        <f>Aug.20.2012_Model!W37</f>
        <v>0.18322879787901455</v>
      </c>
    </row>
    <row r="11" spans="1:8">
      <c r="A11" s="404">
        <v>28.84</v>
      </c>
      <c r="B11" s="403">
        <v>452</v>
      </c>
      <c r="C11" s="395">
        <v>0.22</v>
      </c>
      <c r="D11" s="396">
        <f>C11*B11*Aug.20.2012_Model!$T$2</f>
        <v>536.35748319999993</v>
      </c>
      <c r="E11" s="397">
        <f>Aug.20.2012_Model!X39</f>
        <v>540.76358583224021</v>
      </c>
      <c r="F11" s="398">
        <f t="shared" si="0"/>
        <v>0.22</v>
      </c>
      <c r="G11" s="399">
        <f>Aug.20.2012_Model!Q39</f>
        <v>0.21868171984073514</v>
      </c>
      <c r="H11" s="400">
        <f>Aug.20.2012_Model!W39</f>
        <v>0.22180726960927141</v>
      </c>
    </row>
    <row r="12" spans="1:8">
      <c r="A12" s="404">
        <v>23.98</v>
      </c>
      <c r="B12" s="403">
        <v>382</v>
      </c>
      <c r="C12" s="395">
        <v>0.22</v>
      </c>
      <c r="D12" s="396">
        <f>C12*B12*Aug.20.2012_Model!$T$2</f>
        <v>453.29327119999999</v>
      </c>
      <c r="E12" s="397">
        <f>Aug.20.2012_Model!X49</f>
        <v>457.69937383224061</v>
      </c>
      <c r="F12" s="398">
        <f t="shared" si="0"/>
        <v>0.22</v>
      </c>
      <c r="G12" s="399">
        <f>Aug.20.2012_Model!Q49</f>
        <v>0.23784624812138033</v>
      </c>
      <c r="H12" s="400">
        <f>Aug.20.2012_Model!W49</f>
        <v>0.22213844466856209</v>
      </c>
    </row>
    <row r="13" spans="1:8">
      <c r="A13" s="404">
        <v>21.43</v>
      </c>
      <c r="B13" s="403">
        <v>475</v>
      </c>
      <c r="C13" s="395">
        <v>0.3</v>
      </c>
      <c r="D13" s="396">
        <f>C13*B13*Aug.20.2012_Model!$T$2</f>
        <v>768.61364999999989</v>
      </c>
      <c r="E13" s="397">
        <f>Aug.20.2012_Model!X54</f>
        <v>773.01975263224108</v>
      </c>
      <c r="F13" s="398">
        <f t="shared" si="0"/>
        <v>0.3</v>
      </c>
      <c r="G13" s="399">
        <f>Aug.20.2012_Model!Q54</f>
        <v>0.31232649658515155</v>
      </c>
      <c r="H13" s="400">
        <f>Aug.20.2012_Model!W54</f>
        <v>0.3017197597124015</v>
      </c>
    </row>
    <row r="14" spans="1:8">
      <c r="A14" s="404">
        <v>15.66</v>
      </c>
      <c r="B14" s="403">
        <v>391</v>
      </c>
      <c r="C14" s="395">
        <v>0.32</v>
      </c>
      <c r="D14" s="396">
        <f>C14*B14*Aug.20.2012_Model!$T$2</f>
        <v>674.86975359999997</v>
      </c>
      <c r="E14" s="397">
        <f>Aug.20.2012_Model!X61</f>
        <v>679.27585623224104</v>
      </c>
      <c r="F14" s="398">
        <f t="shared" si="0"/>
        <v>0.32</v>
      </c>
      <c r="G14" s="399">
        <f>Aug.20.2012_Model!Q61</f>
        <v>0.30072718870763265</v>
      </c>
      <c r="H14" s="400">
        <f>Aug.20.2012_Model!W61</f>
        <v>0.32208922215700941</v>
      </c>
    </row>
    <row r="15" spans="1:8">
      <c r="A15" s="404">
        <v>8.77</v>
      </c>
      <c r="B15" s="403">
        <v>711</v>
      </c>
      <c r="C15" s="395">
        <v>0.31</v>
      </c>
      <c r="D15" s="396">
        <f>C15*B15*Aug.20.2012_Model!$T$2</f>
        <v>1188.8430497999998</v>
      </c>
      <c r="E15" s="397">
        <f>Aug.20.2012_Model!X70</f>
        <v>1193.2491524322411</v>
      </c>
      <c r="F15" s="398">
        <f t="shared" si="0"/>
        <v>0.31</v>
      </c>
      <c r="G15" s="399">
        <f>Aug.20.2012_Model!Q70</f>
        <v>0.30524634114490656</v>
      </c>
      <c r="H15" s="400">
        <f>Aug.20.2012_Model!W70</f>
        <v>0.31114892526496596</v>
      </c>
    </row>
    <row r="16" spans="1:8">
      <c r="A16" s="404">
        <v>3.8</v>
      </c>
      <c r="B16" s="406">
        <v>624</v>
      </c>
      <c r="C16" s="395">
        <v>0.3</v>
      </c>
      <c r="D16" s="396">
        <f>C16*B16*Aug.20.2012_Model!$T$2</f>
        <v>1009.7156159999998</v>
      </c>
      <c r="E16" s="397">
        <f>Aug.20.2012_Model!X76</f>
        <v>1014.1217186322414</v>
      </c>
      <c r="F16" s="398">
        <f>C16</f>
        <v>0.3</v>
      </c>
      <c r="G16" s="399">
        <f>Aug.20.2012_Model!Q76</f>
        <v>0.29905554084440644</v>
      </c>
      <c r="H16" s="400">
        <f>Aug.20.2012_Model!W76</f>
        <v>0.30130911196056215</v>
      </c>
    </row>
    <row r="17" spans="1:8">
      <c r="A17" s="407"/>
      <c r="B17" s="407"/>
      <c r="C17" s="395">
        <v>0.6</v>
      </c>
      <c r="D17" s="398"/>
      <c r="E17" s="398"/>
      <c r="F17" s="398">
        <v>0.6</v>
      </c>
      <c r="G17" s="402"/>
      <c r="H17" s="402"/>
    </row>
    <row r="18" spans="1:8">
      <c r="A18" s="402"/>
      <c r="B18" s="402"/>
      <c r="C18" s="395">
        <v>0</v>
      </c>
      <c r="D18" s="402"/>
      <c r="E18" s="402"/>
      <c r="F18" s="398">
        <f>C18</f>
        <v>0</v>
      </c>
      <c r="G18" s="402"/>
      <c r="H18" s="402"/>
    </row>
    <row r="19" spans="1:8">
      <c r="C19" s="30"/>
      <c r="G19" s="30"/>
      <c r="H19" s="30"/>
    </row>
    <row r="20" spans="1:8">
      <c r="C20" s="30"/>
      <c r="G20" s="30"/>
      <c r="H20" s="30"/>
    </row>
    <row r="21" spans="1:8">
      <c r="C21" s="30"/>
      <c r="G21" s="30"/>
      <c r="H21" s="30"/>
    </row>
    <row r="22" spans="1:8">
      <c r="C22" s="30"/>
      <c r="G22" s="30"/>
      <c r="H22" s="30"/>
    </row>
    <row r="23" spans="1:8">
      <c r="C23" s="30"/>
      <c r="G23" s="30"/>
      <c r="H23" s="30"/>
    </row>
    <row r="24" spans="1:8">
      <c r="C24" s="30"/>
      <c r="G24" s="30"/>
      <c r="H24" s="30"/>
    </row>
    <row r="25" spans="1:8">
      <c r="C25" s="30"/>
      <c r="G25" s="30"/>
      <c r="H25" s="30"/>
    </row>
    <row r="26" spans="1:8">
      <c r="C26" s="30"/>
      <c r="G26" s="30"/>
      <c r="H26" s="30"/>
    </row>
    <row r="27" spans="1:8">
      <c r="C27" s="30"/>
      <c r="G27" s="30"/>
      <c r="H27" s="30"/>
    </row>
    <row r="28" spans="1:8">
      <c r="C28" s="30"/>
      <c r="G28" s="30"/>
      <c r="H28" s="30"/>
    </row>
    <row r="29" spans="1:8">
      <c r="C29" s="30"/>
      <c r="G29" s="30"/>
      <c r="H29" s="30"/>
    </row>
    <row r="30" spans="1:8">
      <c r="C30" s="30"/>
      <c r="G30" s="30"/>
      <c r="H30" s="30"/>
    </row>
    <row r="31" spans="1:8">
      <c r="C31" s="30"/>
      <c r="G31" s="30"/>
      <c r="H31" s="30"/>
    </row>
    <row r="32" spans="1:8">
      <c r="C32" s="30"/>
      <c r="G32" s="30"/>
      <c r="H32" s="30"/>
    </row>
    <row r="33" spans="3:3">
      <c r="C33" s="30"/>
    </row>
  </sheetData>
  <sheetProtection password="CDA1"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codeName="Sheet8"/>
  <dimension ref="A1:E23"/>
  <sheetViews>
    <sheetView workbookViewId="0">
      <selection activeCell="H32" sqref="H32"/>
    </sheetView>
  </sheetViews>
  <sheetFormatPr defaultRowHeight="12.75"/>
  <cols>
    <col min="1" max="1" width="26.85546875" style="7" bestFit="1" customWidth="1"/>
    <col min="2" max="3" width="9.140625" style="7"/>
    <col min="4" max="4" width="14.7109375" style="7" customWidth="1"/>
    <col min="5" max="16384" width="9.140625" style="7"/>
  </cols>
  <sheetData>
    <row r="1" spans="1:5">
      <c r="B1" s="328" t="s">
        <v>137</v>
      </c>
      <c r="C1" s="328" t="s">
        <v>138</v>
      </c>
      <c r="D1" s="329" t="s">
        <v>29</v>
      </c>
      <c r="E1" s="227" t="s">
        <v>33</v>
      </c>
    </row>
    <row r="2" spans="1:5" s="16" customFormat="1">
      <c r="A2" s="328"/>
      <c r="B2" s="226" t="s">
        <v>0</v>
      </c>
      <c r="C2" s="226" t="s">
        <v>140</v>
      </c>
      <c r="D2" s="226" t="s">
        <v>141</v>
      </c>
      <c r="E2" s="226" t="s">
        <v>142</v>
      </c>
    </row>
    <row r="3" spans="1:5" s="16" customFormat="1" ht="14.25">
      <c r="A3" s="209" t="s">
        <v>139</v>
      </c>
      <c r="B3" s="209" t="s">
        <v>76</v>
      </c>
      <c r="C3" s="209" t="s">
        <v>17</v>
      </c>
      <c r="D3" s="209" t="s">
        <v>18</v>
      </c>
      <c r="E3" s="209" t="s">
        <v>105</v>
      </c>
    </row>
    <row r="4" spans="1:5">
      <c r="A4" s="8" t="s">
        <v>28</v>
      </c>
      <c r="B4" s="330">
        <v>50.01</v>
      </c>
      <c r="C4" s="227">
        <v>0</v>
      </c>
      <c r="D4" s="227">
        <v>0</v>
      </c>
      <c r="E4" s="227">
        <v>0</v>
      </c>
    </row>
    <row r="5" spans="1:5">
      <c r="B5" s="330">
        <v>50.01</v>
      </c>
      <c r="C5" s="227">
        <v>0.6</v>
      </c>
      <c r="D5" s="227">
        <v>1600</v>
      </c>
      <c r="E5" s="227">
        <v>4000</v>
      </c>
    </row>
    <row r="6" spans="1:5">
      <c r="A6" s="8" t="s">
        <v>27</v>
      </c>
      <c r="B6" s="18">
        <v>44.16</v>
      </c>
      <c r="C6" s="227">
        <v>0</v>
      </c>
      <c r="D6" s="227">
        <v>0</v>
      </c>
      <c r="E6" s="227">
        <v>0</v>
      </c>
    </row>
    <row r="7" spans="1:5">
      <c r="A7" s="8" t="s">
        <v>27</v>
      </c>
      <c r="B7" s="18">
        <v>44.16</v>
      </c>
      <c r="C7" s="227">
        <v>0.6</v>
      </c>
      <c r="D7" s="227">
        <v>1600</v>
      </c>
      <c r="E7" s="227">
        <v>4000</v>
      </c>
    </row>
    <row r="8" spans="1:5">
      <c r="A8" s="13" t="s">
        <v>26</v>
      </c>
      <c r="B8" s="18">
        <v>30.310000000000002</v>
      </c>
      <c r="C8" s="227">
        <v>0</v>
      </c>
      <c r="D8" s="227">
        <v>0</v>
      </c>
      <c r="E8" s="227">
        <v>0</v>
      </c>
    </row>
    <row r="9" spans="1:5">
      <c r="B9" s="18">
        <v>30.310000000000002</v>
      </c>
      <c r="C9" s="227">
        <v>0.6</v>
      </c>
      <c r="D9" s="227">
        <v>1600</v>
      </c>
      <c r="E9" s="227">
        <v>4000</v>
      </c>
    </row>
    <row r="10" spans="1:5">
      <c r="A10" s="13" t="s">
        <v>25</v>
      </c>
      <c r="B10" s="18">
        <v>24.95</v>
      </c>
      <c r="C10" s="227">
        <v>0</v>
      </c>
      <c r="D10" s="227">
        <v>0</v>
      </c>
      <c r="E10" s="227">
        <v>0</v>
      </c>
    </row>
    <row r="11" spans="1:5">
      <c r="B11" s="18">
        <v>24.95</v>
      </c>
      <c r="C11" s="227">
        <v>0.6</v>
      </c>
      <c r="D11" s="227">
        <v>1600</v>
      </c>
      <c r="E11" s="227">
        <v>4000</v>
      </c>
    </row>
    <row r="12" spans="1:5">
      <c r="A12" s="13" t="s">
        <v>8</v>
      </c>
      <c r="B12" s="330">
        <v>22.55</v>
      </c>
      <c r="C12" s="227">
        <v>0</v>
      </c>
      <c r="D12" s="227">
        <v>0</v>
      </c>
      <c r="E12" s="227">
        <v>0</v>
      </c>
    </row>
    <row r="13" spans="1:5">
      <c r="B13" s="330">
        <v>22.55</v>
      </c>
      <c r="C13" s="227">
        <v>0.6</v>
      </c>
      <c r="D13" s="227">
        <v>1600</v>
      </c>
      <c r="E13" s="227">
        <v>4000</v>
      </c>
    </row>
    <row r="14" spans="1:5">
      <c r="A14" s="13" t="s">
        <v>24</v>
      </c>
      <c r="B14" s="330">
        <v>22.44</v>
      </c>
      <c r="C14" s="227">
        <v>0</v>
      </c>
      <c r="D14" s="227">
        <v>0</v>
      </c>
      <c r="E14" s="227">
        <v>0</v>
      </c>
    </row>
    <row r="15" spans="1:5">
      <c r="B15" s="330">
        <v>22.44</v>
      </c>
      <c r="C15" s="227">
        <v>0.6</v>
      </c>
      <c r="D15" s="227">
        <v>1600</v>
      </c>
      <c r="E15" s="227">
        <v>4000</v>
      </c>
    </row>
    <row r="16" spans="1:5">
      <c r="A16" s="13" t="s">
        <v>23</v>
      </c>
      <c r="B16" s="330">
        <v>10.53</v>
      </c>
      <c r="C16" s="227">
        <v>0</v>
      </c>
      <c r="D16" s="227">
        <v>0</v>
      </c>
      <c r="E16" s="227">
        <v>0</v>
      </c>
    </row>
    <row r="17" spans="1:5">
      <c r="B17" s="330">
        <v>10.53</v>
      </c>
      <c r="C17" s="227">
        <v>0.6</v>
      </c>
      <c r="D17" s="227">
        <v>1600</v>
      </c>
      <c r="E17" s="227">
        <v>4000</v>
      </c>
    </row>
    <row r="18" spans="1:5">
      <c r="A18" s="284" t="s">
        <v>143</v>
      </c>
      <c r="B18" s="227">
        <v>45.51</v>
      </c>
      <c r="C18" s="227">
        <v>0</v>
      </c>
      <c r="D18" s="227">
        <v>0</v>
      </c>
      <c r="E18" s="227">
        <v>0</v>
      </c>
    </row>
    <row r="19" spans="1:5">
      <c r="B19" s="227">
        <v>45.51</v>
      </c>
      <c r="C19" s="227">
        <v>0.6</v>
      </c>
      <c r="D19" s="227">
        <v>1600</v>
      </c>
      <c r="E19" s="227">
        <v>4000</v>
      </c>
    </row>
    <row r="20" spans="1:5">
      <c r="A20" s="284" t="s">
        <v>225</v>
      </c>
      <c r="B20" s="227">
        <v>40.200000000000003</v>
      </c>
      <c r="C20" s="227">
        <v>0</v>
      </c>
      <c r="D20" s="227">
        <v>0</v>
      </c>
      <c r="E20" s="227">
        <v>0</v>
      </c>
    </row>
    <row r="21" spans="1:5">
      <c r="B21" s="227">
        <v>40.200000000000003</v>
      </c>
      <c r="C21" s="227">
        <v>0.6</v>
      </c>
      <c r="D21" s="227">
        <v>1600</v>
      </c>
      <c r="E21" s="227">
        <v>4000</v>
      </c>
    </row>
    <row r="22" spans="1:5">
      <c r="A22" s="284" t="s">
        <v>136</v>
      </c>
      <c r="B22" s="227">
        <v>70</v>
      </c>
      <c r="C22" s="227">
        <v>7.0000000000000007E-2</v>
      </c>
      <c r="D22" s="227"/>
      <c r="E22" s="227"/>
    </row>
    <row r="23" spans="1:5">
      <c r="B23" s="227">
        <v>0</v>
      </c>
      <c r="C23" s="227">
        <v>7.0000000000000007E-2</v>
      </c>
      <c r="D23" s="227"/>
      <c r="E23" s="22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3</vt:i4>
      </vt:variant>
    </vt:vector>
  </HeadingPairs>
  <TitlesOfParts>
    <vt:vector size="9" baseType="lpstr">
      <vt:lpstr>ReadMe</vt:lpstr>
      <vt:lpstr>Aug.20.2012_Model</vt:lpstr>
      <vt:lpstr>North_Channel</vt:lpstr>
      <vt:lpstr>Unmeasured_Gains_Losses</vt:lpstr>
      <vt:lpstr>Measured_Main_Stem_Data</vt:lpstr>
      <vt:lpstr>Major_inflows</vt:lpstr>
      <vt:lpstr>Concentration Interactive</vt:lpstr>
      <vt:lpstr>Load Interactive</vt:lpstr>
      <vt:lpstr>Discharge Calibration Plot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Etheridge, Alexandra B.</dc:creator>
  <cp:lastModifiedBy>Suwak, Jeffery L.</cp:lastModifiedBy>
  <dcterms:created xsi:type="dcterms:W3CDTF">2012-11-13T23:43:15Z</dcterms:created>
  <dcterms:modified xsi:type="dcterms:W3CDTF">2013-12-19T00:05:11Z</dcterms:modified>
</cp:coreProperties>
</file>