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820" windowHeight="13060" tabRatio="961" activeTab="0"/>
  </bookViews>
  <sheets>
    <sheet name="Yellowstone at Corwin" sheetId="1" r:id="rId1"/>
    <sheet name="Yellowstone at Lake " sheetId="2" r:id="rId2"/>
    <sheet name="Gardner" sheetId="3" r:id="rId3"/>
    <sheet name="Boiling" sheetId="4" r:id="rId4"/>
    <sheet name="Madison" sheetId="5" r:id="rId5"/>
    <sheet name="Gibbon" sheetId="6" r:id="rId6"/>
    <sheet name="Firehole" sheetId="7" r:id="rId7"/>
    <sheet name="Firehole at OF" sheetId="8" r:id="rId8"/>
    <sheet name="Snake" sheetId="9" r:id="rId9"/>
    <sheet name="Falls" sheetId="10" r:id="rId10"/>
    <sheet name="Henry's Fork" sheetId="11" r:id="rId11"/>
    <sheet name="Lamar" sheetId="12" r:id="rId12"/>
    <sheet name="Yellowstone at Tower J.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seagan</author>
    <author>dmahony</author>
  </authors>
  <commentList>
    <comment ref="D81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These two discharge are probably identical - not a typo.</t>
        </r>
      </text>
    </comment>
    <comment ref="F21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high - use with caution</t>
        </r>
      </text>
    </comment>
    <comment ref="D175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value</t>
        </r>
      </text>
    </comment>
    <comment ref="D232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Ice covered --estimated value</t>
        </r>
      </text>
    </comment>
  </commentList>
</comments>
</file>

<file path=xl/comments10.xml><?xml version="1.0" encoding="utf-8"?>
<comments xmlns="http://schemas.openxmlformats.org/spreadsheetml/2006/main">
  <authors>
    <author>dmahony</author>
  </authors>
  <commentList>
    <comment ref="C138" authorId="0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sample collection time not recorded</t>
        </r>
      </text>
    </comment>
    <comment ref="D139" authorId="0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flow due to ice cover</t>
        </r>
      </text>
    </comment>
    <comment ref="D140" authorId="0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flow due to ice cover</t>
        </r>
      </text>
    </comment>
    <comment ref="D141" authorId="0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flow due to ice cover</t>
        </r>
      </text>
    </comment>
  </commentList>
</comments>
</file>

<file path=xl/comments11.xml><?xml version="1.0" encoding="utf-8"?>
<comments xmlns="http://schemas.openxmlformats.org/spreadsheetml/2006/main">
  <authors>
    <author>seagan</author>
  </authors>
  <commentList>
    <comment ref="F20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high, use with caution.</t>
        </r>
      </text>
    </comment>
  </commentList>
</comments>
</file>

<file path=xl/comments12.xml><?xml version="1.0" encoding="utf-8"?>
<comments xmlns="http://schemas.openxmlformats.org/spreadsheetml/2006/main">
  <authors>
    <author>seagan</author>
  </authors>
  <commentList>
    <comment ref="D17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USGS approved estimated daily mean.  Due to ice,15 mn  unit values were not estimated</t>
        </r>
      </text>
    </comment>
    <comment ref="D18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USGS approved estimated daily mean.  Due to ice unit values were not estimated</t>
        </r>
      </text>
    </comment>
    <comment ref="D19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USGS approved estimated daily mean.  Due to ice unit values were not estimated</t>
        </r>
      </text>
    </comment>
  </commentList>
</comments>
</file>

<file path=xl/comments2.xml><?xml version="1.0" encoding="utf-8"?>
<comments xmlns="http://schemas.openxmlformats.org/spreadsheetml/2006/main">
  <authors>
    <author>seagan</author>
    <author>dmahony</author>
  </authors>
  <commentList>
    <comment ref="F47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Something is wrong
unless this is ice melting</t>
        </r>
      </text>
    </comment>
    <comment ref="D55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published is 675, but it is one of 2 675cfs all day.  680 and 686 were every other value</t>
        </r>
      </text>
    </comment>
    <comment ref="C60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Time not recorded</t>
        </r>
      </text>
    </comment>
    <comment ref="D81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and approved value</t>
        </r>
      </text>
    </comment>
    <comment ref="D82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and approved value</t>
        </r>
      </text>
    </comment>
    <comment ref="D83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Original sample day had "ice" for value; estimated and approved value</t>
        </r>
      </text>
    </comment>
    <comment ref="D84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Original sample day had "ice" for value</t>
        </r>
      </text>
    </comment>
  </commentList>
</comments>
</file>

<file path=xl/comments3.xml><?xml version="1.0" encoding="utf-8"?>
<comments xmlns="http://schemas.openxmlformats.org/spreadsheetml/2006/main">
  <authors>
    <author>seagan</author>
  </authors>
  <commentList>
    <comment ref="F51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Lab value was 4.7 but this seems very unlikely to be correct</t>
        </r>
      </text>
    </comment>
    <comment ref="F76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low value, use with caution.</t>
        </r>
      </text>
    </comment>
    <comment ref="D166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84 cfs was published but something is amiss: day went from 84-163 cfs - too much variation compared to variation of 10 cfs on similar days.</t>
        </r>
      </text>
    </comment>
    <comment ref="W179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odd</t>
        </r>
      </text>
    </comment>
    <comment ref="Y165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I'm not sure what this sample is.   The other one fits the patterns much better.</t>
        </r>
      </text>
    </comment>
  </commentList>
</comments>
</file>

<file path=xl/comments4.xml><?xml version="1.0" encoding="utf-8"?>
<comments xmlns="http://schemas.openxmlformats.org/spreadsheetml/2006/main">
  <authors>
    <author>seagan</author>
    <author>dmahony</author>
  </authors>
  <commentList>
    <comment ref="D107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odd 1-2 cfs drop for 8 hours but usgs certified</t>
        </r>
      </text>
    </comment>
    <comment ref="J2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These values may be low as in some cases small amounts of percipitation were observed in the bottles</t>
        </r>
      </text>
    </comment>
    <comment ref="C140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time not recorded</t>
        </r>
      </text>
    </comment>
  </commentList>
</comments>
</file>

<file path=xl/comments5.xml><?xml version="1.0" encoding="utf-8"?>
<comments xmlns="http://schemas.openxmlformats.org/spreadsheetml/2006/main">
  <authors>
    <author>seagan</author>
    <author>dmahony</author>
  </authors>
  <commentList>
    <comment ref="F67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orignally reported as 32.7 but this sure looks like a 50% dilution which as not switched back</t>
        </r>
      </text>
    </comment>
    <comment ref="D68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changed from 347 to USGS daily avg 334. 347 seemed provisional.</t>
        </r>
      </text>
    </comment>
    <comment ref="D159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instrument was broken; this is the USGS approved daily mean estimate.</t>
        </r>
      </text>
    </comment>
    <comment ref="K167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odd, but probably correct</t>
        </r>
      </text>
    </comment>
    <comment ref="A127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The sampling location was moved in July of 2006 from USGS gage 06037500 to a point 1 mile upstream where the road is adjacent to the river, there is a paved side road, and it is near the state line.  For 5 consecutive weeks we sampled both locations and the values varied by  &lt; 1 percent.</t>
        </r>
      </text>
    </comment>
    <comment ref="F182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oddly high value</t>
        </r>
      </text>
    </comment>
    <comment ref="C183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No data found related to collection time</t>
        </r>
      </text>
    </comment>
    <comment ref="D183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Mean daily flow from USGS website</t>
        </r>
      </text>
    </comment>
    <comment ref="D187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value--due to ice at gauge</t>
        </r>
      </text>
    </comment>
    <comment ref="K187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value--due to ice at gauge</t>
        </r>
      </text>
    </comment>
    <comment ref="D225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This value is an estimate.</t>
        </r>
      </text>
    </comment>
    <comment ref="D236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iced over -- estimated value</t>
        </r>
      </text>
    </comment>
  </commentList>
</comments>
</file>

<file path=xl/comments6.xml><?xml version="1.0" encoding="utf-8"?>
<comments xmlns="http://schemas.openxmlformats.org/spreadsheetml/2006/main">
  <authors>
    <author>seagan</author>
  </authors>
  <commentList>
    <comment ref="K14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use with caution as this value is high.</t>
        </r>
      </text>
    </comment>
    <comment ref="F109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seems high</t>
        </r>
      </text>
    </comment>
  </commentList>
</comments>
</file>

<file path=xl/comments7.xml><?xml version="1.0" encoding="utf-8"?>
<comments xmlns="http://schemas.openxmlformats.org/spreadsheetml/2006/main">
  <authors>
    <author>seagan</author>
  </authors>
  <commentList>
    <comment ref="D42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originally 349: 317 is the usgs daily average and there is no time.
</t>
        </r>
      </text>
    </comment>
  </commentList>
</comments>
</file>

<file path=xl/comments8.xml><?xml version="1.0" encoding="utf-8"?>
<comments xmlns="http://schemas.openxmlformats.org/spreadsheetml/2006/main">
  <authors>
    <author>dmahony</author>
  </authors>
  <commentList>
    <comment ref="D32" authorId="0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Value is mean flow for the day</t>
        </r>
      </text>
    </comment>
    <comment ref="D33" authorId="0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Value is mean flow for the day</t>
        </r>
      </text>
    </comment>
  </commentList>
</comments>
</file>

<file path=xl/comments9.xml><?xml version="1.0" encoding="utf-8"?>
<comments xmlns="http://schemas.openxmlformats.org/spreadsheetml/2006/main">
  <authors>
    <author>seagan</author>
    <author>dmahony</author>
  </authors>
  <commentList>
    <comment ref="F38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originally 9.3:  I believe this sample was diluted by 50% and not recorded:  new 18.6.
</t>
        </r>
      </text>
    </comment>
    <comment ref="F51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originally 5.1:  I believe this sample was diluted by 50% and not recorded:  new 10.2.
</t>
        </r>
      </text>
    </comment>
    <comment ref="D164" authorId="0">
      <text>
        <r>
          <rPr>
            <b/>
            <sz val="8"/>
            <rFont val="Tahoma"/>
            <family val="2"/>
          </rPr>
          <t>seagan:</t>
        </r>
        <r>
          <rPr>
            <sz val="8"/>
            <rFont val="Tahoma"/>
            <family val="2"/>
          </rPr>
          <t xml:space="preserve">
ESTIMATED FLOW</t>
        </r>
      </text>
    </comment>
    <comment ref="D191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value--origiinally described as "ice"</t>
        </r>
      </text>
    </comment>
    <comment ref="D193" authorId="1">
      <text>
        <r>
          <rPr>
            <b/>
            <sz val="8"/>
            <rFont val="Tahoma"/>
            <family val="2"/>
          </rPr>
          <t>dmahony:</t>
        </r>
        <r>
          <rPr>
            <sz val="8"/>
            <rFont val="Tahoma"/>
            <family val="2"/>
          </rPr>
          <t xml:space="preserve">
Estimated value--origiinally described as "ice"</t>
        </r>
      </text>
    </comment>
  </commentList>
</comments>
</file>

<file path=xl/sharedStrings.xml><?xml version="1.0" encoding="utf-8"?>
<sst xmlns="http://schemas.openxmlformats.org/spreadsheetml/2006/main" count="3197" uniqueCount="2183">
  <si>
    <t>YFal110907</t>
  </si>
  <si>
    <t>YFAL120607</t>
  </si>
  <si>
    <t>YFAL010908</t>
  </si>
  <si>
    <t>YFAL020808</t>
  </si>
  <si>
    <t>YFAL030808</t>
  </si>
  <si>
    <t>YFAL032008</t>
  </si>
  <si>
    <t>YFAL040308</t>
  </si>
  <si>
    <t>YFAL041808</t>
  </si>
  <si>
    <t>YFAL043008</t>
  </si>
  <si>
    <t>YFAL050708</t>
  </si>
  <si>
    <t>YFAL051508</t>
  </si>
  <si>
    <t>YFAL052208</t>
  </si>
  <si>
    <t>YFAL052908</t>
  </si>
  <si>
    <t>YFAL060508</t>
  </si>
  <si>
    <t>YFAL061008</t>
  </si>
  <si>
    <t>YFAL062508</t>
  </si>
  <si>
    <t>YFAL070108</t>
  </si>
  <si>
    <t>YFAL070708</t>
  </si>
  <si>
    <t>YFAL071608</t>
  </si>
  <si>
    <t>YFAL072108</t>
  </si>
  <si>
    <t>YFAL080508</t>
  </si>
  <si>
    <t>YFAL081908</t>
  </si>
  <si>
    <t>YFAL090308</t>
  </si>
  <si>
    <t>YFAL091808</t>
  </si>
  <si>
    <t>YFAL093008</t>
  </si>
  <si>
    <t>YHEN101907</t>
  </si>
  <si>
    <t>YHEN110807</t>
  </si>
  <si>
    <t>YHEN120407</t>
  </si>
  <si>
    <t>YHEN010908</t>
  </si>
  <si>
    <t>YHEN020808</t>
  </si>
  <si>
    <t>YHEN030708</t>
  </si>
  <si>
    <t>YHEN032008</t>
  </si>
  <si>
    <t>YHEN040308</t>
  </si>
  <si>
    <t>YHEN041708</t>
  </si>
  <si>
    <t>YHEN043008</t>
  </si>
  <si>
    <t>YHEN050708</t>
  </si>
  <si>
    <t>YHEN051508</t>
  </si>
  <si>
    <t>YHEN052208</t>
  </si>
  <si>
    <t>YHEN052908</t>
  </si>
  <si>
    <t>YHEN060508</t>
  </si>
  <si>
    <t>YHEN061008</t>
  </si>
  <si>
    <t>YHEN062508</t>
  </si>
  <si>
    <t>YHEN070108</t>
  </si>
  <si>
    <t>YHEN070708</t>
  </si>
  <si>
    <t>YHEN071608</t>
  </si>
  <si>
    <t>YHEN072108</t>
  </si>
  <si>
    <t>YHEN081908</t>
  </si>
  <si>
    <t>YHEN090308</t>
  </si>
  <si>
    <t>YHEN091808</t>
  </si>
  <si>
    <t>YHEN093008</t>
  </si>
  <si>
    <r>
      <t>Water Year 2005</t>
    </r>
    <r>
      <rPr>
        <sz val="10"/>
        <rFont val="Arial"/>
        <family val="0"/>
      </rPr>
      <t xml:space="preserve"> - Sampling was commenced on 5/31/05</t>
    </r>
  </si>
  <si>
    <r>
      <t>Cl</t>
    </r>
    <r>
      <rPr>
        <b/>
        <vertAlign val="superscript"/>
        <sz val="10"/>
        <rFont val="Arial"/>
        <family val="2"/>
      </rPr>
      <t xml:space="preserve">-  </t>
    </r>
    <r>
      <rPr>
        <b/>
        <sz val="10"/>
        <rFont val="Arial"/>
        <family val="2"/>
      </rPr>
      <t>flux</t>
    </r>
  </si>
  <si>
    <r>
      <t xml:space="preserve">Yellowstone River at Corwin Springs MT  </t>
    </r>
    <r>
      <rPr>
        <sz val="10"/>
        <rFont val="Arial"/>
        <family val="0"/>
      </rPr>
      <t>USGS # 06191500</t>
    </r>
    <r>
      <rPr>
        <b/>
        <sz val="10"/>
        <rFont val="Arial"/>
        <family val="2"/>
      </rPr>
      <t xml:space="preserve"> </t>
    </r>
  </si>
  <si>
    <r>
      <t>Madison River near West Yellowstone MT</t>
    </r>
    <r>
      <rPr>
        <sz val="10"/>
        <rFont val="Arial"/>
        <family val="0"/>
      </rPr>
      <t>  USGS #06037500</t>
    </r>
  </si>
  <si>
    <r>
      <t xml:space="preserve">Firehole River near West Yellowstone MT </t>
    </r>
    <r>
      <rPr>
        <sz val="10"/>
        <rFont val="Arial"/>
        <family val="0"/>
      </rPr>
      <t xml:space="preserve"> USGS # 06036905</t>
    </r>
  </si>
  <si>
    <r>
      <t>Firehole River at Old Faithful, YNP</t>
    </r>
    <r>
      <rPr>
        <sz val="10"/>
        <rFont val="Arial"/>
        <family val="0"/>
      </rPr>
      <t> USGS# 06036805</t>
    </r>
  </si>
  <si>
    <r>
      <t xml:space="preserve">Snake River ab Jackson Lake at Flagg Ranch, WY </t>
    </r>
    <r>
      <rPr>
        <sz val="10"/>
        <rFont val="Arial"/>
        <family val="0"/>
      </rPr>
      <t xml:space="preserve"> USGS# 13010065</t>
    </r>
  </si>
  <si>
    <r>
      <t xml:space="preserve">FALLS RIVER AB YELLOWSTONE CANAL NR SQUIRREL ID:  </t>
    </r>
    <r>
      <rPr>
        <sz val="10"/>
        <rFont val="Arial"/>
        <family val="0"/>
      </rPr>
      <t>USGS #13046995</t>
    </r>
  </si>
  <si>
    <r>
      <t xml:space="preserve">HENRYS FORK NR ASHTON ID  </t>
    </r>
    <r>
      <rPr>
        <sz val="10"/>
        <rFont val="Arial"/>
        <family val="0"/>
      </rPr>
      <t>USGS #13046000</t>
    </r>
  </si>
  <si>
    <r>
      <t>Lamar River nr Tower Ranger Station, YNP </t>
    </r>
    <r>
      <rPr>
        <sz val="10"/>
        <rFont val="Arial"/>
        <family val="0"/>
      </rPr>
      <t>USGS #06188000</t>
    </r>
  </si>
  <si>
    <t>YMAD071608</t>
  </si>
  <si>
    <t>YMAD072308</t>
  </si>
  <si>
    <t>YMAD080408</t>
  </si>
  <si>
    <t>YMAD081908</t>
  </si>
  <si>
    <t>YMAD090108</t>
  </si>
  <si>
    <t>YMAD091508</t>
  </si>
  <si>
    <t>YMAD092908</t>
  </si>
  <si>
    <t>YGIB101807</t>
  </si>
  <si>
    <t>YGIB110707</t>
  </si>
  <si>
    <t>YGIB112307</t>
  </si>
  <si>
    <t>YGIB011408</t>
  </si>
  <si>
    <t>YGIB020808</t>
  </si>
  <si>
    <t>YGIB022208</t>
  </si>
  <si>
    <t>YGIB031908</t>
  </si>
  <si>
    <t>YGIB040408</t>
  </si>
  <si>
    <t>YGIB041608</t>
  </si>
  <si>
    <t>YGIB042908</t>
  </si>
  <si>
    <t>YGIB050608</t>
  </si>
  <si>
    <t>YGIB051308</t>
  </si>
  <si>
    <t>YGIB052008</t>
  </si>
  <si>
    <t>YGIB052708</t>
  </si>
  <si>
    <t>YGIB060208</t>
  </si>
  <si>
    <t>YGIB060908</t>
  </si>
  <si>
    <t>YGIB061708</t>
  </si>
  <si>
    <t>YGIB062408</t>
  </si>
  <si>
    <t>YGIB070108</t>
  </si>
  <si>
    <t>YGIB070808</t>
  </si>
  <si>
    <t>YGIB071508</t>
  </si>
  <si>
    <t>YGIB072208</t>
  </si>
  <si>
    <t>YGIB072908</t>
  </si>
  <si>
    <t>YGIB080508</t>
  </si>
  <si>
    <t>YGIB081908</t>
  </si>
  <si>
    <t>YGIB090308</t>
  </si>
  <si>
    <t>YGIB091608</t>
  </si>
  <si>
    <t>YGIB093008</t>
  </si>
  <si>
    <r>
      <t xml:space="preserve">Gibbon River at Madison Jct, YNP  </t>
    </r>
    <r>
      <rPr>
        <sz val="10"/>
        <rFont val="Arial"/>
        <family val="0"/>
      </rPr>
      <t xml:space="preserve"> USGS # 06037100</t>
    </r>
  </si>
  <si>
    <t>YFIR101807</t>
  </si>
  <si>
    <t>YFIR110707</t>
  </si>
  <si>
    <t>YFIR112307</t>
  </si>
  <si>
    <t>YFIR011408</t>
  </si>
  <si>
    <t>YFIR020808</t>
  </si>
  <si>
    <t>YFIR022808</t>
  </si>
  <si>
    <t>YFIR031908</t>
  </si>
  <si>
    <t>YFIR040408</t>
  </si>
  <si>
    <t>YFIR041608</t>
  </si>
  <si>
    <t>YFIR042908</t>
  </si>
  <si>
    <t>YFIR050608</t>
  </si>
  <si>
    <t>YFIR051308</t>
  </si>
  <si>
    <t>YFIR052008</t>
  </si>
  <si>
    <t>YFIR052708</t>
  </si>
  <si>
    <t>YFIR060208</t>
  </si>
  <si>
    <t>YFIR060908</t>
  </si>
  <si>
    <t>YFIR061708</t>
  </si>
  <si>
    <t>YFIR062408</t>
  </si>
  <si>
    <t>YFIR070108</t>
  </si>
  <si>
    <t>YFIR070808</t>
  </si>
  <si>
    <t>YFIR071508</t>
  </si>
  <si>
    <t>YFIR072208</t>
  </si>
  <si>
    <t>YFIR072908</t>
  </si>
  <si>
    <t>YFIR080508</t>
  </si>
  <si>
    <t>YFIR081908</t>
  </si>
  <si>
    <t>YFIR090308</t>
  </si>
  <si>
    <t>YFIR091608</t>
  </si>
  <si>
    <t>YFIR093008</t>
  </si>
  <si>
    <t>YFOF101807</t>
  </si>
  <si>
    <t xml:space="preserve">YFOF110707 </t>
  </si>
  <si>
    <t>YFOF011708</t>
  </si>
  <si>
    <t>YFOF022708</t>
  </si>
  <si>
    <t>YFOF031908</t>
  </si>
  <si>
    <t>YFOF040408</t>
  </si>
  <si>
    <t>YFOF040908</t>
  </si>
  <si>
    <t>N/R</t>
  </si>
  <si>
    <t>YFOF042908</t>
  </si>
  <si>
    <t>YFOF050608</t>
  </si>
  <si>
    <t>YFOF051308</t>
  </si>
  <si>
    <t>YFOF052008</t>
  </si>
  <si>
    <t>YFOF052708</t>
  </si>
  <si>
    <t>YFOF060208</t>
  </si>
  <si>
    <t>YFOF060908</t>
  </si>
  <si>
    <t>YFOF061708</t>
  </si>
  <si>
    <t>YFOF062408</t>
  </si>
  <si>
    <t>YFOF070108</t>
  </si>
  <si>
    <t>YFOF070808</t>
  </si>
  <si>
    <t>YFOF071508</t>
  </si>
  <si>
    <t>YFAF072208</t>
  </si>
  <si>
    <t>YFOF072908</t>
  </si>
  <si>
    <t>YFOF080508</t>
  </si>
  <si>
    <t>YFOF0819508</t>
  </si>
  <si>
    <t>YFOF090308</t>
  </si>
  <si>
    <t>YFOF091608</t>
  </si>
  <si>
    <t>YFOF093008</t>
  </si>
  <si>
    <t>YSNA101707</t>
  </si>
  <si>
    <t>YSNA110407</t>
  </si>
  <si>
    <t>YSNA010408</t>
  </si>
  <si>
    <t>YSNA020408</t>
  </si>
  <si>
    <t>YSNA030408</t>
  </si>
  <si>
    <t>YSNA031308</t>
  </si>
  <si>
    <t>YSNA040108</t>
  </si>
  <si>
    <t>YSNA041408</t>
  </si>
  <si>
    <t>YSNA042908</t>
  </si>
  <si>
    <t>YSNA050808</t>
  </si>
  <si>
    <t>YSNA051308</t>
  </si>
  <si>
    <t>YSNA052008</t>
  </si>
  <si>
    <t>YSNA052708</t>
  </si>
  <si>
    <t>YSNA060308</t>
  </si>
  <si>
    <t>YSNA061008</t>
  </si>
  <si>
    <t>YSNA061708</t>
  </si>
  <si>
    <t>YSNA070808</t>
  </si>
  <si>
    <t>YSNA071608</t>
  </si>
  <si>
    <t>YSNA072208</t>
  </si>
  <si>
    <t>YSNA072908</t>
  </si>
  <si>
    <t>YSNA080408</t>
  </si>
  <si>
    <t>YSNA081808</t>
  </si>
  <si>
    <t>YSNA090108</t>
  </si>
  <si>
    <t>YSNA091508</t>
  </si>
  <si>
    <t>YSNA093008</t>
  </si>
  <si>
    <t>YFAL101907</t>
  </si>
  <si>
    <t>YYCO052708</t>
  </si>
  <si>
    <t>YYC0060308</t>
  </si>
  <si>
    <t>YYCO061108</t>
  </si>
  <si>
    <t>YYCO061608</t>
  </si>
  <si>
    <t>YYCO062308</t>
  </si>
  <si>
    <t>YCOR063008</t>
  </si>
  <si>
    <t>YCOR070908</t>
  </si>
  <si>
    <t>YCOR071408</t>
  </si>
  <si>
    <t>YCOR072108</t>
  </si>
  <si>
    <t>YCOR073008</t>
  </si>
  <si>
    <t>YCOR080408</t>
  </si>
  <si>
    <t>YCOR082008</t>
  </si>
  <si>
    <t>YCOR090208</t>
  </si>
  <si>
    <t>YCOR091608</t>
  </si>
  <si>
    <t>YCOR093008</t>
  </si>
  <si>
    <t xml:space="preserve">YYFB100307 </t>
  </si>
  <si>
    <t>YYFB101807</t>
  </si>
  <si>
    <t>YYFB041408</t>
  </si>
  <si>
    <t>YYFB050608</t>
  </si>
  <si>
    <t>YYFB051908</t>
  </si>
  <si>
    <t>YYFB052708</t>
  </si>
  <si>
    <t>YYFB060208</t>
  </si>
  <si>
    <t>YYFB061008</t>
  </si>
  <si>
    <t>YYFB061708</t>
  </si>
  <si>
    <t>YYFB062408</t>
  </si>
  <si>
    <t>YYFB070108</t>
  </si>
  <si>
    <t>YYFB070808</t>
  </si>
  <si>
    <t>YYFB071508</t>
  </si>
  <si>
    <t>YYFB072208</t>
  </si>
  <si>
    <t>YYFB072908</t>
  </si>
  <si>
    <t>YYFB080508</t>
  </si>
  <si>
    <t>YYFB081908</t>
  </si>
  <si>
    <t>YYFB090308</t>
  </si>
  <si>
    <t>YYFB091608</t>
  </si>
  <si>
    <t>YYFB093008</t>
  </si>
  <si>
    <t>YGAR100107</t>
  </si>
  <si>
    <t>YGAR030308</t>
  </si>
  <si>
    <t>YGAR031708</t>
  </si>
  <si>
    <t>YGAR040108</t>
  </si>
  <si>
    <t>YGAR042808</t>
  </si>
  <si>
    <t>YGAR051308</t>
  </si>
  <si>
    <t>YGAR052008</t>
  </si>
  <si>
    <t>YGAR052708</t>
  </si>
  <si>
    <t>YGAR060308</t>
  </si>
  <si>
    <t>YGAR061108</t>
  </si>
  <si>
    <t>YGAR061608</t>
  </si>
  <si>
    <t>YGAR062308</t>
  </si>
  <si>
    <t>YGAR063008</t>
  </si>
  <si>
    <t>YGAR070908</t>
  </si>
  <si>
    <t>YGAR071408</t>
  </si>
  <si>
    <t>YGAR072108</t>
  </si>
  <si>
    <t>YGAR073008</t>
  </si>
  <si>
    <t>YGAR080408</t>
  </si>
  <si>
    <t>YGAR082008</t>
  </si>
  <si>
    <t>YGAR090208</t>
  </si>
  <si>
    <t>YGAR091608</t>
  </si>
  <si>
    <t>YGAR093008</t>
  </si>
  <si>
    <t>YGAR101707</t>
  </si>
  <si>
    <t>YGAR110507</t>
  </si>
  <si>
    <t>YGAR120607</t>
  </si>
  <si>
    <t>YGAR010308</t>
  </si>
  <si>
    <t>YGAR020508</t>
  </si>
  <si>
    <t>YGAR041508</t>
  </si>
  <si>
    <t>YGAR050508</t>
  </si>
  <si>
    <t>YBOI030308</t>
  </si>
  <si>
    <t>YBOI031708</t>
  </si>
  <si>
    <t>YBOI040108</t>
  </si>
  <si>
    <t>YBOI061108</t>
  </si>
  <si>
    <t>YBOI061608</t>
  </si>
  <si>
    <t>YBOI062308</t>
  </si>
  <si>
    <t>YBOI063008</t>
  </si>
  <si>
    <t>YBOI070908</t>
  </si>
  <si>
    <t>YBOI071408</t>
  </si>
  <si>
    <t>YBOI072108</t>
  </si>
  <si>
    <t>YBOI073008</t>
  </si>
  <si>
    <t>YBOI080408</t>
  </si>
  <si>
    <t>YBOI082008</t>
  </si>
  <si>
    <t>YBOI090208</t>
  </si>
  <si>
    <t>YBO091608</t>
  </si>
  <si>
    <t>YBO093008</t>
  </si>
  <si>
    <t>YBOI100107</t>
  </si>
  <si>
    <t>YBOI101707</t>
  </si>
  <si>
    <t>YBOI110507</t>
  </si>
  <si>
    <t>YBOI120607</t>
  </si>
  <si>
    <t>YBOI010308</t>
  </si>
  <si>
    <t>YBOI020508</t>
  </si>
  <si>
    <t xml:space="preserve">YBOI041508 </t>
  </si>
  <si>
    <t xml:space="preserve">YBOI042808 </t>
  </si>
  <si>
    <t xml:space="preserve">YBOI050508 </t>
  </si>
  <si>
    <t xml:space="preserve">YBOI051308 </t>
  </si>
  <si>
    <t>YBOI052008</t>
  </si>
  <si>
    <t>YBOI052708</t>
  </si>
  <si>
    <t>YBOI060308</t>
  </si>
  <si>
    <r>
      <t xml:space="preserve"> Boiling River at Mammoth,YNP  </t>
    </r>
    <r>
      <rPr>
        <sz val="10"/>
        <rFont val="Arial"/>
        <family val="0"/>
      </rPr>
      <t>USGS #06190540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</si>
  <si>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</t>
    </r>
  </si>
  <si>
    <t>YMAD101907</t>
  </si>
  <si>
    <t>YMAD110507</t>
  </si>
  <si>
    <t>YMAD110707</t>
  </si>
  <si>
    <t>YMAD112407</t>
  </si>
  <si>
    <t>YMAD120407</t>
  </si>
  <si>
    <t>YMAD010208</t>
  </si>
  <si>
    <t>YMAD020808</t>
  </si>
  <si>
    <t>YMAD030608</t>
  </si>
  <si>
    <t>YMAD031708</t>
  </si>
  <si>
    <t>YMAD040408</t>
  </si>
  <si>
    <t>YMAD041608</t>
  </si>
  <si>
    <t>YMAD042908</t>
  </si>
  <si>
    <t>YMAD050608</t>
  </si>
  <si>
    <t>YMAD051308</t>
  </si>
  <si>
    <t>YMAD052008</t>
  </si>
  <si>
    <t>YMAD052708</t>
  </si>
  <si>
    <t>YMAD060208</t>
  </si>
  <si>
    <t>YMAD060908</t>
  </si>
  <si>
    <t>YMAD061708</t>
  </si>
  <si>
    <t>YMAD062508</t>
  </si>
  <si>
    <t>YMAD070108</t>
  </si>
  <si>
    <t>YMAD070808</t>
  </si>
  <si>
    <t>YSNA051507</t>
  </si>
  <si>
    <t>YSNA051707</t>
  </si>
  <si>
    <t>YSNA052207</t>
  </si>
  <si>
    <t>YSNA052907</t>
  </si>
  <si>
    <t>YSNA053107</t>
  </si>
  <si>
    <t>YSNA060407</t>
  </si>
  <si>
    <t>YSNA061107</t>
  </si>
  <si>
    <t>YSNA061307</t>
  </si>
  <si>
    <t>YSNA061807</t>
  </si>
  <si>
    <t>YMAD042107</t>
  </si>
  <si>
    <t>YMAD042507</t>
  </si>
  <si>
    <t>YMAD050207</t>
  </si>
  <si>
    <t>YMAD050807</t>
  </si>
  <si>
    <t>YMAD052607</t>
  </si>
  <si>
    <t>YMAD053007</t>
  </si>
  <si>
    <t>YMAD061307</t>
  </si>
  <si>
    <t>YMAD062007</t>
  </si>
  <si>
    <t>YFAL041907</t>
  </si>
  <si>
    <t>YFAL042607</t>
  </si>
  <si>
    <t>YFAL050307</t>
  </si>
  <si>
    <t>YFAL051007</t>
  </si>
  <si>
    <t>YFAL051707</t>
  </si>
  <si>
    <t>YFAL052307</t>
  </si>
  <si>
    <t>YFAL053007</t>
  </si>
  <si>
    <t>YFAL060807</t>
  </si>
  <si>
    <t>mg/sec</t>
  </si>
  <si>
    <t>YYCO062807</t>
  </si>
  <si>
    <t>YYCO071007</t>
  </si>
  <si>
    <t>YYCO072607</t>
  </si>
  <si>
    <t>Gardner River near Mammoth, YNP  USGS #06191000</t>
  </si>
  <si>
    <r>
      <t>Cl</t>
    </r>
    <r>
      <rPr>
        <b/>
        <vertAlign val="superscript"/>
        <sz val="10"/>
        <rFont val="Arial"/>
        <family val="2"/>
      </rPr>
      <t>-</t>
    </r>
  </si>
  <si>
    <r>
      <t>F</t>
    </r>
    <r>
      <rPr>
        <b/>
        <vertAlign val="superscript"/>
        <sz val="10"/>
        <rFont val="Arial"/>
        <family val="2"/>
      </rPr>
      <t>-</t>
    </r>
  </si>
  <si>
    <r>
      <t>Br</t>
    </r>
    <r>
      <rPr>
        <b/>
        <vertAlign val="superscript"/>
        <sz val="10"/>
        <rFont val="Arial"/>
        <family val="2"/>
      </rPr>
      <t>-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</si>
  <si>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2-</t>
    </r>
  </si>
  <si>
    <r>
      <t>Cl</t>
    </r>
    <r>
      <rPr>
        <b/>
        <vertAlign val="superscript"/>
        <sz val="10"/>
        <rFont val="Arial"/>
        <family val="2"/>
      </rPr>
      <t xml:space="preserve">- </t>
    </r>
    <r>
      <rPr>
        <b/>
        <sz val="10"/>
        <rFont val="Arial"/>
        <family val="2"/>
      </rPr>
      <t>flux</t>
    </r>
  </si>
  <si>
    <t xml:space="preserve">Yellowstone River nr Tower Junction, currently USGS does not monitor discharge.  In the past operated YNP USGS #06187550 </t>
  </si>
  <si>
    <t xml:space="preserve">YYTJ121206 </t>
  </si>
  <si>
    <t>YYTJ042307</t>
  </si>
  <si>
    <t>YYTJ053007</t>
  </si>
  <si>
    <t>YYTJ062907</t>
  </si>
  <si>
    <t>YYTJ072407</t>
  </si>
  <si>
    <t>YYTJ081107</t>
  </si>
  <si>
    <t>YYTJ090307</t>
  </si>
  <si>
    <t>YGIB082207</t>
  </si>
  <si>
    <t>YGIB090607</t>
  </si>
  <si>
    <t>YGIB091807</t>
  </si>
  <si>
    <t>YGIB093007</t>
  </si>
  <si>
    <t>YFIR062907</t>
  </si>
  <si>
    <t>YFIR071207</t>
  </si>
  <si>
    <t>YFIR071607</t>
  </si>
  <si>
    <t>YFIR072307</t>
  </si>
  <si>
    <t>YFIR080707</t>
  </si>
  <si>
    <t>YFIR082207</t>
  </si>
  <si>
    <t>YFIR090607</t>
  </si>
  <si>
    <t>YFIR091807</t>
  </si>
  <si>
    <t>YFIR093007</t>
  </si>
  <si>
    <t>YFOF062907</t>
  </si>
  <si>
    <t>YFOF071607</t>
  </si>
  <si>
    <t>YFOF072307</t>
  </si>
  <si>
    <t>YFOF081007</t>
  </si>
  <si>
    <t>YFOF082207</t>
  </si>
  <si>
    <t>YFOF091807</t>
  </si>
  <si>
    <t>YFAL061407</t>
  </si>
  <si>
    <t>YFAL062307</t>
  </si>
  <si>
    <t>YFAL062907</t>
  </si>
  <si>
    <t>YFAL070607</t>
  </si>
  <si>
    <t>YFAL071307</t>
  </si>
  <si>
    <t>YFAL072607</t>
  </si>
  <si>
    <t>YFAL080307</t>
  </si>
  <si>
    <t>YFAL081707</t>
  </si>
  <si>
    <t>YFAL082407</t>
  </si>
  <si>
    <t>YFAL090607</t>
  </si>
  <si>
    <t>YFAL092107</t>
  </si>
  <si>
    <t>YFAL092807</t>
  </si>
  <si>
    <t>YHEN061307</t>
  </si>
  <si>
    <t>YHEN062307</t>
  </si>
  <si>
    <t>YHEN063007</t>
  </si>
  <si>
    <t>YHEN070607</t>
  </si>
  <si>
    <t>YHEN071307</t>
  </si>
  <si>
    <t>YHEN072607</t>
  </si>
  <si>
    <t>YHEN080307</t>
  </si>
  <si>
    <t>YHEN081707</t>
  </si>
  <si>
    <t>YHEN082307</t>
  </si>
  <si>
    <t>YHEN090607</t>
  </si>
  <si>
    <t>YHEN092107</t>
  </si>
  <si>
    <t>YYFB090507</t>
  </si>
  <si>
    <t>YMAD093007</t>
  </si>
  <si>
    <t>bld</t>
  </si>
  <si>
    <t>*discharges in wy2007 were provisional and have not yet been checked against final approved values.</t>
  </si>
  <si>
    <t>Samples were not collected before May 04</t>
  </si>
  <si>
    <t>Water Year 2008</t>
  </si>
  <si>
    <t>YYCO100107</t>
  </si>
  <si>
    <t>YYCO101707</t>
  </si>
  <si>
    <t>YYCO110507</t>
  </si>
  <si>
    <t>YYCO120607</t>
  </si>
  <si>
    <t>YYCO010308</t>
  </si>
  <si>
    <t>YYCO020508</t>
  </si>
  <si>
    <t>YYCO030308</t>
  </si>
  <si>
    <t>YYCO031708</t>
  </si>
  <si>
    <t>YYCO040108</t>
  </si>
  <si>
    <t>YYCO041508</t>
  </si>
  <si>
    <t>YYCO042808</t>
  </si>
  <si>
    <t>YYCO050508</t>
  </si>
  <si>
    <t>YYCO051308</t>
  </si>
  <si>
    <t>YYCO052008</t>
  </si>
  <si>
    <t>Ca</t>
  </si>
  <si>
    <t>Na</t>
  </si>
  <si>
    <t>K</t>
  </si>
  <si>
    <t>Mg</t>
  </si>
  <si>
    <t>Si</t>
  </si>
  <si>
    <t>Li</t>
  </si>
  <si>
    <t>Rb</t>
  </si>
  <si>
    <t>Sr</t>
  </si>
  <si>
    <t>Ba</t>
  </si>
  <si>
    <t>B</t>
  </si>
  <si>
    <t>Al</t>
  </si>
  <si>
    <t>As</t>
  </si>
  <si>
    <t>ppm</t>
  </si>
  <si>
    <t>ppb</t>
  </si>
  <si>
    <t>YFOF011107</t>
  </si>
  <si>
    <t xml:space="preserve">YYCO020607 </t>
  </si>
  <si>
    <t>YYCO030607</t>
  </si>
  <si>
    <t xml:space="preserve">YYCO031907 </t>
  </si>
  <si>
    <t xml:space="preserve">YYCO032907 </t>
  </si>
  <si>
    <t>YYCO041307</t>
  </si>
  <si>
    <t>YYCO042307</t>
  </si>
  <si>
    <t>YGAR020607</t>
  </si>
  <si>
    <t>YGAR030607</t>
  </si>
  <si>
    <t>YGAR031907</t>
  </si>
  <si>
    <t>YGAR032907</t>
  </si>
  <si>
    <t>YGAR041307</t>
  </si>
  <si>
    <t>YGAR042307</t>
  </si>
  <si>
    <t>YBOI020607</t>
  </si>
  <si>
    <t>YBOI030607</t>
  </si>
  <si>
    <t>YBOI031907</t>
  </si>
  <si>
    <t>YBOI032907</t>
  </si>
  <si>
    <t>YBOI041307</t>
  </si>
  <si>
    <t>YBOI042307</t>
  </si>
  <si>
    <t>YGIB021307</t>
  </si>
  <si>
    <t>YGIB032007</t>
  </si>
  <si>
    <t>YGIB040907</t>
  </si>
  <si>
    <t>YGIB041807</t>
  </si>
  <si>
    <t>YGIB042507</t>
  </si>
  <si>
    <t>YFIR021307</t>
  </si>
  <si>
    <t>YFIR032007</t>
  </si>
  <si>
    <t>YFIR040907</t>
  </si>
  <si>
    <t>YFIR041807</t>
  </si>
  <si>
    <t>YFIR042507</t>
  </si>
  <si>
    <t>Samples are taken from the Mary'sville Canal at the road crossing 1/4 mile below the diversion structure which removes the water from Fall's River.  The canal water is identical to the river water, but mixed and accessable all year.</t>
  </si>
  <si>
    <t>NPS geology staff stopped regularily sampling Lamar in June because the values were so low.  The NPS  I &amp; M program sampled once a month and their detection limit is 1 mg/liter.  For Chloride all samples were bdl (below detection limit)</t>
  </si>
  <si>
    <t>Yellowstone River at Yellowstone Lk Outlet, YNP USGS #0618500</t>
  </si>
  <si>
    <t>YGAR051407</t>
  </si>
  <si>
    <t>YGAR052107</t>
  </si>
  <si>
    <t>YGAR053007</t>
  </si>
  <si>
    <t>YGAR060407</t>
  </si>
  <si>
    <t>YGAR061107</t>
  </si>
  <si>
    <t>YGAR061807</t>
  </si>
  <si>
    <t>YBOI043007</t>
  </si>
  <si>
    <t>YBOI050707</t>
  </si>
  <si>
    <t>YBOI051407</t>
  </si>
  <si>
    <t>YBOI052107</t>
  </si>
  <si>
    <t>YBOI053007</t>
  </si>
  <si>
    <t>YBOI060407</t>
  </si>
  <si>
    <t>YBOI061107</t>
  </si>
  <si>
    <t>YYFB050307</t>
  </si>
  <si>
    <t>YYFB050807</t>
  </si>
  <si>
    <t>YYFB051407</t>
  </si>
  <si>
    <t>YYFB053107</t>
  </si>
  <si>
    <t>YYFB061207</t>
  </si>
  <si>
    <t>YGIB050107</t>
  </si>
  <si>
    <t>YGIB051507</t>
  </si>
  <si>
    <t>YGIB051707</t>
  </si>
  <si>
    <t>YGIB053107</t>
  </si>
  <si>
    <t>YGIB060607</t>
  </si>
  <si>
    <t>YGIB061307</t>
  </si>
  <si>
    <t>YFIR050107</t>
  </si>
  <si>
    <t>YFIR051507</t>
  </si>
  <si>
    <t>YFIR051707</t>
  </si>
  <si>
    <t>YFIR053107</t>
  </si>
  <si>
    <t>YFIR060607</t>
  </si>
  <si>
    <t>YFIR061307</t>
  </si>
  <si>
    <t>YHEN041907</t>
  </si>
  <si>
    <t>YHEN042607</t>
  </si>
  <si>
    <t>YHEN050307</t>
  </si>
  <si>
    <t>YHEN050807</t>
  </si>
  <si>
    <t>YHEN051507</t>
  </si>
  <si>
    <t>YHEN052207</t>
  </si>
  <si>
    <t>YHEN053007</t>
  </si>
  <si>
    <t>YHEN060707</t>
  </si>
  <si>
    <t>YFOF042607</t>
  </si>
  <si>
    <t>YFOF050107</t>
  </si>
  <si>
    <t>YFOF050807</t>
  </si>
  <si>
    <t>YFOF051507</t>
  </si>
  <si>
    <t>YFOF052207</t>
  </si>
  <si>
    <t>YFOF060607</t>
  </si>
  <si>
    <t>YLAM051607</t>
  </si>
  <si>
    <t>Y LAM061407</t>
  </si>
  <si>
    <t>YSNA041907</t>
  </si>
  <si>
    <t>YSNA050107</t>
  </si>
  <si>
    <t>YSNA050307</t>
  </si>
  <si>
    <t>YSNA050907</t>
  </si>
  <si>
    <t xml:space="preserve">YHF090405? </t>
  </si>
  <si>
    <t xml:space="preserve">YHF091205? </t>
  </si>
  <si>
    <t xml:space="preserve">YHF093005 </t>
  </si>
  <si>
    <t xml:space="preserve">YHF101505 </t>
  </si>
  <si>
    <t>YHF011806</t>
  </si>
  <si>
    <t>YHF022006</t>
  </si>
  <si>
    <t>YHF031006</t>
  </si>
  <si>
    <t>YHF040206</t>
  </si>
  <si>
    <t xml:space="preserve">YHF041506 </t>
  </si>
  <si>
    <t>YHF042706</t>
  </si>
  <si>
    <t>YHF050306</t>
  </si>
  <si>
    <t>YHF050706</t>
  </si>
  <si>
    <t>YHF051406</t>
  </si>
  <si>
    <t>YHF052106</t>
  </si>
  <si>
    <t>YHF053106</t>
  </si>
  <si>
    <t>YHF060906</t>
  </si>
  <si>
    <t>YHEN061406</t>
  </si>
  <si>
    <t>YHEN062206</t>
  </si>
  <si>
    <t>YHEN062906</t>
  </si>
  <si>
    <t>YHEN070606</t>
  </si>
  <si>
    <t>YHEN071406</t>
  </si>
  <si>
    <t>YHEN072506</t>
  </si>
  <si>
    <t>YHEN080306</t>
  </si>
  <si>
    <t>YHEN081506</t>
  </si>
  <si>
    <t>YHEN083006</t>
  </si>
  <si>
    <t>YHEN091306</t>
  </si>
  <si>
    <t>YHEN092706</t>
  </si>
  <si>
    <t>Water year 2003</t>
  </si>
  <si>
    <t xml:space="preserve">YHF122005 </t>
  </si>
  <si>
    <t>Sample ID</t>
  </si>
  <si>
    <t xml:space="preserve">YFR052305 </t>
  </si>
  <si>
    <t>The sample is actually taken adjacent to McMinn bench above the Rescue Creek Trail footbridge.</t>
  </si>
  <si>
    <t>YYCO080807</t>
  </si>
  <si>
    <t>YYCO082207</t>
  </si>
  <si>
    <t>YYCO090507</t>
  </si>
  <si>
    <t>YYCO091707</t>
  </si>
  <si>
    <t>YYFB070907</t>
  </si>
  <si>
    <t>YYFB080807</t>
  </si>
  <si>
    <t>YYFB091007</t>
  </si>
  <si>
    <t>YGAR062807</t>
  </si>
  <si>
    <t>YGAR071007</t>
  </si>
  <si>
    <t>YGAR072607</t>
  </si>
  <si>
    <t>YGAR080807</t>
  </si>
  <si>
    <t>YGAR082207</t>
  </si>
  <si>
    <t>YGAR090507</t>
  </si>
  <si>
    <t>YGAR091707</t>
  </si>
  <si>
    <t>YBOI062807</t>
  </si>
  <si>
    <t>YBOI071007</t>
  </si>
  <si>
    <t>YBOI072607</t>
  </si>
  <si>
    <t>YBOI080807</t>
  </si>
  <si>
    <t>YBOI082207</t>
  </si>
  <si>
    <t>YBOI090507</t>
  </si>
  <si>
    <t>YBOI091707</t>
  </si>
  <si>
    <t>YSNA062507</t>
  </si>
  <si>
    <t>YSNA070307</t>
  </si>
  <si>
    <t>YSNA071007</t>
  </si>
  <si>
    <t>YSNA071707</t>
  </si>
  <si>
    <t>YSNA080807</t>
  </si>
  <si>
    <t>YSNA082407</t>
  </si>
  <si>
    <t>YSNA090507</t>
  </si>
  <si>
    <t>YSNA091807</t>
  </si>
  <si>
    <t>YSNA093007</t>
  </si>
  <si>
    <t>YMAD062707</t>
  </si>
  <si>
    <t>YMAD071107</t>
  </si>
  <si>
    <t>YMAD072607</t>
  </si>
  <si>
    <t>YMAD080807</t>
  </si>
  <si>
    <t>YMAD082207</t>
  </si>
  <si>
    <t>YMAD091407</t>
  </si>
  <si>
    <t>YGIB062907</t>
  </si>
  <si>
    <t>YGIB071207</t>
  </si>
  <si>
    <t>YGIB072407</t>
  </si>
  <si>
    <t>YGIB080707</t>
  </si>
  <si>
    <t xml:space="preserve">YGAR101806 </t>
  </si>
  <si>
    <t xml:space="preserve">YGAR111306 </t>
  </si>
  <si>
    <t xml:space="preserve">YGAR121206 </t>
  </si>
  <si>
    <t xml:space="preserve">YGAR010807 </t>
  </si>
  <si>
    <t xml:space="preserve">YHEN102106 </t>
  </si>
  <si>
    <t xml:space="preserve">YHEN111406 </t>
  </si>
  <si>
    <t xml:space="preserve">YHEN121406 </t>
  </si>
  <si>
    <t xml:space="preserve">YFAL111606 </t>
  </si>
  <si>
    <t xml:space="preserve">YFAL121506 </t>
  </si>
  <si>
    <t xml:space="preserve">YMAD102006 </t>
  </si>
  <si>
    <t xml:space="preserve">YMAD110406 </t>
  </si>
  <si>
    <t xml:space="preserve">YMAD112706 </t>
  </si>
  <si>
    <t xml:space="preserve">YMAD121706 </t>
  </si>
  <si>
    <t xml:space="preserve">YMAD011007 </t>
  </si>
  <si>
    <t xml:space="preserve">YYCR102306 </t>
  </si>
  <si>
    <t xml:space="preserve">YYCR111306 </t>
  </si>
  <si>
    <t xml:space="preserve">YYCR121206 </t>
  </si>
  <si>
    <t xml:space="preserve">YYCR010807 </t>
  </si>
  <si>
    <t xml:space="preserve">YGIB101906 </t>
  </si>
  <si>
    <t xml:space="preserve">YGIB111506 </t>
  </si>
  <si>
    <t xml:space="preserve">YGIB121206 </t>
  </si>
  <si>
    <t xml:space="preserve">YFIR101906 </t>
  </si>
  <si>
    <t xml:space="preserve">YFIR111506 </t>
  </si>
  <si>
    <t xml:space="preserve">YFIR121206 </t>
  </si>
  <si>
    <t xml:space="preserve">YFIR011707 </t>
  </si>
  <si>
    <t xml:space="preserve">YLAM102406 </t>
  </si>
  <si>
    <t xml:space="preserve">YLAM111606 </t>
  </si>
  <si>
    <t xml:space="preserve">YLAM121206 </t>
  </si>
  <si>
    <t xml:space="preserve">YLAM011007 </t>
  </si>
  <si>
    <t xml:space="preserve">YYFB102406 </t>
  </si>
  <si>
    <t xml:space="preserve">YYFB111406 </t>
  </si>
  <si>
    <t xml:space="preserve">YYFB121206 </t>
  </si>
  <si>
    <t xml:space="preserve">YYFB011607 </t>
  </si>
  <si>
    <t>YBOI101806</t>
  </si>
  <si>
    <t>YBOI111306</t>
  </si>
  <si>
    <t>YBOI121206</t>
  </si>
  <si>
    <t xml:space="preserve">YFOF102606 </t>
  </si>
  <si>
    <t>`</t>
  </si>
  <si>
    <t>YGIB011706</t>
  </si>
  <si>
    <t>YBOI011806</t>
  </si>
  <si>
    <t xml:space="preserve">YFOF110706 </t>
  </si>
  <si>
    <t>NA</t>
  </si>
  <si>
    <t>YBR053105</t>
  </si>
  <si>
    <t>YBR060605</t>
  </si>
  <si>
    <t>YBR061205</t>
  </si>
  <si>
    <t>YBR062005</t>
  </si>
  <si>
    <t>YBR062905</t>
  </si>
  <si>
    <t>YBR070505</t>
  </si>
  <si>
    <t>YBR071105</t>
  </si>
  <si>
    <t>YBR072005</t>
  </si>
  <si>
    <t>YBR072605</t>
  </si>
  <si>
    <t>YBR080105</t>
  </si>
  <si>
    <t>YBR081505</t>
  </si>
  <si>
    <t>YBR083005</t>
  </si>
  <si>
    <t>YBR091205</t>
  </si>
  <si>
    <t>YBR092705</t>
  </si>
  <si>
    <t>YBR102405</t>
  </si>
  <si>
    <t>YBR111705</t>
  </si>
  <si>
    <t>YBR030706</t>
  </si>
  <si>
    <t>YBR032106</t>
  </si>
  <si>
    <t>YBR041206</t>
  </si>
  <si>
    <t>YBR042606</t>
  </si>
  <si>
    <t>YBR050406</t>
  </si>
  <si>
    <t>YBR050906</t>
  </si>
  <si>
    <t>YBR051706</t>
  </si>
  <si>
    <t>YBR052306</t>
  </si>
  <si>
    <t>YBR053106</t>
  </si>
  <si>
    <t>YBR060706</t>
  </si>
  <si>
    <t>YBR061306</t>
  </si>
  <si>
    <t>YBOI062106</t>
  </si>
  <si>
    <t>YBOI062706</t>
  </si>
  <si>
    <t>YBOI070306</t>
  </si>
  <si>
    <t>YBOI071106</t>
  </si>
  <si>
    <t>YBOI071806</t>
  </si>
  <si>
    <t>YBOI072506</t>
  </si>
  <si>
    <t>YBOI080206</t>
  </si>
  <si>
    <t>YBOI081406</t>
  </si>
  <si>
    <t>YBOI083106</t>
  </si>
  <si>
    <t>YBOI091406</t>
  </si>
  <si>
    <t>YBOI100506</t>
  </si>
  <si>
    <t xml:space="preserve">YYFB021207 </t>
  </si>
  <si>
    <t xml:space="preserve">YYFB032007 </t>
  </si>
  <si>
    <t xml:space="preserve">YYFB041607 </t>
  </si>
  <si>
    <t>YLAM041707</t>
  </si>
  <si>
    <t xml:space="preserve">YLAM021407 </t>
  </si>
  <si>
    <t>YLAM032107</t>
  </si>
  <si>
    <t>YMAD020607</t>
  </si>
  <si>
    <t>YMAD030607</t>
  </si>
  <si>
    <t>YMAD032107</t>
  </si>
  <si>
    <t>YMAD040907</t>
  </si>
  <si>
    <t>YMAD041807</t>
  </si>
  <si>
    <t>YFAL011107</t>
  </si>
  <si>
    <t>YFAL021007</t>
  </si>
  <si>
    <t>YFAL030807</t>
  </si>
  <si>
    <t>YFAL032307</t>
  </si>
  <si>
    <t>YFAL040407</t>
  </si>
  <si>
    <t>YHEN011107</t>
  </si>
  <si>
    <t>YHEN020907</t>
  </si>
  <si>
    <t>YHEN030707</t>
  </si>
  <si>
    <t>YHEN032207</t>
  </si>
  <si>
    <t>YHEN040207</t>
  </si>
  <si>
    <t>YFOF020907</t>
  </si>
  <si>
    <t>YFOF030907</t>
  </si>
  <si>
    <t>YFOF032107</t>
  </si>
  <si>
    <t>YFOF041207</t>
  </si>
  <si>
    <t>YFOF042507</t>
  </si>
  <si>
    <t>YSNA020607</t>
  </si>
  <si>
    <t>YSNA030807</t>
  </si>
  <si>
    <t>YSNA040607</t>
  </si>
  <si>
    <t>YSNA041707</t>
  </si>
  <si>
    <t>YYCO043007</t>
  </si>
  <si>
    <t>YYCO050707</t>
  </si>
  <si>
    <t>YYCO051407</t>
  </si>
  <si>
    <t>YYCO052107</t>
  </si>
  <si>
    <t>YYCO053007</t>
  </si>
  <si>
    <t>YYCO060407</t>
  </si>
  <si>
    <t>YYCO061807</t>
  </si>
  <si>
    <t>YYCO061107</t>
  </si>
  <si>
    <t>YGAR043007</t>
  </si>
  <si>
    <t>YGAR050707</t>
  </si>
  <si>
    <t>YMR042506</t>
  </si>
  <si>
    <t>YMR050206</t>
  </si>
  <si>
    <t>YMR050906</t>
  </si>
  <si>
    <t>YMR051706</t>
  </si>
  <si>
    <t>YMR052406</t>
  </si>
  <si>
    <t>YMR053106</t>
  </si>
  <si>
    <t>YMR060706</t>
  </si>
  <si>
    <t>YMR061306</t>
  </si>
  <si>
    <t>YMAD062606</t>
  </si>
  <si>
    <t>YMAD062806</t>
  </si>
  <si>
    <t>YMAD070506</t>
  </si>
  <si>
    <t>YMAD071106</t>
  </si>
  <si>
    <t>YMAD071806</t>
  </si>
  <si>
    <t>YMAD072606</t>
  </si>
  <si>
    <t>YMAD080106</t>
  </si>
  <si>
    <t>YMAD081406</t>
  </si>
  <si>
    <t>YMAD082806</t>
  </si>
  <si>
    <t>YMAD091306</t>
  </si>
  <si>
    <t>YMAD092506</t>
  </si>
  <si>
    <t>YHF102004</t>
  </si>
  <si>
    <t xml:space="preserve">YHF011805 </t>
  </si>
  <si>
    <t>YHF121204</t>
  </si>
  <si>
    <t xml:space="preserve">YHF022205 </t>
  </si>
  <si>
    <t xml:space="preserve">YHF031605 </t>
  </si>
  <si>
    <t xml:space="preserve">YHF032905 </t>
  </si>
  <si>
    <t xml:space="preserve">YHF041205? </t>
  </si>
  <si>
    <t xml:space="preserve">YHF042705? </t>
  </si>
  <si>
    <t xml:space="preserve">YHF050305 </t>
  </si>
  <si>
    <t xml:space="preserve">YHF050805 </t>
  </si>
  <si>
    <t xml:space="preserve">YHF051505 </t>
  </si>
  <si>
    <t xml:space="preserve">YHF052205 </t>
  </si>
  <si>
    <t xml:space="preserve">YHF052605 </t>
  </si>
  <si>
    <t xml:space="preserve">YHF060305 </t>
  </si>
  <si>
    <t xml:space="preserve">YHF061005 </t>
  </si>
  <si>
    <t xml:space="preserve">YHF061905 </t>
  </si>
  <si>
    <t xml:space="preserve">YHF063005 </t>
  </si>
  <si>
    <t xml:space="preserve">YHF071905 </t>
  </si>
  <si>
    <t xml:space="preserve">YHF072705 </t>
  </si>
  <si>
    <t xml:space="preserve">YHF080305 </t>
  </si>
  <si>
    <t xml:space="preserve">YHF080605 </t>
  </si>
  <si>
    <t xml:space="preserve">YHF081505 </t>
  </si>
  <si>
    <t xml:space="preserve">YHF082105 </t>
  </si>
  <si>
    <t xml:space="preserve">YHF083105 </t>
  </si>
  <si>
    <t>YFIR080206</t>
  </si>
  <si>
    <t>YFIR081006</t>
  </si>
  <si>
    <t>YFIR081606</t>
  </si>
  <si>
    <t>YFIR090706</t>
  </si>
  <si>
    <t>YFIR100406</t>
  </si>
  <si>
    <t>MST/MDT</t>
  </si>
  <si>
    <t>YGIB100404</t>
  </si>
  <si>
    <t>YGIB102104</t>
  </si>
  <si>
    <t>YGIB110204</t>
  </si>
  <si>
    <t>YGIB111804</t>
  </si>
  <si>
    <t>YGIB113004</t>
  </si>
  <si>
    <t>YGIB121304</t>
  </si>
  <si>
    <t>YGIB011105</t>
  </si>
  <si>
    <t xml:space="preserve">YGIB020705 </t>
  </si>
  <si>
    <t xml:space="preserve">YGIB031105 </t>
  </si>
  <si>
    <t xml:space="preserve">YGIB032305 </t>
  </si>
  <si>
    <t xml:space="preserve">YGIB040505 </t>
  </si>
  <si>
    <t xml:space="preserve">YGIB041805 </t>
  </si>
  <si>
    <t xml:space="preserve">YGIB050505 </t>
  </si>
  <si>
    <t xml:space="preserve">YGIB051705 </t>
  </si>
  <si>
    <t xml:space="preserve">YGIB053105 </t>
  </si>
  <si>
    <t xml:space="preserve">YGIB061505 </t>
  </si>
  <si>
    <t xml:space="preserve">YGIB062905 </t>
  </si>
  <si>
    <t xml:space="preserve">YGIB071105 </t>
  </si>
  <si>
    <t xml:space="preserve">YGIB080905 </t>
  </si>
  <si>
    <t xml:space="preserve">YGIB082205 </t>
  </si>
  <si>
    <t xml:space="preserve">YGIB090605 </t>
  </si>
  <si>
    <t xml:space="preserve">YGIB091905 </t>
  </si>
  <si>
    <t xml:space="preserve">YGIB100605 </t>
  </si>
  <si>
    <t xml:space="preserve">YGIB101905 </t>
  </si>
  <si>
    <t xml:space="preserve">YGIB111505 </t>
  </si>
  <si>
    <t xml:space="preserve">YGIB121205 </t>
  </si>
  <si>
    <t xml:space="preserve">YGIB011106 </t>
  </si>
  <si>
    <t>YGIB020706</t>
  </si>
  <si>
    <t>YGIB032006</t>
  </si>
  <si>
    <t>YGIB041906</t>
  </si>
  <si>
    <t>YGIB051006</t>
  </si>
  <si>
    <t>Note: This river is regulated by three upstream dams.</t>
  </si>
  <si>
    <t>Samples were not collected December through Febuary</t>
  </si>
  <si>
    <t>Samples were not collected during the winter.</t>
  </si>
  <si>
    <t>YHF110105</t>
  </si>
  <si>
    <t>Samples were not collected prior to March 05</t>
  </si>
  <si>
    <t>YLR050406</t>
  </si>
  <si>
    <t>YLR051606</t>
  </si>
  <si>
    <t>YLR051806</t>
  </si>
  <si>
    <t>YLR061506</t>
  </si>
  <si>
    <t>YLAM071206</t>
  </si>
  <si>
    <t>YLAM080206</t>
  </si>
  <si>
    <t>YLAM080806</t>
  </si>
  <si>
    <t>YLAM090606</t>
  </si>
  <si>
    <t>The Lamar was deliberately sampled less frequently than other  rivers.</t>
  </si>
  <si>
    <t xml:space="preserve">YFB061406 </t>
  </si>
  <si>
    <t>YGR070903</t>
  </si>
  <si>
    <t>g/sec</t>
  </si>
  <si>
    <t xml:space="preserve"> </t>
  </si>
  <si>
    <t>YFR093002</t>
  </si>
  <si>
    <t>The sample is taken 1 km above La Duke Hot Springs on the Paul Miller property.</t>
  </si>
  <si>
    <t xml:space="preserve">YSNA101806 </t>
  </si>
  <si>
    <t xml:space="preserve">YSNA011407 </t>
  </si>
  <si>
    <t>YGR072005</t>
  </si>
  <si>
    <t xml:space="preserve">YGR072105 </t>
  </si>
  <si>
    <t>YGR072505</t>
  </si>
  <si>
    <t xml:space="preserve">YGR080105 </t>
  </si>
  <si>
    <t xml:space="preserve">YGR081505 </t>
  </si>
  <si>
    <t>YGR083005</t>
  </si>
  <si>
    <t>YGR090905</t>
  </si>
  <si>
    <t>YGR091205</t>
  </si>
  <si>
    <t>YGR092705</t>
  </si>
  <si>
    <t>YGR102405</t>
  </si>
  <si>
    <t>YGR111705</t>
  </si>
  <si>
    <t>YGR030706</t>
  </si>
  <si>
    <t>YGR032106</t>
  </si>
  <si>
    <t>YGR041206</t>
  </si>
  <si>
    <t>YGR042606</t>
  </si>
  <si>
    <t>YGR050406</t>
  </si>
  <si>
    <t>YGR050906</t>
  </si>
  <si>
    <t>YGR051706</t>
  </si>
  <si>
    <t>YGR052306</t>
  </si>
  <si>
    <t>YGR053106</t>
  </si>
  <si>
    <t>YGR060706</t>
  </si>
  <si>
    <t>YGR061306</t>
  </si>
  <si>
    <t>YGAR062106</t>
  </si>
  <si>
    <t>YGAR062706</t>
  </si>
  <si>
    <t>YGAR070606</t>
  </si>
  <si>
    <t>YGAR071106</t>
  </si>
  <si>
    <t>YGAR071806</t>
  </si>
  <si>
    <t>YGAR072506</t>
  </si>
  <si>
    <t>YGAR080206</t>
  </si>
  <si>
    <t>YGAR081406</t>
  </si>
  <si>
    <t>YGAR083106</t>
  </si>
  <si>
    <t>YGAR091406</t>
  </si>
  <si>
    <t>YGAR100506</t>
  </si>
  <si>
    <t>WaterYear 2005</t>
  </si>
  <si>
    <t>December through Febuary were not collected</t>
  </si>
  <si>
    <t>YBR020205</t>
  </si>
  <si>
    <t>YBR021605</t>
  </si>
  <si>
    <t>YBR030805</t>
  </si>
  <si>
    <t>YBR032105</t>
  </si>
  <si>
    <t>YBR041105</t>
  </si>
  <si>
    <t>YBR042505</t>
  </si>
  <si>
    <t>YBR051705</t>
  </si>
  <si>
    <t>YBR052305</t>
  </si>
  <si>
    <t xml:space="preserve">YFR031205 </t>
  </si>
  <si>
    <t xml:space="preserve">YFR032205 </t>
  </si>
  <si>
    <t xml:space="preserve">YFR041005 </t>
  </si>
  <si>
    <t xml:space="preserve">YFR042805 </t>
  </si>
  <si>
    <t xml:space="preserve">YFR050205  </t>
  </si>
  <si>
    <t xml:space="preserve">YFR050905 </t>
  </si>
  <si>
    <t xml:space="preserve">YFR051605 </t>
  </si>
  <si>
    <t xml:space="preserve">YFR060105 </t>
  </si>
  <si>
    <t xml:space="preserve">YFR061505 </t>
  </si>
  <si>
    <t xml:space="preserve">YFR063005 </t>
  </si>
  <si>
    <t xml:space="preserve">YFR070805 </t>
  </si>
  <si>
    <t xml:space="preserve">YFR071705 </t>
  </si>
  <si>
    <t xml:space="preserve">YFR072705 </t>
  </si>
  <si>
    <t xml:space="preserve">YFR081305 </t>
  </si>
  <si>
    <t xml:space="preserve">YFR081405 </t>
  </si>
  <si>
    <t xml:space="preserve">YFR083005 </t>
  </si>
  <si>
    <t xml:space="preserve">YFR091405 </t>
  </si>
  <si>
    <t xml:space="preserve">YFR101505 </t>
  </si>
  <si>
    <t xml:space="preserve">YFR111205 </t>
  </si>
  <si>
    <t>YFR031006</t>
  </si>
  <si>
    <t>YFR040206</t>
  </si>
  <si>
    <t>YFR041506</t>
  </si>
  <si>
    <t>YFR042506</t>
  </si>
  <si>
    <t>YFR050306</t>
  </si>
  <si>
    <t>YFR050906</t>
  </si>
  <si>
    <t>YFR051606</t>
  </si>
  <si>
    <t>YFR052306</t>
  </si>
  <si>
    <t>YFR053106</t>
  </si>
  <si>
    <t>YFR060906</t>
  </si>
  <si>
    <t>YFAL061406</t>
  </si>
  <si>
    <t>YFAL062206</t>
  </si>
  <si>
    <t>YFAL062906</t>
  </si>
  <si>
    <t>YFAL070506</t>
  </si>
  <si>
    <t>YFAL071406</t>
  </si>
  <si>
    <t>YFAL072506</t>
  </si>
  <si>
    <t>YFAL080306</t>
  </si>
  <si>
    <t>YFAL081406</t>
  </si>
  <si>
    <t>YFAL083006</t>
  </si>
  <si>
    <t>YMR102004</t>
  </si>
  <si>
    <t>YMR111504</t>
  </si>
  <si>
    <t>YMR111604</t>
  </si>
  <si>
    <t>YMR011205</t>
  </si>
  <si>
    <t>YMR011905</t>
  </si>
  <si>
    <t xml:space="preserve">YMR021505 </t>
  </si>
  <si>
    <t xml:space="preserve">YMR030805 </t>
  </si>
  <si>
    <t xml:space="preserve">YMR032105 </t>
  </si>
  <si>
    <t xml:space="preserve">YMR041105 </t>
  </si>
  <si>
    <t xml:space="preserve">YMR041805 </t>
  </si>
  <si>
    <t xml:space="preserve">YMR042605 </t>
  </si>
  <si>
    <t xml:space="preserve">YMR050205 </t>
  </si>
  <si>
    <t xml:space="preserve">YMR050605 </t>
  </si>
  <si>
    <t xml:space="preserve">YMR050905 </t>
  </si>
  <si>
    <t xml:space="preserve">YMR051605 </t>
  </si>
  <si>
    <t xml:space="preserve">YMR051905 </t>
  </si>
  <si>
    <t xml:space="preserve">YMR052305 </t>
  </si>
  <si>
    <t xml:space="preserve">YMR053005 </t>
  </si>
  <si>
    <t xml:space="preserve">YMR061305 </t>
  </si>
  <si>
    <t xml:space="preserve">YMR061505 </t>
  </si>
  <si>
    <t xml:space="preserve">YMR062105 </t>
  </si>
  <si>
    <t xml:space="preserve">YMR062705 </t>
  </si>
  <si>
    <t xml:space="preserve">YMR070505 </t>
  </si>
  <si>
    <t xml:space="preserve">YMR071105 </t>
  </si>
  <si>
    <t xml:space="preserve">YMR071905 </t>
  </si>
  <si>
    <t xml:space="preserve">YMR072505 </t>
  </si>
  <si>
    <t xml:space="preserve">YMR072605 </t>
  </si>
  <si>
    <t xml:space="preserve">YMR081605 </t>
  </si>
  <si>
    <t xml:space="preserve">YMR082905 </t>
  </si>
  <si>
    <t>YMR090705</t>
  </si>
  <si>
    <t xml:space="preserve">YMR091205 </t>
  </si>
  <si>
    <t xml:space="preserve">YMR092705 </t>
  </si>
  <si>
    <t xml:space="preserve">YMR101705 </t>
  </si>
  <si>
    <t xml:space="preserve">YMR101905 </t>
  </si>
  <si>
    <t xml:space="preserve">YMR111505 </t>
  </si>
  <si>
    <t>YMR121305</t>
  </si>
  <si>
    <t xml:space="preserve">YMR121705 </t>
  </si>
  <si>
    <t xml:space="preserve">YMR011806 </t>
  </si>
  <si>
    <t>YMR021406</t>
  </si>
  <si>
    <t>YMR030806</t>
  </si>
  <si>
    <t>YFIR121304</t>
  </si>
  <si>
    <t>YFIR011105</t>
  </si>
  <si>
    <t xml:space="preserve">YFIR020805 </t>
  </si>
  <si>
    <t xml:space="preserve">YFIR031105 </t>
  </si>
  <si>
    <t xml:space="preserve">YFIR032305 </t>
  </si>
  <si>
    <t xml:space="preserve">YFIR040505 </t>
  </si>
  <si>
    <t xml:space="preserve">YFIR041805 </t>
  </si>
  <si>
    <t xml:space="preserve">YFIR050505 </t>
  </si>
  <si>
    <t xml:space="preserve">YFIR051705 </t>
  </si>
  <si>
    <t xml:space="preserve">YFIR053105 </t>
  </si>
  <si>
    <t xml:space="preserve">YFIR061505 </t>
  </si>
  <si>
    <t xml:space="preserve">YFIR062905 </t>
  </si>
  <si>
    <t xml:space="preserve">YFIR071105 </t>
  </si>
  <si>
    <t xml:space="preserve">YFIR072905 </t>
  </si>
  <si>
    <t xml:space="preserve">YFIR080905 </t>
  </si>
  <si>
    <t xml:space="preserve">YFIR082205 </t>
  </si>
  <si>
    <t xml:space="preserve">YFIR090605 </t>
  </si>
  <si>
    <t xml:space="preserve">YFIR091905 </t>
  </si>
  <si>
    <t xml:space="preserve">YFIR100605 </t>
  </si>
  <si>
    <t xml:space="preserve">YFIR101905 </t>
  </si>
  <si>
    <t xml:space="preserve">YFIR111505 </t>
  </si>
  <si>
    <t xml:space="preserve">YFIR121205 </t>
  </si>
  <si>
    <t xml:space="preserve">YFIR011106 </t>
  </si>
  <si>
    <t>YFIR020706</t>
  </si>
  <si>
    <t>YFIR032006</t>
  </si>
  <si>
    <t>YFIR041906</t>
  </si>
  <si>
    <t xml:space="preserve">YFH050306 </t>
  </si>
  <si>
    <t>YFH051006</t>
  </si>
  <si>
    <t>YFIR051706</t>
  </si>
  <si>
    <t>YFIR052206</t>
  </si>
  <si>
    <t>YFIR052306</t>
  </si>
  <si>
    <t>YFIR060206</t>
  </si>
  <si>
    <t>YFIR060506</t>
  </si>
  <si>
    <t>YFIR061206</t>
  </si>
  <si>
    <t>YFIR061406</t>
  </si>
  <si>
    <t>YFIR062206</t>
  </si>
  <si>
    <t>YFIR063006</t>
  </si>
  <si>
    <t>YFIR070806</t>
  </si>
  <si>
    <t>YFIR071306</t>
  </si>
  <si>
    <t>YFIR072006</t>
  </si>
  <si>
    <t>YFIR072706</t>
  </si>
  <si>
    <t>YMR070704</t>
  </si>
  <si>
    <t>YMR071004</t>
  </si>
  <si>
    <t>YMR071704</t>
  </si>
  <si>
    <t>YMR072404</t>
  </si>
  <si>
    <t>YMR081504</t>
  </si>
  <si>
    <t>YMR082104</t>
  </si>
  <si>
    <t>YMR082404</t>
  </si>
  <si>
    <t>YMR082804</t>
  </si>
  <si>
    <t>YMR091104</t>
  </si>
  <si>
    <t>Water Year 2002</t>
  </si>
  <si>
    <t>Water Year 2003</t>
  </si>
  <si>
    <t>YMR102402</t>
  </si>
  <si>
    <t>Water Year 2004</t>
  </si>
  <si>
    <t>bdl</t>
  </si>
  <si>
    <t xml:space="preserve">YSR040503 </t>
  </si>
  <si>
    <t xml:space="preserve">YSR071803 </t>
  </si>
  <si>
    <t>HENRYS FORK</t>
  </si>
  <si>
    <t>cfs</t>
  </si>
  <si>
    <t>mg/l</t>
  </si>
  <si>
    <t>Discharge</t>
  </si>
  <si>
    <t>Alkalinity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</si>
  <si>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</t>
    </r>
  </si>
  <si>
    <t>Water Year 2005</t>
  </si>
  <si>
    <t>YYR101804</t>
  </si>
  <si>
    <t>YYR111504</t>
  </si>
  <si>
    <t>YYR121304</t>
  </si>
  <si>
    <t xml:space="preserve">YYR020205 </t>
  </si>
  <si>
    <t xml:space="preserve">YYR021605 </t>
  </si>
  <si>
    <t xml:space="preserve">YYR030805 </t>
  </si>
  <si>
    <t xml:space="preserve">YYR032105 </t>
  </si>
  <si>
    <t xml:space="preserve">YYR041105 </t>
  </si>
  <si>
    <t xml:space="preserve">YYR041905 </t>
  </si>
  <si>
    <t xml:space="preserve">YYR042505 </t>
  </si>
  <si>
    <t xml:space="preserve">YYR050905 </t>
  </si>
  <si>
    <t xml:space="preserve">YYR051705 </t>
  </si>
  <si>
    <t xml:space="preserve">YYR052305 </t>
  </si>
  <si>
    <t xml:space="preserve">YYR053105 </t>
  </si>
  <si>
    <t xml:space="preserve">YYR060605 </t>
  </si>
  <si>
    <t>YGIB052206</t>
  </si>
  <si>
    <t>YGIB052306</t>
  </si>
  <si>
    <t>YGIB060206</t>
  </si>
  <si>
    <t>YGIB060506</t>
  </si>
  <si>
    <t>YGIB061206</t>
  </si>
  <si>
    <t>YGIB061406</t>
  </si>
  <si>
    <t>YGIB062206</t>
  </si>
  <si>
    <t>YGIB063006</t>
  </si>
  <si>
    <t>YGIB070806</t>
  </si>
  <si>
    <t>YGIB071306</t>
  </si>
  <si>
    <t>YGIB071906</t>
  </si>
  <si>
    <t>YGIB072706</t>
  </si>
  <si>
    <t>YGIB080206</t>
  </si>
  <si>
    <t>YGIB081006</t>
  </si>
  <si>
    <t>YGIB081606</t>
  </si>
  <si>
    <t>YGIB090706</t>
  </si>
  <si>
    <t>YGIB100406</t>
  </si>
  <si>
    <t>YGR101804</t>
  </si>
  <si>
    <t>YGR101904</t>
  </si>
  <si>
    <t>YGR111504</t>
  </si>
  <si>
    <t>YGR120904</t>
  </si>
  <si>
    <t>YGR121304</t>
  </si>
  <si>
    <t>YGR020205</t>
  </si>
  <si>
    <t>YGR021605</t>
  </si>
  <si>
    <t>YGR030105</t>
  </si>
  <si>
    <t>YGR030805</t>
  </si>
  <si>
    <t>YGR032105</t>
  </si>
  <si>
    <t>YGR041105</t>
  </si>
  <si>
    <t>YGR041905</t>
  </si>
  <si>
    <t>YGR042005</t>
  </si>
  <si>
    <t>YGR042505</t>
  </si>
  <si>
    <t>YGR050905</t>
  </si>
  <si>
    <t>YGR051705</t>
  </si>
  <si>
    <t>YGR052305</t>
  </si>
  <si>
    <t>YGR053105</t>
  </si>
  <si>
    <t xml:space="preserve">YGR060605 </t>
  </si>
  <si>
    <t>YGR061205</t>
  </si>
  <si>
    <t>YGR062005</t>
  </si>
  <si>
    <t>YGR062905</t>
  </si>
  <si>
    <t>YGR070505</t>
  </si>
  <si>
    <t xml:space="preserve">YGR071105 </t>
  </si>
  <si>
    <t xml:space="preserve">YSR030805 </t>
  </si>
  <si>
    <t xml:space="preserve">YSR041105 </t>
  </si>
  <si>
    <t xml:space="preserve">YSR041705 </t>
  </si>
  <si>
    <t xml:space="preserve">YSR050205 </t>
  </si>
  <si>
    <t xml:space="preserve">YSR050905 </t>
  </si>
  <si>
    <t xml:space="preserve">YSR051605 </t>
  </si>
  <si>
    <t xml:space="preserve">YSR052305 </t>
  </si>
  <si>
    <t xml:space="preserve">YSR053005 </t>
  </si>
  <si>
    <t xml:space="preserve">YSR060805 </t>
  </si>
  <si>
    <t xml:space="preserve">YSR061305 </t>
  </si>
  <si>
    <t xml:space="preserve">YSR062705 </t>
  </si>
  <si>
    <t xml:space="preserve">YSR071105 </t>
  </si>
  <si>
    <t xml:space="preserve">YSR071805 </t>
  </si>
  <si>
    <t xml:space="preserve">YSR072505 </t>
  </si>
  <si>
    <t xml:space="preserve">YSR081505 </t>
  </si>
  <si>
    <t xml:space="preserve">YSR082905 </t>
  </si>
  <si>
    <t xml:space="preserve">YSR091305 </t>
  </si>
  <si>
    <t xml:space="preserve">YSR101705 </t>
  </si>
  <si>
    <t xml:space="preserve">YSR111505 </t>
  </si>
  <si>
    <t xml:space="preserve">YSR121305 </t>
  </si>
  <si>
    <t xml:space="preserve">YSR011706 </t>
  </si>
  <si>
    <t>YSR021406</t>
  </si>
  <si>
    <t>YSR030706</t>
  </si>
  <si>
    <t>YSR032106</t>
  </si>
  <si>
    <t>YSR041806</t>
  </si>
  <si>
    <t>YSR042506</t>
  </si>
  <si>
    <t>YSR050206</t>
  </si>
  <si>
    <t>YSR051006</t>
  </si>
  <si>
    <t>YSR051606</t>
  </si>
  <si>
    <t>YSR052306</t>
  </si>
  <si>
    <t>YSR053006</t>
  </si>
  <si>
    <t>YSR060606</t>
  </si>
  <si>
    <t>YSNA061406</t>
  </si>
  <si>
    <t>YSNA062006</t>
  </si>
  <si>
    <t>YSNA062706</t>
  </si>
  <si>
    <t>YSNA070506</t>
  </si>
  <si>
    <t>YSNA071106</t>
  </si>
  <si>
    <t>YSNA071906</t>
  </si>
  <si>
    <t>YSNA080206</t>
  </si>
  <si>
    <t>YSNA081606</t>
  </si>
  <si>
    <t>YSNA082906</t>
  </si>
  <si>
    <t>YSNA091506</t>
  </si>
  <si>
    <t>YSNA100206</t>
  </si>
  <si>
    <t xml:space="preserve">YFIR111803 </t>
  </si>
  <si>
    <t xml:space="preserve">YFIR120403 </t>
  </si>
  <si>
    <t xml:space="preserve">YFIR121503 </t>
  </si>
  <si>
    <t xml:space="preserve">YFIR020904 </t>
  </si>
  <si>
    <t>YFIR032504</t>
  </si>
  <si>
    <t>YFIR040504</t>
  </si>
  <si>
    <t>YFIR041904</t>
  </si>
  <si>
    <t>YFIR050404</t>
  </si>
  <si>
    <t>YFIR052004</t>
  </si>
  <si>
    <t>YFIR060204</t>
  </si>
  <si>
    <t>YFIR061704</t>
  </si>
  <si>
    <t>YFIR062804</t>
  </si>
  <si>
    <t>YFIR071204</t>
  </si>
  <si>
    <t>YFIR072804</t>
  </si>
  <si>
    <t>YFIR081104</t>
  </si>
  <si>
    <t>YFIR082304</t>
  </si>
  <si>
    <t>YFIR091004</t>
  </si>
  <si>
    <t>YFIR092004</t>
  </si>
  <si>
    <t xml:space="preserve">YGIB110802 </t>
  </si>
  <si>
    <t xml:space="preserve">YGIB111902 </t>
  </si>
  <si>
    <t xml:space="preserve">YGIB120402 </t>
  </si>
  <si>
    <t xml:space="preserve">YGIB011403  </t>
  </si>
  <si>
    <t xml:space="preserve">YGIB011503 </t>
  </si>
  <si>
    <t xml:space="preserve">YGIB013003 </t>
  </si>
  <si>
    <t xml:space="preserve">YGIB022703 </t>
  </si>
  <si>
    <t xml:space="preserve">YGIB031403 </t>
  </si>
  <si>
    <t xml:space="preserve">YGIB040703 </t>
  </si>
  <si>
    <t xml:space="preserve">YGIB042303 </t>
  </si>
  <si>
    <t xml:space="preserve">YGIB052303 </t>
  </si>
  <si>
    <t xml:space="preserve">YGIB060203 </t>
  </si>
  <si>
    <t xml:space="preserve">YGIB061903 </t>
  </si>
  <si>
    <t xml:space="preserve">YGIB070103 </t>
  </si>
  <si>
    <t xml:space="preserve">YGIB071603 </t>
  </si>
  <si>
    <t xml:space="preserve">YGIB073003 </t>
  </si>
  <si>
    <t xml:space="preserve">YGIB081303 </t>
  </si>
  <si>
    <t xml:space="preserve">YGIB082503 </t>
  </si>
  <si>
    <t>YFAL091306</t>
  </si>
  <si>
    <t>YFAL092706</t>
  </si>
  <si>
    <t>YFAL102006</t>
  </si>
  <si>
    <t xml:space="preserve">YFB053105 </t>
  </si>
  <si>
    <t xml:space="preserve">YFB061305 </t>
  </si>
  <si>
    <t xml:space="preserve">YFB062805 </t>
  </si>
  <si>
    <t xml:space="preserve">YFB071305 </t>
  </si>
  <si>
    <t xml:space="preserve">YFB072505 </t>
  </si>
  <si>
    <t xml:space="preserve">YFB080905 </t>
  </si>
  <si>
    <t xml:space="preserve">YFB082405 </t>
  </si>
  <si>
    <t xml:space="preserve">YFB090805 </t>
  </si>
  <si>
    <t xml:space="preserve">YFB092005 </t>
  </si>
  <si>
    <t xml:space="preserve">YFB101905 </t>
  </si>
  <si>
    <t xml:space="preserve">YFB102005 </t>
  </si>
  <si>
    <t xml:space="preserve">YFB121305 </t>
  </si>
  <si>
    <t xml:space="preserve">YFB011206 </t>
  </si>
  <si>
    <t>YFB020806</t>
  </si>
  <si>
    <t>YFB032406</t>
  </si>
  <si>
    <t>YFB042006</t>
  </si>
  <si>
    <t>YFB051006</t>
  </si>
  <si>
    <t>YFB051506</t>
  </si>
  <si>
    <t>YFB052306</t>
  </si>
  <si>
    <t>YFB060206</t>
  </si>
  <si>
    <t>YFB060506</t>
  </si>
  <si>
    <t>YYFB062206</t>
  </si>
  <si>
    <t>YYFB063006</t>
  </si>
  <si>
    <t>YYFB070806</t>
  </si>
  <si>
    <t>YYFB071106</t>
  </si>
  <si>
    <t>YYFB080106</t>
  </si>
  <si>
    <t>YYFB080306</t>
  </si>
  <si>
    <t>YYFB081006</t>
  </si>
  <si>
    <t>YYFB081406</t>
  </si>
  <si>
    <t>YYFB090106</t>
  </si>
  <si>
    <t>YYFB090706</t>
  </si>
  <si>
    <t>YYFB100306</t>
  </si>
  <si>
    <t>YFIR100404</t>
  </si>
  <si>
    <t>YFIR102104</t>
  </si>
  <si>
    <t>YFIR110204</t>
  </si>
  <si>
    <t>YFIR111504</t>
  </si>
  <si>
    <t>YFIR113004</t>
  </si>
  <si>
    <t>YBR082703</t>
  </si>
  <si>
    <t xml:space="preserve">YBR090303 </t>
  </si>
  <si>
    <t xml:space="preserve">YBR091703 </t>
  </si>
  <si>
    <t xml:space="preserve">YBR092403 </t>
  </si>
  <si>
    <t xml:space="preserve">YBR100103 </t>
  </si>
  <si>
    <t xml:space="preserve">YBR021204 </t>
  </si>
  <si>
    <t xml:space="preserve">YBR032204 </t>
  </si>
  <si>
    <t>YBR050604</t>
  </si>
  <si>
    <t xml:space="preserve">YBR051104 </t>
  </si>
  <si>
    <t>YBR051804</t>
  </si>
  <si>
    <t>YBR052404</t>
  </si>
  <si>
    <t>YBR061404</t>
  </si>
  <si>
    <t>YBR062104</t>
  </si>
  <si>
    <t>YBR062804</t>
  </si>
  <si>
    <t>YBR070604</t>
  </si>
  <si>
    <t>YBR071204</t>
  </si>
  <si>
    <t>YBR071904</t>
  </si>
  <si>
    <t>YBR072604</t>
  </si>
  <si>
    <t>YBR080204</t>
  </si>
  <si>
    <t>YBR080904</t>
  </si>
  <si>
    <t>YBR081604</t>
  </si>
  <si>
    <t>YBR082304</t>
  </si>
  <si>
    <t>YBR083004</t>
  </si>
  <si>
    <t>YBR090704</t>
  </si>
  <si>
    <t>YBR091304</t>
  </si>
  <si>
    <t>YBR092004</t>
  </si>
  <si>
    <t xml:space="preserve">YMR102803 </t>
  </si>
  <si>
    <t xml:space="preserve">YMR021404 </t>
  </si>
  <si>
    <t>YMR022404</t>
  </si>
  <si>
    <t xml:space="preserve">YMR030904 </t>
  </si>
  <si>
    <t xml:space="preserve">YMR032004 </t>
  </si>
  <si>
    <t>YMR040704</t>
  </si>
  <si>
    <t xml:space="preserve">YMR041004 </t>
  </si>
  <si>
    <t xml:space="preserve">YMR041704 </t>
  </si>
  <si>
    <t xml:space="preserve">YMR042404 </t>
  </si>
  <si>
    <t xml:space="preserve">YMR050104 </t>
  </si>
  <si>
    <t xml:space="preserve">YMR050804 </t>
  </si>
  <si>
    <t>YMR052304</t>
  </si>
  <si>
    <t>YMR052604</t>
  </si>
  <si>
    <t>YMR060504</t>
  </si>
  <si>
    <t>YMR061204</t>
  </si>
  <si>
    <t>YMR061804</t>
  </si>
  <si>
    <t>YMR062604</t>
  </si>
  <si>
    <t>YMR070304</t>
  </si>
  <si>
    <t>YSR071704</t>
  </si>
  <si>
    <t>YSR072404</t>
  </si>
  <si>
    <t>YSR081404</t>
  </si>
  <si>
    <t>YSR082804</t>
  </si>
  <si>
    <t>YFR100802</t>
  </si>
  <si>
    <t>YFR102402</t>
  </si>
  <si>
    <t>YFR121802</t>
  </si>
  <si>
    <t xml:space="preserve">YFR030503 </t>
  </si>
  <si>
    <t xml:space="preserve">YFR031903 </t>
  </si>
  <si>
    <t xml:space="preserve">YFR040903 </t>
  </si>
  <si>
    <t xml:space="preserve">YFR041603 </t>
  </si>
  <si>
    <t xml:space="preserve">YFR042303 </t>
  </si>
  <si>
    <t xml:space="preserve">YFR043003 </t>
  </si>
  <si>
    <t xml:space="preserve">YFR050803 </t>
  </si>
  <si>
    <t xml:space="preserve">YFR051403 </t>
  </si>
  <si>
    <t xml:space="preserve">YFR052103 </t>
  </si>
  <si>
    <t xml:space="preserve">YFR052803 </t>
  </si>
  <si>
    <t xml:space="preserve">YFR060403 </t>
  </si>
  <si>
    <t xml:space="preserve">YFR061103 </t>
  </si>
  <si>
    <t xml:space="preserve">YFR061803 </t>
  </si>
  <si>
    <t xml:space="preserve">YFR062403 </t>
  </si>
  <si>
    <t xml:space="preserve">YFR070903 </t>
  </si>
  <si>
    <t xml:space="preserve">YFR071603 </t>
  </si>
  <si>
    <t xml:space="preserve">YFR072303 </t>
  </si>
  <si>
    <t xml:space="preserve">YFR081303 </t>
  </si>
  <si>
    <t xml:space="preserve">YFR082703 </t>
  </si>
  <si>
    <t xml:space="preserve">YFR091103 </t>
  </si>
  <si>
    <t>YFR050104</t>
  </si>
  <si>
    <t>YFR061604</t>
  </si>
  <si>
    <t>YFR062104</t>
  </si>
  <si>
    <t>YFR062704</t>
  </si>
  <si>
    <t>YFR070504</t>
  </si>
  <si>
    <t>YFR071204</t>
  </si>
  <si>
    <t>YFR071904</t>
  </si>
  <si>
    <t>YFR072504</t>
  </si>
  <si>
    <t>YFR081404</t>
  </si>
  <si>
    <t>YFR083104</t>
  </si>
  <si>
    <t>YFR091304</t>
  </si>
  <si>
    <t xml:space="preserve">YGR101702 </t>
  </si>
  <si>
    <t xml:space="preserve">YYR061205 </t>
  </si>
  <si>
    <t xml:space="preserve">YYR062005 </t>
  </si>
  <si>
    <t xml:space="preserve">YYR062905 </t>
  </si>
  <si>
    <t xml:space="preserve">YYR070505 </t>
  </si>
  <si>
    <t xml:space="preserve">YYR071105 </t>
  </si>
  <si>
    <t xml:space="preserve">YYR072005 </t>
  </si>
  <si>
    <t xml:space="preserve">YYR072505 </t>
  </si>
  <si>
    <t xml:space="preserve">YYR080105 </t>
  </si>
  <si>
    <t xml:space="preserve">YYR081505 </t>
  </si>
  <si>
    <t xml:space="preserve">YYR083005 </t>
  </si>
  <si>
    <t xml:space="preserve">YYR091205 </t>
  </si>
  <si>
    <t xml:space="preserve">YYR092705 </t>
  </si>
  <si>
    <t xml:space="preserve">YYR102405 </t>
  </si>
  <si>
    <t xml:space="preserve">YYR111705 </t>
  </si>
  <si>
    <t>YYR030706</t>
  </si>
  <si>
    <t>YYR032106</t>
  </si>
  <si>
    <t>YYR041206</t>
  </si>
  <si>
    <t>YYR042606</t>
  </si>
  <si>
    <t>YYR050906</t>
  </si>
  <si>
    <t>YYR051806</t>
  </si>
  <si>
    <t>YYR052306</t>
  </si>
  <si>
    <t>YYR053106</t>
  </si>
  <si>
    <t>YYR060706</t>
  </si>
  <si>
    <t>YYR061306</t>
  </si>
  <si>
    <t>YYCO062106</t>
  </si>
  <si>
    <t>YYCO062706</t>
  </si>
  <si>
    <t>YYCO070306</t>
  </si>
  <si>
    <t>YYCO071106</t>
  </si>
  <si>
    <t>YYCO071806</t>
  </si>
  <si>
    <t>YYCO072506</t>
  </si>
  <si>
    <t>YYCO080206</t>
  </si>
  <si>
    <t>YYCO081406</t>
  </si>
  <si>
    <t>YYCO083106</t>
  </si>
  <si>
    <t>YYCO091406</t>
  </si>
  <si>
    <t>YYCO100506</t>
  </si>
  <si>
    <t>Water Year 2006</t>
  </si>
  <si>
    <t>Water Year 2007</t>
  </si>
  <si>
    <t>YSR101904</t>
  </si>
  <si>
    <t>YSR121304</t>
  </si>
  <si>
    <t xml:space="preserve">YSR021405 </t>
  </si>
  <si>
    <t>YGR051804</t>
  </si>
  <si>
    <t>YGR052104</t>
  </si>
  <si>
    <t>YGR052404</t>
  </si>
  <si>
    <t>YGR060104</t>
  </si>
  <si>
    <t>YGR061404</t>
  </si>
  <si>
    <t>YGR062104</t>
  </si>
  <si>
    <t>YGR062804</t>
  </si>
  <si>
    <t>YGR070604</t>
  </si>
  <si>
    <t>YGR070804</t>
  </si>
  <si>
    <t>YGR071204</t>
  </si>
  <si>
    <t>YGR071904</t>
  </si>
  <si>
    <t>YGR072604</t>
  </si>
  <si>
    <t>YGR080204</t>
  </si>
  <si>
    <t>YGR080904</t>
  </si>
  <si>
    <t>YGR081604</t>
  </si>
  <si>
    <t>YGR082304</t>
  </si>
  <si>
    <t>YGR082504</t>
  </si>
  <si>
    <t>YGR083004</t>
  </si>
  <si>
    <t>YGR090704</t>
  </si>
  <si>
    <t>YGR091304</t>
  </si>
  <si>
    <t>YGR092004</t>
  </si>
  <si>
    <t xml:space="preserve">YFIR111902 </t>
  </si>
  <si>
    <t xml:space="preserve">YFIR011403 </t>
  </si>
  <si>
    <t xml:space="preserve">YFIR011503 </t>
  </si>
  <si>
    <t xml:space="preserve">YFIR013003 </t>
  </si>
  <si>
    <t xml:space="preserve">YFIR022703 </t>
  </si>
  <si>
    <t xml:space="preserve">YFIR031403 </t>
  </si>
  <si>
    <t xml:space="preserve">YFIR040703 </t>
  </si>
  <si>
    <t xml:space="preserve">YFIR042303 </t>
  </si>
  <si>
    <t xml:space="preserve">YFIR052303 </t>
  </si>
  <si>
    <t xml:space="preserve">YFIR060203 </t>
  </si>
  <si>
    <t xml:space="preserve">YFIR061903 </t>
  </si>
  <si>
    <t xml:space="preserve">YFIR070103 </t>
  </si>
  <si>
    <t xml:space="preserve">YFIR071603 </t>
  </si>
  <si>
    <t xml:space="preserve">YFIR073003 </t>
  </si>
  <si>
    <t xml:space="preserve">YFIR081303 </t>
  </si>
  <si>
    <t xml:space="preserve">YFIR082503 </t>
  </si>
  <si>
    <t xml:space="preserve">YFIR091003 </t>
  </si>
  <si>
    <t xml:space="preserve">YFIR092203 </t>
  </si>
  <si>
    <t xml:space="preserve">YFIR100603 </t>
  </si>
  <si>
    <t xml:space="preserve">YFIR102203 </t>
  </si>
  <si>
    <t xml:space="preserve">YFIR110803 </t>
  </si>
  <si>
    <t xml:space="preserve">YMR052803 </t>
  </si>
  <si>
    <t xml:space="preserve">YMR060403 </t>
  </si>
  <si>
    <t xml:space="preserve">YMR061103 </t>
  </si>
  <si>
    <t xml:space="preserve">YMR061903 </t>
  </si>
  <si>
    <t xml:space="preserve">YMR062403 </t>
  </si>
  <si>
    <t xml:space="preserve">YMR070903 </t>
  </si>
  <si>
    <t xml:space="preserve">YMR071603 </t>
  </si>
  <si>
    <t xml:space="preserve">YMR072403 </t>
  </si>
  <si>
    <t xml:space="preserve">YMR073003 </t>
  </si>
  <si>
    <t xml:space="preserve">YMR081003 </t>
  </si>
  <si>
    <t xml:space="preserve">YMR081303 </t>
  </si>
  <si>
    <t xml:space="preserve">YMR082703 </t>
  </si>
  <si>
    <t xml:space="preserve">YMR091003 </t>
  </si>
  <si>
    <t xml:space="preserve">YMR092403 </t>
  </si>
  <si>
    <t xml:space="preserve">YYR101702 </t>
  </si>
  <si>
    <t xml:space="preserve">YYR111902 </t>
  </si>
  <si>
    <t xml:space="preserve">YYR011303 </t>
  </si>
  <si>
    <t xml:space="preserve">YYR021803 </t>
  </si>
  <si>
    <t xml:space="preserve">YYR030503 </t>
  </si>
  <si>
    <t xml:space="preserve">YYR031003 </t>
  </si>
  <si>
    <t xml:space="preserve">YYR041003 </t>
  </si>
  <si>
    <t xml:space="preserve">YYR042203 </t>
  </si>
  <si>
    <t xml:space="preserve">YYR050703 </t>
  </si>
  <si>
    <t xml:space="preserve">YYR051403 </t>
  </si>
  <si>
    <t xml:space="preserve">YYR052103 </t>
  </si>
  <si>
    <t xml:space="preserve">YYR052803 </t>
  </si>
  <si>
    <t xml:space="preserve">YYR052903 </t>
  </si>
  <si>
    <t xml:space="preserve">YYR060403 </t>
  </si>
  <si>
    <t xml:space="preserve">YYR061103 </t>
  </si>
  <si>
    <t xml:space="preserve">YYR061803 </t>
  </si>
  <si>
    <t xml:space="preserve">YYR062503 </t>
  </si>
  <si>
    <t xml:space="preserve">YYR070903 </t>
  </si>
  <si>
    <t xml:space="preserve">YYR071003 </t>
  </si>
  <si>
    <t xml:space="preserve">YYR071603 </t>
  </si>
  <si>
    <t xml:space="preserve">YYR072303 </t>
  </si>
  <si>
    <t xml:space="preserve">YYR080603 </t>
  </si>
  <si>
    <t xml:space="preserve">YYR081303 </t>
  </si>
  <si>
    <t xml:space="preserve">YYR082103 </t>
  </si>
  <si>
    <t xml:space="preserve">YGIB091003 </t>
  </si>
  <si>
    <t xml:space="preserve">YGIB092203 </t>
  </si>
  <si>
    <t xml:space="preserve">YGIB100603 </t>
  </si>
  <si>
    <t xml:space="preserve">YGIB102203 </t>
  </si>
  <si>
    <t xml:space="preserve">YGIB111803 </t>
  </si>
  <si>
    <t xml:space="preserve">YGIB121503 </t>
  </si>
  <si>
    <t xml:space="preserve">YGIB020904 </t>
  </si>
  <si>
    <t>YGIB032504</t>
  </si>
  <si>
    <t>YGIB040504</t>
  </si>
  <si>
    <t>YGIB041704</t>
  </si>
  <si>
    <t>YGIB050404</t>
  </si>
  <si>
    <t>YGIB052004</t>
  </si>
  <si>
    <t>YGIB060204</t>
  </si>
  <si>
    <t>YGIB061704</t>
  </si>
  <si>
    <t>YGIB062804</t>
  </si>
  <si>
    <t>YGIB071204</t>
  </si>
  <si>
    <t>YGIB071804</t>
  </si>
  <si>
    <t>YGIB081104</t>
  </si>
  <si>
    <t>YGIB082304</t>
  </si>
  <si>
    <t>YGIB091004</t>
  </si>
  <si>
    <t>YGIB092004</t>
  </si>
  <si>
    <t>YBR021803</t>
  </si>
  <si>
    <t xml:space="preserve">YBR030503 </t>
  </si>
  <si>
    <t xml:space="preserve">YBR041003 </t>
  </si>
  <si>
    <t xml:space="preserve">YBR042303 </t>
  </si>
  <si>
    <t>YBR050703</t>
  </si>
  <si>
    <t>YBR051403</t>
  </si>
  <si>
    <t>YBR052103</t>
  </si>
  <si>
    <t xml:space="preserve">YBR052803 </t>
  </si>
  <si>
    <t>YBR060403</t>
  </si>
  <si>
    <t xml:space="preserve">YBR061103 </t>
  </si>
  <si>
    <t xml:space="preserve">YBR061803 </t>
  </si>
  <si>
    <t xml:space="preserve">YBR062403 </t>
  </si>
  <si>
    <t xml:space="preserve">YBR070203 </t>
  </si>
  <si>
    <t xml:space="preserve">YBR070903 </t>
  </si>
  <si>
    <t xml:space="preserve">YBR071603 </t>
  </si>
  <si>
    <t xml:space="preserve">YBR072303 </t>
  </si>
  <si>
    <t xml:space="preserve">YBR080603 </t>
  </si>
  <si>
    <t xml:space="preserve">YBR081303 </t>
  </si>
  <si>
    <t xml:space="preserve">YBR082103 </t>
  </si>
  <si>
    <t>YSR021303</t>
  </si>
  <si>
    <t xml:space="preserve">YSR030703 </t>
  </si>
  <si>
    <t xml:space="preserve">YSR032103 </t>
  </si>
  <si>
    <t xml:space="preserve">YSR040903 </t>
  </si>
  <si>
    <t xml:space="preserve">YSR042403 </t>
  </si>
  <si>
    <t xml:space="preserve">YSR050903 </t>
  </si>
  <si>
    <t xml:space="preserve">YSR051503 </t>
  </si>
  <si>
    <t xml:space="preserve">YSR052103 </t>
  </si>
  <si>
    <t xml:space="preserve">YSR052903 </t>
  </si>
  <si>
    <t xml:space="preserve">YSR060403 </t>
  </si>
  <si>
    <t xml:space="preserve">YSR061103 </t>
  </si>
  <si>
    <t xml:space="preserve">YSR062503 </t>
  </si>
  <si>
    <t xml:space="preserve">YSR070303 </t>
  </si>
  <si>
    <t xml:space="preserve">YSR071003 </t>
  </si>
  <si>
    <t xml:space="preserve">YSR071603 </t>
  </si>
  <si>
    <t xml:space="preserve">YSR072303 </t>
  </si>
  <si>
    <t xml:space="preserve">YSR073003 </t>
  </si>
  <si>
    <t xml:space="preserve">YSR080703 </t>
  </si>
  <si>
    <t xml:space="preserve">YSR081303 </t>
  </si>
  <si>
    <t xml:space="preserve">YSR082803 </t>
  </si>
  <si>
    <t xml:space="preserve">YSR100903 </t>
  </si>
  <si>
    <t xml:space="preserve">YSR101503 </t>
  </si>
  <si>
    <t xml:space="preserve">YSR111503 </t>
  </si>
  <si>
    <t xml:space="preserve">YSR121403 </t>
  </si>
  <si>
    <t xml:space="preserve">YSR011704 </t>
  </si>
  <si>
    <t xml:space="preserve">YSR021304 </t>
  </si>
  <si>
    <t xml:space="preserve">YSR030604 </t>
  </si>
  <si>
    <t xml:space="preserve">YSR032004 </t>
  </si>
  <si>
    <t xml:space="preserve">YSR041004 </t>
  </si>
  <si>
    <t xml:space="preserve">YSR041704 </t>
  </si>
  <si>
    <t xml:space="preserve">YSR042504 </t>
  </si>
  <si>
    <t xml:space="preserve">YSR050104 </t>
  </si>
  <si>
    <t>YSR050904</t>
  </si>
  <si>
    <t>YSR051504</t>
  </si>
  <si>
    <t>YSR052204</t>
  </si>
  <si>
    <t>YSR052904</t>
  </si>
  <si>
    <t>YSR060504</t>
  </si>
  <si>
    <t>YSR061304</t>
  </si>
  <si>
    <t>YSR061904</t>
  </si>
  <si>
    <t>YSR062904</t>
  </si>
  <si>
    <t>YSR070304</t>
  </si>
  <si>
    <t>YSR071004</t>
  </si>
  <si>
    <t>YSR061302</t>
  </si>
  <si>
    <t>YSR062802</t>
  </si>
  <si>
    <t>YSR070402</t>
  </si>
  <si>
    <t>YSR071002</t>
  </si>
  <si>
    <t>YSR071702</t>
  </si>
  <si>
    <t>YSR072502</t>
  </si>
  <si>
    <t>YSR081402</t>
  </si>
  <si>
    <t>YSR082902</t>
  </si>
  <si>
    <t>YSR091202</t>
  </si>
  <si>
    <t>YSR092902</t>
  </si>
  <si>
    <t>YYR121301</t>
  </si>
  <si>
    <t>YYR011502</t>
  </si>
  <si>
    <t>YYR021302</t>
  </si>
  <si>
    <t>YYR030602</t>
  </si>
  <si>
    <t>YYR032002</t>
  </si>
  <si>
    <t>YYR041802</t>
  </si>
  <si>
    <t>YYR042402</t>
  </si>
  <si>
    <t>YYR050102</t>
  </si>
  <si>
    <t>YYR050802</t>
  </si>
  <si>
    <t>YYR051402</t>
  </si>
  <si>
    <t>YYR052302</t>
  </si>
  <si>
    <t>YYR053002</t>
  </si>
  <si>
    <t>YYR060502</t>
  </si>
  <si>
    <t>YYR061202</t>
  </si>
  <si>
    <t>YYR061902</t>
  </si>
  <si>
    <t>YYR062602</t>
  </si>
  <si>
    <t>YYR070302</t>
  </si>
  <si>
    <t>YYR071102</t>
  </si>
  <si>
    <t>YYR071702</t>
  </si>
  <si>
    <t>YYR072502</t>
  </si>
  <si>
    <t>YYR081402</t>
  </si>
  <si>
    <t>YYR082802</t>
  </si>
  <si>
    <t>YYR091002</t>
  </si>
  <si>
    <t>YGR101701</t>
  </si>
  <si>
    <t>YGR011502</t>
  </si>
  <si>
    <t>YGR012502</t>
  </si>
  <si>
    <t>YGR021302</t>
  </si>
  <si>
    <t>YGR030602</t>
  </si>
  <si>
    <t>YGR032002</t>
  </si>
  <si>
    <t>YGR032502</t>
  </si>
  <si>
    <t xml:space="preserve">YGR112102 </t>
  </si>
  <si>
    <t>YGR011403</t>
  </si>
  <si>
    <t>YGR021803</t>
  </si>
  <si>
    <t>YGR030503</t>
  </si>
  <si>
    <t xml:space="preserve">YGR031203 </t>
  </si>
  <si>
    <t xml:space="preserve">YGR041003 </t>
  </si>
  <si>
    <t xml:space="preserve">YGR042303 </t>
  </si>
  <si>
    <t>YGR042403</t>
  </si>
  <si>
    <t>YGR051403</t>
  </si>
  <si>
    <t xml:space="preserve">YGR052103 </t>
  </si>
  <si>
    <t xml:space="preserve">YGR052803 </t>
  </si>
  <si>
    <t xml:space="preserve">YGR052903 </t>
  </si>
  <si>
    <t xml:space="preserve">YGR060403 </t>
  </si>
  <si>
    <t xml:space="preserve">YGR061103 </t>
  </si>
  <si>
    <t xml:space="preserve">YGR061803 </t>
  </si>
  <si>
    <t xml:space="preserve">YGR062403 </t>
  </si>
  <si>
    <t xml:space="preserve">YGR070203 </t>
  </si>
  <si>
    <t xml:space="preserve">YGR050703 </t>
  </si>
  <si>
    <t xml:space="preserve">YGR081603 </t>
  </si>
  <si>
    <t>YGR072303</t>
  </si>
  <si>
    <t xml:space="preserve">YGR081303 </t>
  </si>
  <si>
    <t xml:space="preserve">YGR082103 </t>
  </si>
  <si>
    <t>YGR082603</t>
  </si>
  <si>
    <t xml:space="preserve">YGR082703 </t>
  </si>
  <si>
    <t xml:space="preserve">YGR090303 </t>
  </si>
  <si>
    <t>YGR091703</t>
  </si>
  <si>
    <t xml:space="preserve">YGR092403 </t>
  </si>
  <si>
    <t xml:space="preserve">YGR100103 </t>
  </si>
  <si>
    <t xml:space="preserve">YGR100703 </t>
  </si>
  <si>
    <t xml:space="preserve">YGR111803 </t>
  </si>
  <si>
    <t xml:space="preserve">YGR010804 </t>
  </si>
  <si>
    <t xml:space="preserve">YGR021204 </t>
  </si>
  <si>
    <t xml:space="preserve">YGR022404 </t>
  </si>
  <si>
    <t xml:space="preserve">YGR030804 </t>
  </si>
  <si>
    <t xml:space="preserve">YGR032204 </t>
  </si>
  <si>
    <t xml:space="preserve">YGR040704 </t>
  </si>
  <si>
    <t xml:space="preserve">YGR041304 </t>
  </si>
  <si>
    <t xml:space="preserve">YGR042604 </t>
  </si>
  <si>
    <t xml:space="preserve">YGR050404 </t>
  </si>
  <si>
    <t>YGR050604</t>
  </si>
  <si>
    <t xml:space="preserve">YGR051104 </t>
  </si>
  <si>
    <t>YHF021402</t>
  </si>
  <si>
    <t>YHF030802</t>
  </si>
  <si>
    <t>YHF041702</t>
  </si>
  <si>
    <t>YHF042402</t>
  </si>
  <si>
    <t>YHF050102</t>
  </si>
  <si>
    <t>YHF050502</t>
  </si>
  <si>
    <t>YHF050902</t>
  </si>
  <si>
    <t>YHF051502</t>
  </si>
  <si>
    <t>YHF052102</t>
  </si>
  <si>
    <t>YHF052202</t>
  </si>
  <si>
    <t>YHF052902</t>
  </si>
  <si>
    <t>YHF061202</t>
  </si>
  <si>
    <t>YHF061902</t>
  </si>
  <si>
    <t>YHF062602</t>
  </si>
  <si>
    <t>YHF070302</t>
  </si>
  <si>
    <t>YHF071002</t>
  </si>
  <si>
    <t>YHF071702</t>
  </si>
  <si>
    <t>YHF072502</t>
  </si>
  <si>
    <t>YHF081402</t>
  </si>
  <si>
    <t>YHF082802</t>
  </si>
  <si>
    <t>YHF091102</t>
  </si>
  <si>
    <t>YHF093002</t>
  </si>
  <si>
    <t>YMR101701</t>
  </si>
  <si>
    <t>YMR111401</t>
  </si>
  <si>
    <t>YMR121301</t>
  </si>
  <si>
    <t>Time</t>
  </si>
  <si>
    <t>YHF092801</t>
  </si>
  <si>
    <t>YMR100802</t>
  </si>
  <si>
    <t>YMR111402</t>
  </si>
  <si>
    <t>YMR121702</t>
  </si>
  <si>
    <t>YMR011503</t>
  </si>
  <si>
    <t>YMR021203</t>
  </si>
  <si>
    <t xml:space="preserve">YMR031103 </t>
  </si>
  <si>
    <t xml:space="preserve">YMR031903 </t>
  </si>
  <si>
    <t>-</t>
  </si>
  <si>
    <t xml:space="preserve">YMR040903 </t>
  </si>
  <si>
    <t xml:space="preserve">YMR041603 </t>
  </si>
  <si>
    <t xml:space="preserve">YMR042303 </t>
  </si>
  <si>
    <t xml:space="preserve">YMR043003 </t>
  </si>
  <si>
    <t xml:space="preserve">YMR050103 </t>
  </si>
  <si>
    <t xml:space="preserve">YMR050703 </t>
  </si>
  <si>
    <t xml:space="preserve">YMR051403 </t>
  </si>
  <si>
    <t xml:space="preserve">YMR052203 </t>
  </si>
  <si>
    <t xml:space="preserve">YMR052703 </t>
  </si>
  <si>
    <t>YGR041802</t>
  </si>
  <si>
    <t>YGR042402</t>
  </si>
  <si>
    <t>YGR050102</t>
  </si>
  <si>
    <t>YGR050802</t>
  </si>
  <si>
    <t>YGR051502</t>
  </si>
  <si>
    <t>YGR052302</t>
  </si>
  <si>
    <t>YGR053002</t>
  </si>
  <si>
    <t>YGR060502</t>
  </si>
  <si>
    <t>YGR060602</t>
  </si>
  <si>
    <t>YGR061202</t>
  </si>
  <si>
    <t>YGR061902</t>
  </si>
  <si>
    <t>YGR062602</t>
  </si>
  <si>
    <t>YGR070302</t>
  </si>
  <si>
    <t>YGR071102</t>
  </si>
  <si>
    <t>YGR071702</t>
  </si>
  <si>
    <t>YGR071802</t>
  </si>
  <si>
    <t>YGR072502</t>
  </si>
  <si>
    <t>YGR081402</t>
  </si>
  <si>
    <t>YGR082802</t>
  </si>
  <si>
    <t>YGR091002</t>
  </si>
  <si>
    <t>YFR021202</t>
  </si>
  <si>
    <t>YFR032002</t>
  </si>
  <si>
    <t>YFR041002</t>
  </si>
  <si>
    <t>YFR041702</t>
  </si>
  <si>
    <t>YFR042402</t>
  </si>
  <si>
    <t>YFR050102</t>
  </si>
  <si>
    <t>YFR050802</t>
  </si>
  <si>
    <t>YFR051502</t>
  </si>
  <si>
    <t>YFR052202</t>
  </si>
  <si>
    <t>YFR052902</t>
  </si>
  <si>
    <t>YFR060502</t>
  </si>
  <si>
    <t>YFR061202</t>
  </si>
  <si>
    <t>YFR062602</t>
  </si>
  <si>
    <t>YFR070302</t>
  </si>
  <si>
    <t>YFR071002</t>
  </si>
  <si>
    <t>YFR071702</t>
  </si>
  <si>
    <t>YFR072402</t>
  </si>
  <si>
    <t>YFR082802</t>
  </si>
  <si>
    <t>YFR091102</t>
  </si>
  <si>
    <t>YHF101901</t>
  </si>
  <si>
    <t>YHF111501</t>
  </si>
  <si>
    <t>YHF121201</t>
  </si>
  <si>
    <t>YHF011602</t>
  </si>
  <si>
    <t xml:space="preserve">YYR082603 </t>
  </si>
  <si>
    <t xml:space="preserve">YYR082703 </t>
  </si>
  <si>
    <t xml:space="preserve">YYR090303 </t>
  </si>
  <si>
    <t xml:space="preserve">YYR091703 </t>
  </si>
  <si>
    <t xml:space="preserve">YYR092403 </t>
  </si>
  <si>
    <t xml:space="preserve">YYR100103 </t>
  </si>
  <si>
    <t xml:space="preserve">YYR100603 </t>
  </si>
  <si>
    <t xml:space="preserve">YYR111703 </t>
  </si>
  <si>
    <t xml:space="preserve">YYR021204 </t>
  </si>
  <si>
    <t xml:space="preserve">YYR030804 </t>
  </si>
  <si>
    <t xml:space="preserve">YYR032204 </t>
  </si>
  <si>
    <t xml:space="preserve">YYR041304 </t>
  </si>
  <si>
    <t xml:space="preserve">YYR042304 </t>
  </si>
  <si>
    <t xml:space="preserve">YYR042604 </t>
  </si>
  <si>
    <t xml:space="preserve">YYR050404 </t>
  </si>
  <si>
    <t xml:space="preserve">YYR051104 </t>
  </si>
  <si>
    <t>YYR051804</t>
  </si>
  <si>
    <t>YYR052404</t>
  </si>
  <si>
    <t>YYR060104</t>
  </si>
  <si>
    <t>YYR060704</t>
  </si>
  <si>
    <t>YYR061404</t>
  </si>
  <si>
    <t>YYR062104</t>
  </si>
  <si>
    <t>YYR062804</t>
  </si>
  <si>
    <t>YYR070604</t>
  </si>
  <si>
    <t>YYR070704</t>
  </si>
  <si>
    <t>YYR071204</t>
  </si>
  <si>
    <t>YYR071904</t>
  </si>
  <si>
    <t>YYR072604</t>
  </si>
  <si>
    <t>YYR080204</t>
  </si>
  <si>
    <t>YYR080904</t>
  </si>
  <si>
    <t>YYR081604</t>
  </si>
  <si>
    <t>YYR082304</t>
  </si>
  <si>
    <t>YYR082404</t>
  </si>
  <si>
    <t>YYR083004</t>
  </si>
  <si>
    <t>YYR090704</t>
  </si>
  <si>
    <t>YYR091304</t>
  </si>
  <si>
    <t>YYR092004</t>
  </si>
  <si>
    <t>YSR100902</t>
  </si>
  <si>
    <t>YSR101802</t>
  </si>
  <si>
    <t>YSR102502</t>
  </si>
  <si>
    <t>YSR121702</t>
  </si>
  <si>
    <t>YSR011603</t>
  </si>
  <si>
    <t>Date</t>
  </si>
  <si>
    <t>YMR121001</t>
  </si>
  <si>
    <t>YMR011702</t>
  </si>
  <si>
    <t>YMR021402</t>
  </si>
  <si>
    <t>YMR030702</t>
  </si>
  <si>
    <t>YMR031402</t>
  </si>
  <si>
    <t>YMR032002</t>
  </si>
  <si>
    <t>YMR041002</t>
  </si>
  <si>
    <t>YMR041902</t>
  </si>
  <si>
    <t>YMR042502</t>
  </si>
  <si>
    <t>YMR050202</t>
  </si>
  <si>
    <t>YMR050802</t>
  </si>
  <si>
    <t>YMR051502</t>
  </si>
  <si>
    <t>YMR052202</t>
  </si>
  <si>
    <t>YMR053002</t>
  </si>
  <si>
    <t>YMR060402</t>
  </si>
  <si>
    <t>YMR061202</t>
  </si>
  <si>
    <t>YMR061302</t>
  </si>
  <si>
    <t>YMR062602</t>
  </si>
  <si>
    <t>YMR070302</t>
  </si>
  <si>
    <t>YMR071602</t>
  </si>
  <si>
    <t>YMR072402</t>
  </si>
  <si>
    <t>YMR073102</t>
  </si>
  <si>
    <t>YMR081402</t>
  </si>
  <si>
    <t>YMR082702</t>
  </si>
  <si>
    <t>YMR082802</t>
  </si>
  <si>
    <t>YMR100102</t>
  </si>
  <si>
    <t>YSR121301</t>
  </si>
  <si>
    <t>YSR011802</t>
  </si>
  <si>
    <t>YSR021302</t>
  </si>
  <si>
    <t>YSR030702</t>
  </si>
  <si>
    <t>YSR032102</t>
  </si>
  <si>
    <t>YSR040902</t>
  </si>
  <si>
    <t>YSR041902</t>
  </si>
  <si>
    <t>YSR042502</t>
  </si>
  <si>
    <t>YSR050102</t>
  </si>
  <si>
    <t>YSR050802</t>
  </si>
  <si>
    <t>YSR051602</t>
  </si>
  <si>
    <t>YSR052202</t>
  </si>
  <si>
    <t>YSR052802</t>
  </si>
  <si>
    <t>YSR060502</t>
  </si>
  <si>
    <t>Water Year 2009</t>
  </si>
  <si>
    <t>YCOR101608</t>
  </si>
  <si>
    <t>YCOR110508</t>
  </si>
  <si>
    <t>YCOR120408</t>
  </si>
  <si>
    <t>YCOR011309</t>
  </si>
  <si>
    <t>YCOR020609</t>
  </si>
  <si>
    <t>YCOR030309</t>
  </si>
  <si>
    <t>YCOR031709</t>
  </si>
  <si>
    <t>YCOR040109</t>
  </si>
  <si>
    <t>YCOR041409</t>
  </si>
  <si>
    <t>YCOR042909</t>
  </si>
  <si>
    <t>YCOR050609</t>
  </si>
  <si>
    <t>YCOR051309</t>
  </si>
  <si>
    <t>YCOR052009</t>
  </si>
  <si>
    <t>YCOR052709</t>
  </si>
  <si>
    <t>YCOR060209</t>
  </si>
  <si>
    <t>YCOR060909</t>
  </si>
  <si>
    <t>YCOR061609</t>
  </si>
  <si>
    <t>YCOR062309</t>
  </si>
  <si>
    <t>YCOR063009</t>
  </si>
  <si>
    <t>YYCO070709</t>
  </si>
  <si>
    <t>YCOR071409</t>
  </si>
  <si>
    <t>YCOR072109</t>
  </si>
  <si>
    <t>YCOR072809</t>
  </si>
  <si>
    <t>YCOR080409</t>
  </si>
  <si>
    <t>YCOR081809</t>
  </si>
  <si>
    <t>YCOR090109</t>
  </si>
  <si>
    <t>YCOR091809</t>
  </si>
  <si>
    <t>Water Year 2010</t>
  </si>
  <si>
    <t>YCOR100109</t>
  </si>
  <si>
    <t>YCOR101509</t>
  </si>
  <si>
    <t>YCOR110909</t>
  </si>
  <si>
    <t>YCOR120809</t>
  </si>
  <si>
    <t>YCOR012910</t>
  </si>
  <si>
    <t>YCOR022510</t>
  </si>
  <si>
    <t>YCOR032510</t>
  </si>
  <si>
    <t>YCOR040810</t>
  </si>
  <si>
    <t>YCOR042710</t>
  </si>
  <si>
    <t>YCOR050710</t>
  </si>
  <si>
    <t>YCOR051810</t>
  </si>
  <si>
    <t>YCOR052510</t>
  </si>
  <si>
    <t>YCOR060310</t>
  </si>
  <si>
    <t>YCOR060910</t>
  </si>
  <si>
    <t>YCOR061410</t>
  </si>
  <si>
    <t>YCOR062510</t>
  </si>
  <si>
    <t>YCOR070210</t>
  </si>
  <si>
    <t>YCOR070710</t>
  </si>
  <si>
    <t>YCOR071510</t>
  </si>
  <si>
    <t>YCOR072110</t>
  </si>
  <si>
    <t>YCOR072810</t>
  </si>
  <si>
    <t>YCOR080410</t>
  </si>
  <si>
    <t>YCOR081310</t>
  </si>
  <si>
    <t>YCOR081810</t>
  </si>
  <si>
    <t>YCOR082510</t>
  </si>
  <si>
    <t>YCOR090910</t>
  </si>
  <si>
    <t>YCOR092410</t>
  </si>
  <si>
    <t>YYFB101508</t>
  </si>
  <si>
    <t>YYFB110408</t>
  </si>
  <si>
    <t>YYFB120208</t>
  </si>
  <si>
    <t>YYFB011309</t>
  </si>
  <si>
    <t>YYFB020409</t>
  </si>
  <si>
    <t>YYFB030109</t>
  </si>
  <si>
    <t>YYFB041609</t>
  </si>
  <si>
    <t>YYFB042909</t>
  </si>
  <si>
    <t>YYFB050509</t>
  </si>
  <si>
    <t>YYFB051409</t>
  </si>
  <si>
    <t>YYFB052209</t>
  </si>
  <si>
    <t>YYFB052809</t>
  </si>
  <si>
    <t>YYFB060309</t>
  </si>
  <si>
    <t>YYFB061009</t>
  </si>
  <si>
    <t>YYFB061709</t>
  </si>
  <si>
    <t>YYFB062409</t>
  </si>
  <si>
    <t>YYFB070109</t>
  </si>
  <si>
    <t>YYFB070809</t>
  </si>
  <si>
    <t>YYFB071509</t>
  </si>
  <si>
    <t>YYFB072209</t>
  </si>
  <si>
    <t>YYFB072909</t>
  </si>
  <si>
    <t>YYFB080509</t>
  </si>
  <si>
    <t>YYFB081909</t>
  </si>
  <si>
    <t>YYFB090209</t>
  </si>
  <si>
    <t>YYFB091609</t>
  </si>
  <si>
    <t>YYFB093009</t>
  </si>
  <si>
    <t>YYFB101409</t>
  </si>
  <si>
    <t>YYFB111009</t>
  </si>
  <si>
    <t>YYFB120409</t>
  </si>
  <si>
    <t>YYFB011310</t>
  </si>
  <si>
    <t>YYFB022410</t>
  </si>
  <si>
    <t>YYFB040910</t>
  </si>
  <si>
    <t>YYFB050510</t>
  </si>
  <si>
    <t>YYFB051710</t>
  </si>
  <si>
    <t>YYFB052710</t>
  </si>
  <si>
    <t>YYFB060410</t>
  </si>
  <si>
    <t>YYFB061010</t>
  </si>
  <si>
    <t>YYFB061610</t>
  </si>
  <si>
    <t>YYFB062410</t>
  </si>
  <si>
    <t>YYFB070110</t>
  </si>
  <si>
    <t>YYFB070810</t>
  </si>
  <si>
    <t>YYFB071310</t>
  </si>
  <si>
    <t>YYFB071910</t>
  </si>
  <si>
    <t>YYFB072710</t>
  </si>
  <si>
    <t>YYFB080510</t>
  </si>
  <si>
    <t>YYFB081210</t>
  </si>
  <si>
    <t>YYFB081910</t>
  </si>
  <si>
    <t>YYFB082410</t>
  </si>
  <si>
    <t>YYFB090710</t>
  </si>
  <si>
    <t>YYFB092210</t>
  </si>
  <si>
    <t>YGAR101708</t>
  </si>
  <si>
    <t>YGAR110508</t>
  </si>
  <si>
    <t>YGAR120408</t>
  </si>
  <si>
    <t>YGAR011309</t>
  </si>
  <si>
    <t>YGAR020609</t>
  </si>
  <si>
    <t>YGAR030309</t>
  </si>
  <si>
    <t>YGAR031709</t>
  </si>
  <si>
    <t>YGAR040109</t>
  </si>
  <si>
    <t>YGAR041409</t>
  </si>
  <si>
    <t>YGAR042909</t>
  </si>
  <si>
    <t>YGAR050609</t>
  </si>
  <si>
    <t>YGAR051309</t>
  </si>
  <si>
    <t>YGAR052009</t>
  </si>
  <si>
    <t>YGAR052709</t>
  </si>
  <si>
    <t>YGAR060209</t>
  </si>
  <si>
    <t>YGAR060909</t>
  </si>
  <si>
    <t>YGAR061609</t>
  </si>
  <si>
    <t>YGAR062309</t>
  </si>
  <si>
    <t>YGAR063009</t>
  </si>
  <si>
    <t>YGAR070709</t>
  </si>
  <si>
    <t>YGAR071409</t>
  </si>
  <si>
    <t>YGAR072109</t>
  </si>
  <si>
    <t>YGAR072809</t>
  </si>
  <si>
    <t>YGAR080409</t>
  </si>
  <si>
    <t>YGAR081809</t>
  </si>
  <si>
    <t>YGAR090109</t>
  </si>
  <si>
    <t>YGAR091809</t>
  </si>
  <si>
    <t>YGAR100109</t>
  </si>
  <si>
    <t>YGAR101509</t>
  </si>
  <si>
    <t>YGAR110909</t>
  </si>
  <si>
    <t>YGAR120809</t>
  </si>
  <si>
    <t>YGAR012910</t>
  </si>
  <si>
    <t>YGAR022510</t>
  </si>
  <si>
    <t>YGAR032510</t>
  </si>
  <si>
    <t>YGAR040810</t>
  </si>
  <si>
    <t>YGAR042710</t>
  </si>
  <si>
    <t>YGAR050710</t>
  </si>
  <si>
    <t>YGAR051810</t>
  </si>
  <si>
    <t>YGAR052510</t>
  </si>
  <si>
    <t>YGAR060310</t>
  </si>
  <si>
    <t>YGAR060910</t>
  </si>
  <si>
    <t>YGAR061410</t>
  </si>
  <si>
    <t>YGAR062510</t>
  </si>
  <si>
    <t>YGAR070210</t>
  </si>
  <si>
    <t>YGAR070710</t>
  </si>
  <si>
    <t>YGAR071510</t>
  </si>
  <si>
    <t>YGAR072110</t>
  </si>
  <si>
    <t>YGAR072810</t>
  </si>
  <si>
    <t>YGAR080410</t>
  </si>
  <si>
    <t>YGAR081310</t>
  </si>
  <si>
    <t>YGAR081810</t>
  </si>
  <si>
    <t>YGAR082510</t>
  </si>
  <si>
    <t>YGAR090910</t>
  </si>
  <si>
    <t>YGAR092410</t>
  </si>
  <si>
    <t>YBOI101708</t>
  </si>
  <si>
    <t>YBOI110508</t>
  </si>
  <si>
    <t>YBOI120408</t>
  </si>
  <si>
    <t>YBOI011309</t>
  </si>
  <si>
    <t>YBOI020609</t>
  </si>
  <si>
    <t>YBOI030309</t>
  </si>
  <si>
    <t>YBOI031709</t>
  </si>
  <si>
    <t>YBOI040109</t>
  </si>
  <si>
    <t>YBOI041409</t>
  </si>
  <si>
    <t>YBOI042909</t>
  </si>
  <si>
    <t>YBOI050609</t>
  </si>
  <si>
    <t>YBOI051309</t>
  </si>
  <si>
    <t>YBOI052009</t>
  </si>
  <si>
    <t>YBOI052709</t>
  </si>
  <si>
    <t>YBOI060209</t>
  </si>
  <si>
    <t>YBOI060909</t>
  </si>
  <si>
    <t>YBOI061609</t>
  </si>
  <si>
    <t>YBOI062309</t>
  </si>
  <si>
    <t>YBOI063009</t>
  </si>
  <si>
    <t>YBOI070709</t>
  </si>
  <si>
    <t>YBOI071409</t>
  </si>
  <si>
    <t>YBOI072109</t>
  </si>
  <si>
    <t>YBOI072809</t>
  </si>
  <si>
    <t>YBOI080409</t>
  </si>
  <si>
    <t>YBOI081809</t>
  </si>
  <si>
    <t>YBOI090109</t>
  </si>
  <si>
    <t>YBOI091809</t>
  </si>
  <si>
    <t>YBOI100109</t>
  </si>
  <si>
    <t>YBOI101509</t>
  </si>
  <si>
    <t>YBOI110909</t>
  </si>
  <si>
    <t>YBOI120809</t>
  </si>
  <si>
    <t>YBOI122109</t>
  </si>
  <si>
    <t>YBOI012910</t>
  </si>
  <si>
    <t>YBOI022510</t>
  </si>
  <si>
    <t>YBOI032510</t>
  </si>
  <si>
    <t>YBOI040810</t>
  </si>
  <si>
    <t>YBOI042710</t>
  </si>
  <si>
    <t>YBOI050710</t>
  </si>
  <si>
    <t>YBOI051810</t>
  </si>
  <si>
    <t>YBOI052510</t>
  </si>
  <si>
    <t>YBOI060310</t>
  </si>
  <si>
    <t>YBOI060910</t>
  </si>
  <si>
    <t>YBOI061410</t>
  </si>
  <si>
    <t>YBOI062510</t>
  </si>
  <si>
    <t>YBOI070210</t>
  </si>
  <si>
    <t>YBOI070710</t>
  </si>
  <si>
    <t>YBOI071510</t>
  </si>
  <si>
    <t>YBOI072110</t>
  </si>
  <si>
    <t>YBOI072810</t>
  </si>
  <si>
    <t>YBOI080410</t>
  </si>
  <si>
    <t>YBOI081310</t>
  </si>
  <si>
    <t>YBOI081810</t>
  </si>
  <si>
    <t>YBOI082510</t>
  </si>
  <si>
    <t>YBOI090910</t>
  </si>
  <si>
    <t>YBOI092410</t>
  </si>
  <si>
    <t>YMAD101508</t>
  </si>
  <si>
    <t>YMAD110108</t>
  </si>
  <si>
    <t>YMAD112008</t>
  </si>
  <si>
    <t>YMAD120208</t>
  </si>
  <si>
    <t>YMAD010809</t>
  </si>
  <si>
    <t>YMAD020409</t>
  </si>
  <si>
    <t>YMAD030409</t>
  </si>
  <si>
    <t>YMAD031809</t>
  </si>
  <si>
    <t>YMAD040209</t>
  </si>
  <si>
    <t>YMAD041609</t>
  </si>
  <si>
    <t>YMAD043009</t>
  </si>
  <si>
    <t>YMAD051409</t>
  </si>
  <si>
    <t>YMAD051509</t>
  </si>
  <si>
    <t>YMAD052109</t>
  </si>
  <si>
    <t>YMAD060409</t>
  </si>
  <si>
    <t>YMAD062509</t>
  </si>
  <si>
    <t>YMAD080509</t>
  </si>
  <si>
    <t>YMAD082009</t>
  </si>
  <si>
    <t>YMAD090209</t>
  </si>
  <si>
    <t>YMAD091709</t>
  </si>
  <si>
    <t>YMAD093009</t>
  </si>
  <si>
    <t>YMAD102709</t>
  </si>
  <si>
    <t>YMAD111009</t>
  </si>
  <si>
    <t>YMAD120409</t>
  </si>
  <si>
    <t>YMAD030210</t>
  </si>
  <si>
    <t>YMAD031310</t>
  </si>
  <si>
    <t>YMAD040310</t>
  </si>
  <si>
    <t>YMAD041510</t>
  </si>
  <si>
    <t>YMAD042310</t>
  </si>
  <si>
    <t>YMAD051910</t>
  </si>
  <si>
    <t>YMAD060510</t>
  </si>
  <si>
    <t>YMAD061110</t>
  </si>
  <si>
    <t>YMAD062010</t>
  </si>
  <si>
    <t>YMAD062410</t>
  </si>
  <si>
    <t>YMAD070110</t>
  </si>
  <si>
    <t>YMAD070910</t>
  </si>
  <si>
    <t>YMAD071610</t>
  </si>
  <si>
    <t>YMAD072210</t>
  </si>
  <si>
    <t>YMAD073110</t>
  </si>
  <si>
    <t>YMAD080610</t>
  </si>
  <si>
    <t>YMAD081210</t>
  </si>
  <si>
    <t>YMAD081910</t>
  </si>
  <si>
    <t>YMAD082610</t>
  </si>
  <si>
    <t>YMAD090910</t>
  </si>
  <si>
    <t>YMAD092310</t>
  </si>
  <si>
    <t>YMAD093010</t>
  </si>
  <si>
    <t>YGIB101308</t>
  </si>
  <si>
    <t>YGIB110408</t>
  </si>
  <si>
    <t>YGIB120208</t>
  </si>
  <si>
    <t>YGIB010909</t>
  </si>
  <si>
    <t>YGIB020509</t>
  </si>
  <si>
    <t>YGIB030109</t>
  </si>
  <si>
    <t>YGIB031809</t>
  </si>
  <si>
    <t>YGIB040209</t>
  </si>
  <si>
    <t>YGIB041609</t>
  </si>
  <si>
    <t>YGIB043009</t>
  </si>
  <si>
    <t>YGIB050509</t>
  </si>
  <si>
    <t>YGIB051409</t>
  </si>
  <si>
    <t>YGIB051909</t>
  </si>
  <si>
    <t>YGIB052809</t>
  </si>
  <si>
    <t>YGIB060309</t>
  </si>
  <si>
    <t>YGIB061009</t>
  </si>
  <si>
    <t>YGIB061709</t>
  </si>
  <si>
    <t>YGIB062409</t>
  </si>
  <si>
    <t>YGIB070109</t>
  </si>
  <si>
    <t>YGIB070809</t>
  </si>
  <si>
    <t>YGIB071509</t>
  </si>
  <si>
    <t>YGIB072209</t>
  </si>
  <si>
    <t>YGIB072909</t>
  </si>
  <si>
    <t>YGIB080509</t>
  </si>
  <si>
    <t>YGIB081909</t>
  </si>
  <si>
    <t>YGIB090209</t>
  </si>
  <si>
    <t>YGIB091609</t>
  </si>
  <si>
    <t>YGIB093009</t>
  </si>
  <si>
    <t>YGIB101409</t>
  </si>
  <si>
    <t>YGIB111009</t>
  </si>
  <si>
    <t>YGIB120209</t>
  </si>
  <si>
    <t xml:space="preserve">YGIB012010 </t>
  </si>
  <si>
    <t>YGIB030210</t>
  </si>
  <si>
    <t>YGIB 032310</t>
  </si>
  <si>
    <t>YGIB 041510</t>
  </si>
  <si>
    <t>YGIB042810</t>
  </si>
  <si>
    <t>YGIB050510</t>
  </si>
  <si>
    <t>YGIB051710</t>
  </si>
  <si>
    <t>YGIB052610</t>
  </si>
  <si>
    <t>YGIB060210</t>
  </si>
  <si>
    <t>YGIB060710</t>
  </si>
  <si>
    <t>YGIB061610</t>
  </si>
  <si>
    <t>YGIB062210</t>
  </si>
  <si>
    <t>YGIB062910</t>
  </si>
  <si>
    <t>YGIB070610</t>
  </si>
  <si>
    <t>YGIB071310</t>
  </si>
  <si>
    <t>YGIB071910</t>
  </si>
  <si>
    <t>YGIB072710</t>
  </si>
  <si>
    <t>YGIB080310</t>
  </si>
  <si>
    <t>YGIB081210</t>
  </si>
  <si>
    <t>YGIB081910</t>
  </si>
  <si>
    <t>YGIB082410</t>
  </si>
  <si>
    <t>YGIB090810</t>
  </si>
  <si>
    <t>YGIB092310</t>
  </si>
  <si>
    <t>YFIR101308</t>
  </si>
  <si>
    <t>YFIR110408</t>
  </si>
  <si>
    <t>YFIR120208</t>
  </si>
  <si>
    <t>YFIR010909</t>
  </si>
  <si>
    <t>YFIR020509</t>
  </si>
  <si>
    <t>YFIR030109</t>
  </si>
  <si>
    <t>YFIR031809</t>
  </si>
  <si>
    <t>YFIR040209</t>
  </si>
  <si>
    <t>YFIR041609</t>
  </si>
  <si>
    <t>YFIR043009</t>
  </si>
  <si>
    <t>YFIR050509</t>
  </si>
  <si>
    <t>YFIR051409</t>
  </si>
  <si>
    <t>YFIR051909</t>
  </si>
  <si>
    <t>YFIR052809</t>
  </si>
  <si>
    <t>YFIR060309</t>
  </si>
  <si>
    <t>YFIR061009</t>
  </si>
  <si>
    <t>YFIR061709</t>
  </si>
  <si>
    <t>YFIR062409</t>
  </si>
  <si>
    <t>YFIR070109</t>
  </si>
  <si>
    <t>YFIR070809</t>
  </si>
  <si>
    <t>YFIR071509</t>
  </si>
  <si>
    <t>YFIR072209</t>
  </si>
  <si>
    <t>YFIR072909</t>
  </si>
  <si>
    <t>YFIR080509</t>
  </si>
  <si>
    <t>YFIR081909</t>
  </si>
  <si>
    <t>YFIR090209</t>
  </si>
  <si>
    <t>YFIR091609</t>
  </si>
  <si>
    <t>YFIR093009</t>
  </si>
  <si>
    <t>YFIR101409</t>
  </si>
  <si>
    <t>YFIR111009</t>
  </si>
  <si>
    <t>YFIR120209</t>
  </si>
  <si>
    <t>YFIR012010</t>
  </si>
  <si>
    <t>YFIR030210</t>
  </si>
  <si>
    <t>YFIR032310</t>
  </si>
  <si>
    <t>YFIR041510</t>
  </si>
  <si>
    <t>YFIR042810</t>
  </si>
  <si>
    <t>YFIR050510</t>
  </si>
  <si>
    <t>YFIR051710</t>
  </si>
  <si>
    <t>YFIR052610</t>
  </si>
  <si>
    <t>YFIR060210</t>
  </si>
  <si>
    <t>YFIR060610</t>
  </si>
  <si>
    <t>YFIR061610</t>
  </si>
  <si>
    <t>YFIR062210</t>
  </si>
  <si>
    <t>YFIR062910</t>
  </si>
  <si>
    <t>YFIR070610</t>
  </si>
  <si>
    <t>YFIR071310</t>
  </si>
  <si>
    <t>YFIR071910</t>
  </si>
  <si>
    <t>YFIR073010</t>
  </si>
  <si>
    <t>YFIR080310</t>
  </si>
  <si>
    <t>YFIR081210</t>
  </si>
  <si>
    <t>YFIR081910</t>
  </si>
  <si>
    <t>YFIR082410</t>
  </si>
  <si>
    <t>YFIR090810</t>
  </si>
  <si>
    <t>YFIR092210</t>
  </si>
  <si>
    <t>YFOF101308</t>
  </si>
  <si>
    <t>YFOF110408</t>
  </si>
  <si>
    <t>YFOF120208</t>
  </si>
  <si>
    <t>YFOF010909</t>
  </si>
  <si>
    <t>YFOF020509</t>
  </si>
  <si>
    <t>YFOF030109</t>
  </si>
  <si>
    <t>YFOF032009</t>
  </si>
  <si>
    <t>YFOF040209</t>
  </si>
  <si>
    <t>YFOF041609</t>
  </si>
  <si>
    <t>YFOF043009</t>
  </si>
  <si>
    <t>YFOF050509</t>
  </si>
  <si>
    <t>YFOF051409</t>
  </si>
  <si>
    <t>YFOF051909</t>
  </si>
  <si>
    <t>YFOF052809</t>
  </si>
  <si>
    <t>YFOF060309</t>
  </si>
  <si>
    <t>YFOF061009</t>
  </si>
  <si>
    <t>YFOF061709</t>
  </si>
  <si>
    <t>YFOF062409</t>
  </si>
  <si>
    <t>YFOF070109</t>
  </si>
  <si>
    <t>YFOF070809</t>
  </si>
  <si>
    <t>YFOF071509</t>
  </si>
  <si>
    <t>YFOF072209</t>
  </si>
  <si>
    <t>YFOF072909</t>
  </si>
  <si>
    <t>YFOF080509</t>
  </si>
  <si>
    <t>YFOF081909</t>
  </si>
  <si>
    <t>YFOF090209</t>
  </si>
  <si>
    <t>YFOF091609</t>
  </si>
  <si>
    <t>YFOF093009</t>
  </si>
  <si>
    <t>YFOF111009</t>
  </si>
  <si>
    <t>YFOF120209</t>
  </si>
  <si>
    <t>YFOF012010</t>
  </si>
  <si>
    <t>YFOF030210</t>
  </si>
  <si>
    <t>YFOF032310</t>
  </si>
  <si>
    <t>YFOF041510</t>
  </si>
  <si>
    <t>YFOF042810</t>
  </si>
  <si>
    <t>YFOF050510</t>
  </si>
  <si>
    <t>YFOF051710</t>
  </si>
  <si>
    <t>YFOF052610</t>
  </si>
  <si>
    <t>YFOF060210</t>
  </si>
  <si>
    <t>YFOF060710</t>
  </si>
  <si>
    <t>YFOF061610</t>
  </si>
  <si>
    <t>YFOF062210</t>
  </si>
  <si>
    <t>YFOF062910</t>
  </si>
  <si>
    <t>YFOF070610</t>
  </si>
  <si>
    <t>YFOF071310</t>
  </si>
  <si>
    <t>YFOF071910</t>
  </si>
  <si>
    <t>YFOF072710</t>
  </si>
  <si>
    <t>YFOF080310</t>
  </si>
  <si>
    <t>YFOF081210</t>
  </si>
  <si>
    <t>YFOF081910</t>
  </si>
  <si>
    <t>YFOF082410</t>
  </si>
  <si>
    <t>YFOF090810</t>
  </si>
  <si>
    <t>YFOF092210</t>
  </si>
  <si>
    <t>YSNA101508</t>
  </si>
  <si>
    <t>YSNA110108</t>
  </si>
  <si>
    <t>YSNA120408</t>
  </si>
  <si>
    <t>YSNA010609</t>
  </si>
  <si>
    <t>YSNA020209</t>
  </si>
  <si>
    <t>YSNA030109</t>
  </si>
  <si>
    <t>YSNA031709</t>
  </si>
  <si>
    <t>YSNA051109</t>
  </si>
  <si>
    <t>YSNA052009</t>
  </si>
  <si>
    <t>YSNA060109</t>
  </si>
  <si>
    <t>YSNA061709</t>
  </si>
  <si>
    <t>YSNA070109</t>
  </si>
  <si>
    <t>YSNA070709</t>
  </si>
  <si>
    <t>YSNA072909</t>
  </si>
  <si>
    <t>YSNA081909</t>
  </si>
  <si>
    <t>YSNA090209</t>
  </si>
  <si>
    <t>YSNA091609</t>
  </si>
  <si>
    <t>YSNA031610</t>
  </si>
  <si>
    <t>YSNA032310</t>
  </si>
  <si>
    <t>YSNA040610</t>
  </si>
  <si>
    <t>YSNA041310</t>
  </si>
  <si>
    <t>YSNA050510</t>
  </si>
  <si>
    <t>YSNA052610</t>
  </si>
  <si>
    <t>YSNA060210</t>
  </si>
  <si>
    <t>YSNA060910</t>
  </si>
  <si>
    <t>YSNA061610</t>
  </si>
  <si>
    <t>YSNA062710</t>
  </si>
  <si>
    <t>YSNA063010</t>
  </si>
  <si>
    <t>YSNA070710</t>
  </si>
  <si>
    <t>YSNA071610</t>
  </si>
  <si>
    <t>YSNA072110</t>
  </si>
  <si>
    <t>YSNA072810</t>
  </si>
  <si>
    <t>YSNA080410</t>
  </si>
  <si>
    <t>YSNA081110</t>
  </si>
  <si>
    <t>YSNA081810</t>
  </si>
  <si>
    <t>YSNA090410</t>
  </si>
  <si>
    <t>YSNA092210</t>
  </si>
  <si>
    <t>YSNA093010</t>
  </si>
  <si>
    <t>YFAL022309</t>
  </si>
  <si>
    <t>YFAL030409</t>
  </si>
  <si>
    <t>YFAL031909</t>
  </si>
  <si>
    <t>YFAL092609</t>
  </si>
  <si>
    <t>YFAL100509</t>
  </si>
  <si>
    <t>YFAL102309</t>
  </si>
  <si>
    <t>YFAL110409</t>
  </si>
  <si>
    <t>YFAL112709</t>
  </si>
  <si>
    <t>YFAL123009</t>
  </si>
  <si>
    <t>YFAL020510</t>
  </si>
  <si>
    <t>YFAL031810</t>
  </si>
  <si>
    <t>YFAL050910</t>
  </si>
  <si>
    <t>YFAL060810</t>
  </si>
  <si>
    <t>YFAL062110</t>
  </si>
  <si>
    <t>YFAL072910</t>
  </si>
  <si>
    <t>YFAL080610</t>
  </si>
  <si>
    <t>YFAL082610</t>
  </si>
  <si>
    <t>YFAL091010</t>
  </si>
  <si>
    <t>YFAL091810</t>
  </si>
  <si>
    <t>YHEN111908</t>
  </si>
  <si>
    <t>YHEN020909</t>
  </si>
  <si>
    <t>YHEN030409</t>
  </si>
  <si>
    <t>YHEN031909</t>
  </si>
  <si>
    <t>YHEN100509</t>
  </si>
  <si>
    <t>YHEN102309</t>
  </si>
  <si>
    <t>YHEN110409</t>
  </si>
  <si>
    <t>YHEN112709</t>
  </si>
  <si>
    <t>YHEN123009</t>
  </si>
  <si>
    <t>YHEN020510</t>
  </si>
  <si>
    <t>YHEN031810</t>
  </si>
  <si>
    <t>YHEN050910</t>
  </si>
  <si>
    <t>YHEN060810</t>
  </si>
  <si>
    <t>YHEN062110</t>
  </si>
  <si>
    <t>YHEN071210</t>
  </si>
  <si>
    <t>YHEN072910</t>
  </si>
  <si>
    <t>YHEN080610</t>
  </si>
  <si>
    <t>YHEN091010</t>
  </si>
  <si>
    <t>YHEN091810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</si>
</sst>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  <numFmt numFmtId="166" formatCode="h:mm;@"/>
    <numFmt numFmtId="167" formatCode="mm/dd/yy"/>
    <numFmt numFmtId="168" formatCode="0.000"/>
    <numFmt numFmtId="169" formatCode="[$-409]d\-mmm\-yy;@"/>
    <numFmt numFmtId="170" formatCode="m/d/yy;@"/>
    <numFmt numFmtId="171" formatCode="m/d/yy\ h:mm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4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12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2" fontId="15" fillId="0" borderId="0" xfId="0" applyNumberFormat="1" applyFont="1" applyFill="1" applyBorder="1" applyAlignment="1">
      <alignment horizontal="left"/>
    </xf>
    <xf numFmtId="165" fontId="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66" fontId="0" fillId="0" borderId="0" xfId="55" applyNumberFormat="1" applyFont="1" applyAlignment="1">
      <alignment horizontal="center"/>
      <protection/>
    </xf>
    <xf numFmtId="164" fontId="0" fillId="0" borderId="0" xfId="55" applyNumberFormat="1" applyFont="1" applyAlignment="1">
      <alignment horizontal="center"/>
      <protection/>
    </xf>
    <xf numFmtId="166" fontId="0" fillId="0" borderId="0" xfId="58" applyNumberFormat="1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2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58" applyFont="1">
      <alignment/>
      <protection/>
    </xf>
    <xf numFmtId="166" fontId="0" fillId="0" borderId="0" xfId="58" applyNumberFormat="1" applyAlignment="1">
      <alignment horizontal="center"/>
      <protection/>
    </xf>
    <xf numFmtId="0" fontId="0" fillId="0" borderId="0" xfId="58" applyAlignment="1">
      <alignment horizontal="center"/>
      <protection/>
    </xf>
    <xf numFmtId="164" fontId="0" fillId="0" borderId="0" xfId="58" applyNumberFormat="1" applyFont="1" applyAlignment="1">
      <alignment horizontal="center"/>
      <protection/>
    </xf>
    <xf numFmtId="164" fontId="0" fillId="0" borderId="0" xfId="58" applyNumberFormat="1" applyFill="1" applyAlignment="1">
      <alignment horizontal="center"/>
      <protection/>
    </xf>
    <xf numFmtId="164" fontId="0" fillId="0" borderId="0" xfId="58" applyNumberFormat="1" applyAlignment="1">
      <alignment horizontal="center"/>
      <protection/>
    </xf>
    <xf numFmtId="2" fontId="0" fillId="0" borderId="0" xfId="58" applyNumberFormat="1" applyAlignment="1">
      <alignment horizontal="center"/>
      <protection/>
    </xf>
    <xf numFmtId="1" fontId="0" fillId="0" borderId="0" xfId="58" applyNumberForma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165" fontId="0" fillId="0" borderId="0" xfId="58" applyNumberFormat="1" applyFont="1" applyAlignment="1">
      <alignment horizontal="center"/>
      <protection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64" fontId="0" fillId="0" borderId="10" xfId="0" applyNumberFormat="1" applyFont="1" applyBorder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55" applyFont="1">
      <alignment/>
      <protection/>
    </xf>
    <xf numFmtId="165" fontId="0" fillId="0" borderId="0" xfId="55" applyNumberFormat="1" applyAlignment="1">
      <alignment horizontal="center"/>
      <protection/>
    </xf>
    <xf numFmtId="0" fontId="0" fillId="0" borderId="0" xfId="55">
      <alignment/>
      <protection/>
    </xf>
    <xf numFmtId="1" fontId="0" fillId="0" borderId="0" xfId="55" applyNumberFormat="1" applyAlignment="1">
      <alignment horizontal="center"/>
      <protection/>
    </xf>
    <xf numFmtId="166" fontId="0" fillId="0" borderId="0" xfId="55" applyNumberFormat="1" applyAlignment="1">
      <alignment horizontal="center"/>
      <protection/>
    </xf>
    <xf numFmtId="164" fontId="0" fillId="0" borderId="0" xfId="55" applyNumberFormat="1" applyFont="1" applyAlignment="1">
      <alignment horizontal="center"/>
      <protection/>
    </xf>
    <xf numFmtId="0" fontId="22" fillId="0" borderId="0" xfId="0" applyFont="1" applyFill="1" applyAlignment="1">
      <alignment/>
    </xf>
    <xf numFmtId="164" fontId="0" fillId="0" borderId="0" xfId="55" applyNumberFormat="1" applyFont="1" applyFill="1" applyAlignment="1">
      <alignment horizontal="center"/>
      <protection/>
    </xf>
    <xf numFmtId="0" fontId="0" fillId="0" borderId="0" xfId="55" applyAlignment="1">
      <alignment horizontal="center"/>
      <protection/>
    </xf>
    <xf numFmtId="164" fontId="0" fillId="0" borderId="0" xfId="55" applyNumberFormat="1" applyAlignment="1">
      <alignment horizontal="center"/>
      <protection/>
    </xf>
    <xf numFmtId="2" fontId="0" fillId="0" borderId="0" xfId="55" applyNumberForma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5"/>
  <sheetViews>
    <sheetView tabSelected="1" zoomScale="125" zoomScaleNormal="12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21.8515625" style="113" customWidth="1"/>
    <col min="2" max="2" width="15.421875" style="108" customWidth="1"/>
    <col min="3" max="3" width="11.421875" style="86" bestFit="1" customWidth="1"/>
    <col min="4" max="5" width="11.421875" style="86" customWidth="1"/>
    <col min="6" max="7" width="9.140625" style="110" customWidth="1"/>
    <col min="8" max="8" width="9.140625" style="109" customWidth="1"/>
    <col min="9" max="9" width="11.421875" style="110" customWidth="1"/>
    <col min="10" max="10" width="11.421875" style="86" customWidth="1"/>
    <col min="11" max="11" width="9.140625" style="111" customWidth="1"/>
    <col min="12" max="12" width="12.8515625" style="0" customWidth="1"/>
    <col min="13" max="24" width="11.421875" style="0" customWidth="1"/>
    <col min="25" max="25" width="12.00390625" style="0" customWidth="1"/>
  </cols>
  <sheetData>
    <row r="1" spans="1:11" ht="15.75" customHeight="1">
      <c r="A1" s="82" t="s">
        <v>52</v>
      </c>
      <c r="B1" s="95"/>
      <c r="C1" s="97"/>
      <c r="D1" s="97"/>
      <c r="E1" s="99"/>
      <c r="F1" s="99"/>
      <c r="G1" s="99"/>
      <c r="H1" s="67"/>
      <c r="I1" s="99"/>
      <c r="J1" s="100"/>
      <c r="K1" s="100"/>
    </row>
    <row r="2" spans="1:11" ht="12.75">
      <c r="A2" s="113" t="s">
        <v>786</v>
      </c>
      <c r="B2" s="95"/>
      <c r="C2" s="97"/>
      <c r="D2" s="97"/>
      <c r="E2" s="99"/>
      <c r="F2" s="99"/>
      <c r="G2" s="99"/>
      <c r="H2" s="98"/>
      <c r="I2" s="99"/>
      <c r="J2" s="100"/>
      <c r="K2" s="100"/>
    </row>
    <row r="3" spans="1:24" ht="15.75">
      <c r="A3" s="82" t="s">
        <v>524</v>
      </c>
      <c r="B3" s="84" t="s">
        <v>1644</v>
      </c>
      <c r="C3" s="78" t="s">
        <v>1540</v>
      </c>
      <c r="D3" s="78" t="s">
        <v>970</v>
      </c>
      <c r="E3" s="79" t="s">
        <v>970</v>
      </c>
      <c r="F3" s="79" t="s">
        <v>324</v>
      </c>
      <c r="G3" s="79" t="s">
        <v>325</v>
      </c>
      <c r="H3" s="80" t="s">
        <v>326</v>
      </c>
      <c r="I3" s="79" t="s">
        <v>327</v>
      </c>
      <c r="J3" s="58" t="s">
        <v>971</v>
      </c>
      <c r="K3" s="58" t="s">
        <v>328</v>
      </c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2:24" ht="14.25">
      <c r="B4" s="95"/>
      <c r="C4" s="97"/>
      <c r="D4" s="97" t="s">
        <v>968</v>
      </c>
      <c r="E4" s="99" t="s">
        <v>271</v>
      </c>
      <c r="F4" s="99" t="s">
        <v>969</v>
      </c>
      <c r="G4" s="99" t="s">
        <v>969</v>
      </c>
      <c r="H4" s="98" t="s">
        <v>969</v>
      </c>
      <c r="I4" s="99" t="s">
        <v>969</v>
      </c>
      <c r="J4" s="100" t="s">
        <v>969</v>
      </c>
      <c r="K4" s="100" t="s">
        <v>319</v>
      </c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11" ht="12.75">
      <c r="A5" s="82" t="s">
        <v>960</v>
      </c>
      <c r="B5" s="95"/>
      <c r="C5" s="11"/>
      <c r="D5" s="97"/>
      <c r="E5" s="99"/>
      <c r="F5" s="99"/>
      <c r="G5" s="99"/>
      <c r="H5" s="98"/>
      <c r="I5" s="99"/>
      <c r="J5" s="100"/>
      <c r="K5" s="100"/>
    </row>
    <row r="6" spans="1:11" ht="12.75">
      <c r="A6" s="113" t="s">
        <v>1444</v>
      </c>
      <c r="B6" s="95">
        <v>37238</v>
      </c>
      <c r="C6" s="96">
        <v>0.513888888888889</v>
      </c>
      <c r="D6" s="97">
        <v>669</v>
      </c>
      <c r="E6" s="99">
        <v>18.94397265</v>
      </c>
      <c r="F6" s="99">
        <v>16</v>
      </c>
      <c r="G6" s="99">
        <v>1.2</v>
      </c>
      <c r="H6" s="98">
        <v>0.037</v>
      </c>
      <c r="I6" s="99">
        <v>44</v>
      </c>
      <c r="J6" s="100">
        <v>81.50955468750001</v>
      </c>
      <c r="K6" s="100">
        <f>E6*F6</f>
        <v>303.1035624</v>
      </c>
    </row>
    <row r="7" spans="1:11" ht="12.75">
      <c r="A7" s="113" t="s">
        <v>1445</v>
      </c>
      <c r="B7" s="95">
        <v>37271</v>
      </c>
      <c r="C7" s="96">
        <v>0.4298611111111111</v>
      </c>
      <c r="D7" s="97">
        <v>681</v>
      </c>
      <c r="E7" s="99">
        <v>19.28377485</v>
      </c>
      <c r="F7" s="99">
        <v>19</v>
      </c>
      <c r="G7" s="99">
        <v>1.1</v>
      </c>
      <c r="H7" s="98">
        <v>0.047</v>
      </c>
      <c r="I7" s="99">
        <v>49</v>
      </c>
      <c r="J7" s="100">
        <v>102.4827734375</v>
      </c>
      <c r="K7" s="100">
        <f aca="true" t="shared" si="0" ref="K7:K69">E7*F7</f>
        <v>366.39172215</v>
      </c>
    </row>
    <row r="8" spans="1:11" ht="12.75">
      <c r="A8" s="113" t="s">
        <v>1446</v>
      </c>
      <c r="B8" s="95">
        <v>37300</v>
      </c>
      <c r="C8" s="96">
        <v>0.44166666666666665</v>
      </c>
      <c r="D8" s="97">
        <v>675</v>
      </c>
      <c r="E8" s="99">
        <v>19.11387375</v>
      </c>
      <c r="F8" s="99">
        <v>19</v>
      </c>
      <c r="G8" s="99">
        <v>1.2</v>
      </c>
      <c r="H8" s="98">
        <v>0.047</v>
      </c>
      <c r="I8" s="99">
        <v>51</v>
      </c>
      <c r="J8" s="100">
        <v>96.44502864583333</v>
      </c>
      <c r="K8" s="100">
        <f t="shared" si="0"/>
        <v>363.16360125</v>
      </c>
    </row>
    <row r="9" spans="1:11" ht="12.75">
      <c r="A9" s="113" t="s">
        <v>1447</v>
      </c>
      <c r="B9" s="95">
        <v>37321</v>
      </c>
      <c r="C9" s="96">
        <v>0.7013888888888888</v>
      </c>
      <c r="D9" s="97">
        <v>730</v>
      </c>
      <c r="E9" s="99">
        <v>20.6713005</v>
      </c>
      <c r="F9" s="99">
        <v>18</v>
      </c>
      <c r="G9" s="99">
        <v>1.2</v>
      </c>
      <c r="H9" s="98">
        <v>0.043</v>
      </c>
      <c r="I9" s="99">
        <v>49</v>
      </c>
      <c r="J9" s="100">
        <v>98.66946093749998</v>
      </c>
      <c r="K9" s="100">
        <f t="shared" si="0"/>
        <v>372.083409</v>
      </c>
    </row>
    <row r="10" spans="1:11" ht="12.75">
      <c r="A10" s="113" t="s">
        <v>1448</v>
      </c>
      <c r="B10" s="95">
        <v>37335</v>
      </c>
      <c r="C10" s="96">
        <v>0.7652777777777778</v>
      </c>
      <c r="D10" s="97">
        <v>774</v>
      </c>
      <c r="E10" s="99">
        <v>21.9172419</v>
      </c>
      <c r="F10" s="99">
        <v>17</v>
      </c>
      <c r="G10" s="99">
        <v>1</v>
      </c>
      <c r="H10" s="98">
        <v>0.04</v>
      </c>
      <c r="I10" s="99">
        <v>45</v>
      </c>
      <c r="J10" s="100">
        <v>90.24839583333333</v>
      </c>
      <c r="K10" s="100">
        <f t="shared" si="0"/>
        <v>372.59311230000003</v>
      </c>
    </row>
    <row r="11" spans="1:11" ht="12.75">
      <c r="A11" s="113" t="s">
        <v>1449</v>
      </c>
      <c r="B11" s="95">
        <v>37364</v>
      </c>
      <c r="C11" s="96">
        <v>0.5638888888888889</v>
      </c>
      <c r="D11" s="97">
        <v>1520</v>
      </c>
      <c r="E11" s="99">
        <v>43.041612</v>
      </c>
      <c r="F11" s="99">
        <v>10</v>
      </c>
      <c r="G11" s="99">
        <v>0.79</v>
      </c>
      <c r="H11" s="98">
        <v>0.023</v>
      </c>
      <c r="I11" s="99">
        <v>32</v>
      </c>
      <c r="J11" s="100">
        <v>80.5562265625</v>
      </c>
      <c r="K11" s="100">
        <f t="shared" si="0"/>
        <v>430.41612</v>
      </c>
    </row>
    <row r="12" spans="1:11" ht="12.75">
      <c r="A12" s="113" t="s">
        <v>1450</v>
      </c>
      <c r="B12" s="95">
        <v>37370</v>
      </c>
      <c r="C12" s="96">
        <v>0.6951388888888889</v>
      </c>
      <c r="D12" s="97">
        <v>1190</v>
      </c>
      <c r="E12" s="99">
        <v>33.6970515</v>
      </c>
      <c r="F12" s="99">
        <v>12</v>
      </c>
      <c r="G12" s="99">
        <v>0.82</v>
      </c>
      <c r="H12" s="98">
        <v>0.022</v>
      </c>
      <c r="I12" s="99">
        <v>36</v>
      </c>
      <c r="J12" s="100">
        <v>83.25732291666667</v>
      </c>
      <c r="K12" s="100">
        <f t="shared" si="0"/>
        <v>404.364618</v>
      </c>
    </row>
    <row r="13" spans="1:11" ht="12.75">
      <c r="A13" s="113" t="s">
        <v>1451</v>
      </c>
      <c r="B13" s="95">
        <v>37377</v>
      </c>
      <c r="C13" s="96">
        <v>0.6145833333333334</v>
      </c>
      <c r="D13" s="97">
        <v>2280</v>
      </c>
      <c r="E13" s="99">
        <v>64.56241800000001</v>
      </c>
      <c r="F13" s="99">
        <v>6.3</v>
      </c>
      <c r="G13" s="99">
        <v>0.45</v>
      </c>
      <c r="H13" s="98" t="s">
        <v>381</v>
      </c>
      <c r="I13" s="99">
        <v>21</v>
      </c>
      <c r="J13" s="100">
        <v>62.442992187499996</v>
      </c>
      <c r="K13" s="100">
        <f t="shared" si="0"/>
        <v>406.74323340000007</v>
      </c>
    </row>
    <row r="14" spans="1:11" ht="12.75">
      <c r="A14" s="113" t="s">
        <v>1452</v>
      </c>
      <c r="B14" s="95">
        <v>37384</v>
      </c>
      <c r="C14" s="96">
        <v>0.7458333333333332</v>
      </c>
      <c r="D14" s="97">
        <v>2320</v>
      </c>
      <c r="E14" s="99">
        <v>65.695092</v>
      </c>
      <c r="F14" s="99">
        <v>6.6</v>
      </c>
      <c r="G14" s="99">
        <v>0.47</v>
      </c>
      <c r="H14" s="98" t="s">
        <v>381</v>
      </c>
      <c r="I14" s="99">
        <v>21</v>
      </c>
      <c r="J14" s="100">
        <v>65.30297656249999</v>
      </c>
      <c r="K14" s="100">
        <f t="shared" si="0"/>
        <v>433.5876072</v>
      </c>
    </row>
    <row r="15" spans="1:11" ht="12.75">
      <c r="A15" s="113" t="s">
        <v>1453</v>
      </c>
      <c r="B15" s="95">
        <v>37390</v>
      </c>
      <c r="C15" s="96">
        <v>0.83125</v>
      </c>
      <c r="D15" s="97">
        <v>5110</v>
      </c>
      <c r="E15" s="99">
        <v>144.6991035</v>
      </c>
      <c r="F15" s="99">
        <v>3</v>
      </c>
      <c r="G15" s="99">
        <v>0.27</v>
      </c>
      <c r="H15" s="98" t="s">
        <v>381</v>
      </c>
      <c r="I15" s="99">
        <v>11</v>
      </c>
      <c r="J15" s="100">
        <v>46.236414062499996</v>
      </c>
      <c r="K15" s="100">
        <f t="shared" si="0"/>
        <v>434.09731050000005</v>
      </c>
    </row>
    <row r="16" spans="1:11" ht="12.75">
      <c r="A16" s="113" t="s">
        <v>1454</v>
      </c>
      <c r="B16" s="95">
        <v>37399</v>
      </c>
      <c r="C16" s="96">
        <v>0.3298611111111111</v>
      </c>
      <c r="D16" s="97">
        <v>7560</v>
      </c>
      <c r="E16" s="99">
        <v>214.075386</v>
      </c>
      <c r="F16" s="99">
        <v>2.4</v>
      </c>
      <c r="G16" s="99">
        <v>0.22</v>
      </c>
      <c r="H16" s="98" t="s">
        <v>381</v>
      </c>
      <c r="I16" s="99">
        <v>8.6</v>
      </c>
      <c r="J16" s="100">
        <v>42.74087760416667</v>
      </c>
      <c r="K16" s="100">
        <f t="shared" si="0"/>
        <v>513.7809264</v>
      </c>
    </row>
    <row r="17" spans="1:11" ht="12.75">
      <c r="A17" s="113" t="s">
        <v>1455</v>
      </c>
      <c r="B17" s="95">
        <v>37406</v>
      </c>
      <c r="C17" s="96">
        <v>0.4618055555555556</v>
      </c>
      <c r="D17" s="97">
        <v>13600</v>
      </c>
      <c r="E17" s="99">
        <v>385.10916000000003</v>
      </c>
      <c r="F17" s="99">
        <v>2.2</v>
      </c>
      <c r="G17" s="99">
        <v>0.19</v>
      </c>
      <c r="H17" s="98" t="s">
        <v>381</v>
      </c>
      <c r="I17" s="99">
        <v>6.4</v>
      </c>
      <c r="J17" s="100">
        <v>38.133125</v>
      </c>
      <c r="K17" s="100">
        <f t="shared" si="0"/>
        <v>847.2401520000002</v>
      </c>
    </row>
    <row r="18" spans="1:11" ht="12.75">
      <c r="A18" s="113" t="s">
        <v>1456</v>
      </c>
      <c r="B18" s="95">
        <v>37412</v>
      </c>
      <c r="C18" s="96">
        <v>0.3645833333333333</v>
      </c>
      <c r="D18" s="97">
        <v>12200</v>
      </c>
      <c r="E18" s="99">
        <v>345.46557</v>
      </c>
      <c r="F18" s="99">
        <v>2.2</v>
      </c>
      <c r="G18" s="99">
        <v>0.21</v>
      </c>
      <c r="H18" s="98" t="s">
        <v>381</v>
      </c>
      <c r="I18" s="99">
        <v>6.7</v>
      </c>
      <c r="J18" s="100">
        <v>67.686296875</v>
      </c>
      <c r="K18" s="100">
        <f t="shared" si="0"/>
        <v>760.024254</v>
      </c>
    </row>
    <row r="19" spans="1:11" ht="12.75">
      <c r="A19" s="113" t="s">
        <v>1457</v>
      </c>
      <c r="B19" s="95">
        <v>37419</v>
      </c>
      <c r="C19" s="96">
        <v>0.3506944444444444</v>
      </c>
      <c r="D19" s="97">
        <v>9020</v>
      </c>
      <c r="E19" s="99">
        <v>255.417987</v>
      </c>
      <c r="F19" s="99">
        <v>3.8</v>
      </c>
      <c r="G19" s="99">
        <v>0.36</v>
      </c>
      <c r="H19" s="98" t="s">
        <v>381</v>
      </c>
      <c r="I19" s="99">
        <v>9.9</v>
      </c>
      <c r="J19" s="100">
        <v>45.75975</v>
      </c>
      <c r="K19" s="100">
        <f t="shared" si="0"/>
        <v>970.5883506</v>
      </c>
    </row>
    <row r="20" spans="1:11" ht="12.75">
      <c r="A20" s="113" t="s">
        <v>1458</v>
      </c>
      <c r="B20" s="95">
        <v>37426</v>
      </c>
      <c r="C20" s="96">
        <v>0.7083333333333334</v>
      </c>
      <c r="D20" s="97">
        <v>11800</v>
      </c>
      <c r="E20" s="99">
        <v>334.13883</v>
      </c>
      <c r="F20" s="99">
        <v>2.8</v>
      </c>
      <c r="G20" s="99">
        <v>0.33</v>
      </c>
      <c r="H20" s="98" t="s">
        <v>381</v>
      </c>
      <c r="I20" s="99">
        <v>7.9</v>
      </c>
      <c r="J20" s="100">
        <v>37.81534895833334</v>
      </c>
      <c r="K20" s="100">
        <f t="shared" si="0"/>
        <v>935.5887239999998</v>
      </c>
    </row>
    <row r="21" spans="1:11" ht="12.75">
      <c r="A21" s="113" t="s">
        <v>1459</v>
      </c>
      <c r="B21" s="95">
        <v>37433</v>
      </c>
      <c r="C21" s="96">
        <v>0.5590277777777778</v>
      </c>
      <c r="D21" s="97">
        <v>9840</v>
      </c>
      <c r="E21" s="99">
        <v>278.637804</v>
      </c>
      <c r="F21" s="99">
        <v>6.1</v>
      </c>
      <c r="G21" s="99">
        <v>0.42</v>
      </c>
      <c r="H21" s="98">
        <v>0.044</v>
      </c>
      <c r="I21" s="99">
        <v>10</v>
      </c>
      <c r="J21" s="100">
        <v>61.966328125</v>
      </c>
      <c r="K21" s="100">
        <f t="shared" si="0"/>
        <v>1699.6906044</v>
      </c>
    </row>
    <row r="22" spans="1:11" ht="12.75">
      <c r="A22" s="113" t="s">
        <v>1460</v>
      </c>
      <c r="B22" s="95">
        <v>37440</v>
      </c>
      <c r="C22" s="96">
        <v>0.38680555555555557</v>
      </c>
      <c r="D22" s="97">
        <v>7300</v>
      </c>
      <c r="E22" s="99">
        <v>206.713005</v>
      </c>
      <c r="F22" s="99">
        <v>4.1</v>
      </c>
      <c r="G22" s="99">
        <v>0.43</v>
      </c>
      <c r="H22" s="98" t="s">
        <v>381</v>
      </c>
      <c r="I22" s="99">
        <v>11</v>
      </c>
      <c r="J22" s="100">
        <v>49.414174479166675</v>
      </c>
      <c r="K22" s="100">
        <f t="shared" si="0"/>
        <v>847.5233205</v>
      </c>
    </row>
    <row r="23" spans="1:11" ht="12.75">
      <c r="A23" s="113" t="s">
        <v>1461</v>
      </c>
      <c r="B23" s="95">
        <v>37448</v>
      </c>
      <c r="C23" s="96">
        <v>0.5</v>
      </c>
      <c r="D23" s="97">
        <v>5230</v>
      </c>
      <c r="E23" s="99">
        <v>148.0971255</v>
      </c>
      <c r="F23" s="99">
        <v>5.6</v>
      </c>
      <c r="G23" s="99">
        <v>0.54</v>
      </c>
      <c r="H23" s="98" t="s">
        <v>381</v>
      </c>
      <c r="I23" s="99">
        <v>13</v>
      </c>
      <c r="J23" s="100">
        <v>25.898747395833333</v>
      </c>
      <c r="K23" s="100">
        <f t="shared" si="0"/>
        <v>829.3439028</v>
      </c>
    </row>
    <row r="24" spans="1:11" ht="12.75">
      <c r="A24" s="113" t="s">
        <v>1462</v>
      </c>
      <c r="B24" s="95">
        <v>37454</v>
      </c>
      <c r="C24" s="96">
        <v>0.37916666666666665</v>
      </c>
      <c r="D24" s="97">
        <v>4570</v>
      </c>
      <c r="E24" s="99">
        <v>129.4080045</v>
      </c>
      <c r="F24" s="99">
        <v>5.6</v>
      </c>
      <c r="G24" s="99">
        <v>0.59</v>
      </c>
      <c r="H24" s="98" t="s">
        <v>381</v>
      </c>
      <c r="I24" s="99">
        <v>15</v>
      </c>
      <c r="J24" s="100">
        <v>55.13414322916667</v>
      </c>
      <c r="K24" s="100">
        <f t="shared" si="0"/>
        <v>724.6848252</v>
      </c>
    </row>
    <row r="25" spans="1:11" ht="12.75">
      <c r="A25" s="113" t="s">
        <v>1463</v>
      </c>
      <c r="B25" s="95">
        <v>37462</v>
      </c>
      <c r="C25" s="96">
        <v>0.638888888888889</v>
      </c>
      <c r="D25" s="97">
        <v>3570</v>
      </c>
      <c r="E25" s="99">
        <v>101.0911545</v>
      </c>
      <c r="F25" s="99">
        <v>6.2</v>
      </c>
      <c r="G25" s="99">
        <v>0.62</v>
      </c>
      <c r="H25" s="98" t="s">
        <v>381</v>
      </c>
      <c r="I25" s="99">
        <v>15</v>
      </c>
      <c r="J25" s="100">
        <v>58.47079166666667</v>
      </c>
      <c r="K25" s="100">
        <f t="shared" si="0"/>
        <v>626.7651579000001</v>
      </c>
    </row>
    <row r="26" spans="1:11" ht="12.75">
      <c r="A26" s="113" t="s">
        <v>1464</v>
      </c>
      <c r="B26" s="95">
        <v>37482</v>
      </c>
      <c r="C26" s="96">
        <v>0.5</v>
      </c>
      <c r="D26" s="97">
        <v>2340</v>
      </c>
      <c r="E26" s="99">
        <v>66.261429</v>
      </c>
      <c r="F26" s="99">
        <v>8.2</v>
      </c>
      <c r="G26" s="99">
        <v>0.74</v>
      </c>
      <c r="H26" s="98" t="s">
        <v>381</v>
      </c>
      <c r="I26" s="99">
        <v>20</v>
      </c>
      <c r="J26" s="100">
        <v>66.41519270833334</v>
      </c>
      <c r="K26" s="100">
        <f t="shared" si="0"/>
        <v>543.3437178</v>
      </c>
    </row>
    <row r="27" spans="1:11" ht="12.75">
      <c r="A27" s="113" t="s">
        <v>1465</v>
      </c>
      <c r="B27" s="95">
        <v>37496</v>
      </c>
      <c r="C27" s="96">
        <v>0.6013888888888889</v>
      </c>
      <c r="D27" s="97">
        <v>1840</v>
      </c>
      <c r="E27" s="99">
        <v>52.103004</v>
      </c>
      <c r="F27" s="99">
        <v>9.3</v>
      </c>
      <c r="G27" s="99">
        <v>0.79</v>
      </c>
      <c r="H27" s="98" t="s">
        <v>381</v>
      </c>
      <c r="I27" s="99">
        <v>24</v>
      </c>
      <c r="J27" s="100">
        <v>72.13516145833333</v>
      </c>
      <c r="K27" s="100">
        <f t="shared" si="0"/>
        <v>484.5579372</v>
      </c>
    </row>
    <row r="28" spans="1:11" ht="12.75">
      <c r="A28" s="113" t="s">
        <v>1466</v>
      </c>
      <c r="B28" s="95">
        <v>37509</v>
      </c>
      <c r="C28" s="96">
        <v>0.4888888888888889</v>
      </c>
      <c r="D28" s="97">
        <v>1720</v>
      </c>
      <c r="E28" s="99">
        <v>48.704982</v>
      </c>
      <c r="F28" s="99">
        <v>10</v>
      </c>
      <c r="G28" s="99">
        <v>0.81</v>
      </c>
      <c r="H28" s="98" t="s">
        <v>381</v>
      </c>
      <c r="I28" s="99">
        <v>26</v>
      </c>
      <c r="J28" s="100">
        <v>73.08848958333334</v>
      </c>
      <c r="K28" s="100">
        <f t="shared" si="0"/>
        <v>487.04982</v>
      </c>
    </row>
    <row r="29" spans="1:11" ht="12.75">
      <c r="A29" s="82" t="s">
        <v>961</v>
      </c>
      <c r="B29" s="95"/>
      <c r="C29" s="97"/>
      <c r="D29" s="97"/>
      <c r="E29" s="99"/>
      <c r="F29" s="99"/>
      <c r="G29" s="99"/>
      <c r="H29" s="98"/>
      <c r="I29" s="99"/>
      <c r="J29" s="100"/>
      <c r="K29" s="100"/>
    </row>
    <row r="30" spans="1:11" ht="12.75">
      <c r="A30" s="113" t="s">
        <v>1328</v>
      </c>
      <c r="B30" s="95">
        <v>37546</v>
      </c>
      <c r="C30" s="119">
        <v>0.5520833333333334</v>
      </c>
      <c r="D30" s="101">
        <v>1140</v>
      </c>
      <c r="E30" s="99">
        <v>32.281209000000004</v>
      </c>
      <c r="F30" s="99">
        <v>12.4</v>
      </c>
      <c r="G30" s="99">
        <v>0.92</v>
      </c>
      <c r="H30" s="98">
        <v>0.01</v>
      </c>
      <c r="I30" s="99">
        <v>32.7</v>
      </c>
      <c r="J30" s="100">
        <v>80.07956250000001</v>
      </c>
      <c r="K30" s="100">
        <f t="shared" si="0"/>
        <v>400.2869916000001</v>
      </c>
    </row>
    <row r="31" spans="1:11" ht="12.75">
      <c r="A31" s="113" t="s">
        <v>1329</v>
      </c>
      <c r="B31" s="95">
        <v>37579</v>
      </c>
      <c r="C31" s="119">
        <v>0.625</v>
      </c>
      <c r="D31" s="101">
        <v>932</v>
      </c>
      <c r="E31" s="99">
        <v>26.3913042</v>
      </c>
      <c r="F31" s="99">
        <v>15.1</v>
      </c>
      <c r="G31" s="99">
        <v>1.05</v>
      </c>
      <c r="H31" s="98">
        <v>0.02</v>
      </c>
      <c r="I31" s="99">
        <v>38.9</v>
      </c>
      <c r="J31" s="100">
        <v>86.43508333333334</v>
      </c>
      <c r="K31" s="100">
        <f t="shared" si="0"/>
        <v>398.50869342</v>
      </c>
    </row>
    <row r="32" spans="1:11" ht="12.75">
      <c r="A32" s="113" t="s">
        <v>1330</v>
      </c>
      <c r="B32" s="95">
        <v>37634</v>
      </c>
      <c r="C32" s="119">
        <v>0.6666666666666666</v>
      </c>
      <c r="D32" s="101">
        <v>748</v>
      </c>
      <c r="E32" s="99">
        <v>21.1810038</v>
      </c>
      <c r="F32" s="99">
        <v>17</v>
      </c>
      <c r="G32" s="99">
        <v>1.14</v>
      </c>
      <c r="H32" s="98">
        <v>0.02</v>
      </c>
      <c r="I32" s="99">
        <v>45.3</v>
      </c>
      <c r="J32" s="100">
        <v>88.65951562500001</v>
      </c>
      <c r="K32" s="100">
        <f t="shared" si="0"/>
        <v>360.07706459999997</v>
      </c>
    </row>
    <row r="33" spans="1:11" ht="12.75">
      <c r="A33" s="113" t="s">
        <v>1331</v>
      </c>
      <c r="B33" s="95">
        <v>37670</v>
      </c>
      <c r="C33" s="119">
        <v>0.4444444444444444</v>
      </c>
      <c r="D33" s="101">
        <v>834</v>
      </c>
      <c r="E33" s="99">
        <v>23.6162529</v>
      </c>
      <c r="F33" s="99">
        <v>16.3</v>
      </c>
      <c r="G33" s="99">
        <v>1.14</v>
      </c>
      <c r="H33" s="98">
        <v>0.02</v>
      </c>
      <c r="I33" s="99">
        <v>43.7</v>
      </c>
      <c r="J33" s="100">
        <v>85.79953125</v>
      </c>
      <c r="K33" s="100">
        <f t="shared" si="0"/>
        <v>384.94492227</v>
      </c>
    </row>
    <row r="34" spans="1:11" ht="12.75">
      <c r="A34" s="113" t="s">
        <v>1332</v>
      </c>
      <c r="B34" s="95">
        <v>37685</v>
      </c>
      <c r="C34" s="119">
        <v>0.6666666666666666</v>
      </c>
      <c r="D34" s="101">
        <v>755</v>
      </c>
      <c r="E34" s="99">
        <v>21.37922175</v>
      </c>
      <c r="F34" s="99">
        <v>17</v>
      </c>
      <c r="G34" s="99">
        <v>1.18</v>
      </c>
      <c r="H34" s="98">
        <v>0.02</v>
      </c>
      <c r="I34" s="99">
        <v>46.4</v>
      </c>
      <c r="J34" s="100">
        <v>91.5195</v>
      </c>
      <c r="K34" s="100">
        <f t="shared" si="0"/>
        <v>363.44676975</v>
      </c>
    </row>
    <row r="35" spans="1:11" ht="12.75">
      <c r="A35" s="113" t="s">
        <v>1333</v>
      </c>
      <c r="B35" s="95">
        <v>37690</v>
      </c>
      <c r="C35" s="119">
        <v>0.7777777777777778</v>
      </c>
      <c r="D35" s="101">
        <v>861</v>
      </c>
      <c r="E35" s="99">
        <v>24.38080785</v>
      </c>
      <c r="F35" s="99">
        <v>16.5</v>
      </c>
      <c r="G35" s="99">
        <v>1.14</v>
      </c>
      <c r="H35" s="98">
        <v>0.02</v>
      </c>
      <c r="I35" s="99">
        <v>45.7</v>
      </c>
      <c r="J35" s="100">
        <v>83.25732291666667</v>
      </c>
      <c r="K35" s="100">
        <f t="shared" si="0"/>
        <v>402.283329525</v>
      </c>
    </row>
    <row r="36" spans="1:11" ht="12.75">
      <c r="A36" s="113" t="s">
        <v>1334</v>
      </c>
      <c r="B36" s="95">
        <v>37721</v>
      </c>
      <c r="C36" s="119">
        <v>0.5701388888888889</v>
      </c>
      <c r="D36" s="101">
        <v>1070</v>
      </c>
      <c r="E36" s="99">
        <v>30.2990295</v>
      </c>
      <c r="F36" s="99">
        <v>14.2</v>
      </c>
      <c r="G36" s="99">
        <v>1.06</v>
      </c>
      <c r="H36" s="98">
        <v>0.01</v>
      </c>
      <c r="I36" s="99">
        <v>38.9</v>
      </c>
      <c r="J36" s="100">
        <v>93.42615625</v>
      </c>
      <c r="K36" s="100">
        <f t="shared" si="0"/>
        <v>430.2462189</v>
      </c>
    </row>
    <row r="37" spans="1:11" ht="12.75">
      <c r="A37" s="113" t="s">
        <v>1335</v>
      </c>
      <c r="B37" s="95">
        <v>37733</v>
      </c>
      <c r="C37" s="119">
        <v>0.78125</v>
      </c>
      <c r="D37" s="101">
        <v>2320</v>
      </c>
      <c r="E37" s="99">
        <v>65.695092</v>
      </c>
      <c r="F37" s="99">
        <v>6.54</v>
      </c>
      <c r="G37" s="99">
        <v>0.53</v>
      </c>
      <c r="H37" s="98" t="s">
        <v>964</v>
      </c>
      <c r="I37" s="99">
        <v>20.8</v>
      </c>
      <c r="J37" s="100">
        <v>69.27517708333333</v>
      </c>
      <c r="K37" s="100">
        <f t="shared" si="0"/>
        <v>429.64590168</v>
      </c>
    </row>
    <row r="38" spans="1:11" ht="12.75">
      <c r="A38" s="113" t="s">
        <v>1336</v>
      </c>
      <c r="B38" s="95">
        <v>37748</v>
      </c>
      <c r="C38" s="119">
        <v>0.4284722222222222</v>
      </c>
      <c r="D38" s="101">
        <v>2280</v>
      </c>
      <c r="E38" s="99">
        <v>64.56241800000001</v>
      </c>
      <c r="F38" s="99">
        <v>6.85</v>
      </c>
      <c r="G38" s="99">
        <v>0.58</v>
      </c>
      <c r="H38" s="98" t="s">
        <v>964</v>
      </c>
      <c r="I38" s="99">
        <v>31</v>
      </c>
      <c r="J38" s="100">
        <v>59.74189583333334</v>
      </c>
      <c r="K38" s="100">
        <f t="shared" si="0"/>
        <v>442.2525633</v>
      </c>
    </row>
    <row r="39" spans="1:11" ht="12.75">
      <c r="A39" s="113" t="s">
        <v>1337</v>
      </c>
      <c r="B39" s="95">
        <v>37755</v>
      </c>
      <c r="C39" s="119">
        <v>0.5</v>
      </c>
      <c r="D39" s="101">
        <v>3150</v>
      </c>
      <c r="E39" s="99">
        <v>89.1980775</v>
      </c>
      <c r="F39" s="99">
        <v>5.87</v>
      </c>
      <c r="G39" s="99">
        <v>0.53</v>
      </c>
      <c r="H39" s="98" t="s">
        <v>964</v>
      </c>
      <c r="I39" s="99">
        <v>19.4</v>
      </c>
      <c r="J39" s="100">
        <v>64.19076041666666</v>
      </c>
      <c r="K39" s="100">
        <f t="shared" si="0"/>
        <v>523.592714925</v>
      </c>
    </row>
    <row r="40" spans="1:11" ht="12.75">
      <c r="A40" s="113" t="s">
        <v>1338</v>
      </c>
      <c r="B40" s="95">
        <v>37762</v>
      </c>
      <c r="C40" s="119">
        <v>0.5590277777777778</v>
      </c>
      <c r="D40" s="101">
        <v>4880</v>
      </c>
      <c r="E40" s="99">
        <v>138.186228</v>
      </c>
      <c r="F40" s="99">
        <v>3.81</v>
      </c>
      <c r="G40" s="99">
        <v>0.37</v>
      </c>
      <c r="H40" s="98" t="s">
        <v>964</v>
      </c>
      <c r="I40" s="99">
        <v>14.1</v>
      </c>
      <c r="J40" s="100">
        <v>47.34863020833334</v>
      </c>
      <c r="K40" s="100">
        <f t="shared" si="0"/>
        <v>526.48952868</v>
      </c>
    </row>
    <row r="41" spans="1:11" ht="12.75">
      <c r="A41" s="113" t="s">
        <v>1339</v>
      </c>
      <c r="B41" s="95">
        <v>37769</v>
      </c>
      <c r="C41" s="119">
        <v>0.38819444444444445</v>
      </c>
      <c r="D41" s="101">
        <v>18300</v>
      </c>
      <c r="E41" s="99">
        <v>518.198355</v>
      </c>
      <c r="F41" s="99">
        <v>1.31</v>
      </c>
      <c r="G41" s="99">
        <v>0.18</v>
      </c>
      <c r="H41" s="98" t="s">
        <v>964</v>
      </c>
      <c r="I41" s="99">
        <v>9.9</v>
      </c>
      <c r="J41" s="100">
        <v>26.693187499999997</v>
      </c>
      <c r="K41" s="100">
        <f t="shared" si="0"/>
        <v>678.83984505</v>
      </c>
    </row>
    <row r="42" spans="1:11" ht="12.75">
      <c r="A42" s="113" t="s">
        <v>1340</v>
      </c>
      <c r="B42" s="95">
        <v>37770</v>
      </c>
      <c r="C42" s="119">
        <v>0.6458333333333334</v>
      </c>
      <c r="D42" s="101">
        <v>18400</v>
      </c>
      <c r="E42" s="99">
        <v>521.03004</v>
      </c>
      <c r="F42" s="99">
        <v>1.24</v>
      </c>
      <c r="G42" s="99">
        <v>0.15</v>
      </c>
      <c r="H42" s="98" t="s">
        <v>964</v>
      </c>
      <c r="I42" s="99">
        <v>4.42</v>
      </c>
      <c r="J42" s="100">
        <v>34.319812500000005</v>
      </c>
      <c r="K42" s="100">
        <f t="shared" si="0"/>
        <v>646.0772496</v>
      </c>
    </row>
    <row r="43" spans="1:11" ht="12.75">
      <c r="A43" s="113" t="s">
        <v>1341</v>
      </c>
      <c r="B43" s="95">
        <v>37776</v>
      </c>
      <c r="C43" s="119">
        <v>0.46875</v>
      </c>
      <c r="D43" s="101">
        <v>13200</v>
      </c>
      <c r="E43" s="99">
        <v>373.78242</v>
      </c>
      <c r="F43" s="99">
        <v>2.33</v>
      </c>
      <c r="G43" s="99">
        <v>0.28</v>
      </c>
      <c r="H43" s="98" t="s">
        <v>964</v>
      </c>
      <c r="I43" s="99">
        <v>12.7</v>
      </c>
      <c r="J43" s="100">
        <v>28.282067708333333</v>
      </c>
      <c r="K43" s="100">
        <f t="shared" si="0"/>
        <v>870.9130386</v>
      </c>
    </row>
    <row r="44" spans="1:11" ht="12.75">
      <c r="A44" s="113" t="s">
        <v>1342</v>
      </c>
      <c r="B44" s="95">
        <v>37783</v>
      </c>
      <c r="C44" s="119">
        <v>5.1</v>
      </c>
      <c r="D44" s="101">
        <v>12000</v>
      </c>
      <c r="E44" s="99">
        <v>339.8022</v>
      </c>
      <c r="F44" s="99">
        <v>2.77</v>
      </c>
      <c r="G44" s="99">
        <v>0.29</v>
      </c>
      <c r="H44" s="98" t="s">
        <v>964</v>
      </c>
      <c r="I44" s="99">
        <v>11.5</v>
      </c>
      <c r="J44" s="100">
        <v>3.5484991319444448</v>
      </c>
      <c r="K44" s="100">
        <f t="shared" si="0"/>
        <v>941.252094</v>
      </c>
    </row>
    <row r="45" spans="1:11" ht="12.75">
      <c r="A45" s="113" t="s">
        <v>1343</v>
      </c>
      <c r="B45" s="95">
        <v>37790</v>
      </c>
      <c r="C45" s="119">
        <v>0.32569444444444445</v>
      </c>
      <c r="D45" s="101">
        <v>12100</v>
      </c>
      <c r="E45" s="99">
        <v>342.633885</v>
      </c>
      <c r="F45" s="99">
        <v>2.78</v>
      </c>
      <c r="G45" s="99">
        <v>0.29</v>
      </c>
      <c r="H45" s="98" t="s">
        <v>964</v>
      </c>
      <c r="I45" s="99">
        <v>10.9</v>
      </c>
      <c r="J45" s="100">
        <v>32.41315625</v>
      </c>
      <c r="K45" s="100">
        <f t="shared" si="0"/>
        <v>952.5222003</v>
      </c>
    </row>
    <row r="46" spans="1:11" ht="12.75">
      <c r="A46" s="113" t="s">
        <v>1344</v>
      </c>
      <c r="B46" s="95">
        <v>37797</v>
      </c>
      <c r="C46" s="119">
        <v>0.32222222222222224</v>
      </c>
      <c r="D46" s="101">
        <v>7560</v>
      </c>
      <c r="E46" s="99">
        <v>214.075386</v>
      </c>
      <c r="F46" s="99">
        <v>4.32</v>
      </c>
      <c r="G46" s="99">
        <v>0.45</v>
      </c>
      <c r="H46" s="98" t="s">
        <v>964</v>
      </c>
      <c r="I46" s="99">
        <v>17.1</v>
      </c>
      <c r="J46" s="100">
        <v>36.86202083333334</v>
      </c>
      <c r="K46" s="100">
        <f t="shared" si="0"/>
        <v>924.80566752</v>
      </c>
    </row>
    <row r="47" spans="1:11" ht="12.75">
      <c r="A47" s="113" t="s">
        <v>1345</v>
      </c>
      <c r="B47" s="95">
        <v>37811</v>
      </c>
      <c r="C47" s="119">
        <v>0.3423611111111111</v>
      </c>
      <c r="D47" s="101">
        <v>5510</v>
      </c>
      <c r="E47" s="99">
        <v>156.0258435</v>
      </c>
      <c r="F47" s="99">
        <v>5.25</v>
      </c>
      <c r="G47" s="99">
        <v>0.51</v>
      </c>
      <c r="H47" s="98" t="s">
        <v>964</v>
      </c>
      <c r="I47" s="99">
        <v>13.8</v>
      </c>
      <c r="J47" s="100">
        <v>48.619734375</v>
      </c>
      <c r="K47" s="100">
        <f t="shared" si="0"/>
        <v>819.135678375</v>
      </c>
    </row>
    <row r="48" spans="1:11" ht="12.75">
      <c r="A48" s="113" t="s">
        <v>1346</v>
      </c>
      <c r="B48" s="95">
        <v>37812</v>
      </c>
      <c r="C48" s="119">
        <v>0.28125</v>
      </c>
      <c r="D48" s="101">
        <v>5250</v>
      </c>
      <c r="E48" s="99">
        <v>148.6634625</v>
      </c>
      <c r="F48" s="99">
        <v>5.38</v>
      </c>
      <c r="G48" s="99">
        <v>0.53</v>
      </c>
      <c r="H48" s="98" t="s">
        <v>964</v>
      </c>
      <c r="I48" s="99">
        <v>12.1</v>
      </c>
      <c r="J48" s="100">
        <v>47.66640625</v>
      </c>
      <c r="K48" s="100">
        <f t="shared" si="0"/>
        <v>799.80942825</v>
      </c>
    </row>
    <row r="49" spans="1:11" ht="12.75">
      <c r="A49" s="113" t="s">
        <v>1347</v>
      </c>
      <c r="B49" s="95">
        <v>37818</v>
      </c>
      <c r="C49" s="119">
        <v>0.31805555555555554</v>
      </c>
      <c r="D49" s="101">
        <v>4420</v>
      </c>
      <c r="E49" s="99">
        <v>125.160477</v>
      </c>
      <c r="F49" s="99">
        <v>5.99</v>
      </c>
      <c r="G49" s="99">
        <v>0.58</v>
      </c>
      <c r="H49" s="98" t="s">
        <v>964</v>
      </c>
      <c r="I49" s="99">
        <v>14.9</v>
      </c>
      <c r="J49" s="100">
        <v>51.479718749999996</v>
      </c>
      <c r="K49" s="100">
        <f t="shared" si="0"/>
        <v>749.71125723</v>
      </c>
    </row>
    <row r="50" spans="1:11" ht="12.75">
      <c r="A50" s="113" t="s">
        <v>1348</v>
      </c>
      <c r="B50" s="95">
        <v>37825</v>
      </c>
      <c r="C50" s="119">
        <v>0.5631944444444444</v>
      </c>
      <c r="D50" s="101">
        <v>3650</v>
      </c>
      <c r="E50" s="99">
        <v>103.3565025</v>
      </c>
      <c r="F50" s="99">
        <v>6.41</v>
      </c>
      <c r="G50" s="99">
        <v>0.61</v>
      </c>
      <c r="H50" s="98" t="s">
        <v>964</v>
      </c>
      <c r="I50" s="99">
        <v>15.1</v>
      </c>
      <c r="J50" s="100">
        <v>55.29303124999999</v>
      </c>
      <c r="K50" s="100">
        <f t="shared" si="0"/>
        <v>662.5151810250001</v>
      </c>
    </row>
    <row r="51" spans="1:11" ht="12.75">
      <c r="A51" s="113" t="s">
        <v>1349</v>
      </c>
      <c r="B51" s="95">
        <v>37839</v>
      </c>
      <c r="C51" s="119">
        <v>0.513888888888889</v>
      </c>
      <c r="D51" s="101">
        <v>2760</v>
      </c>
      <c r="E51" s="99">
        <v>78.154506</v>
      </c>
      <c r="F51" s="99">
        <v>7.5</v>
      </c>
      <c r="G51" s="99">
        <v>0.67</v>
      </c>
      <c r="H51" s="98" t="s">
        <v>964</v>
      </c>
      <c r="I51" s="99">
        <v>18.2</v>
      </c>
      <c r="J51" s="100">
        <v>58.47079166666667</v>
      </c>
      <c r="K51" s="100">
        <f t="shared" si="0"/>
        <v>586.1587949999999</v>
      </c>
    </row>
    <row r="52" spans="1:11" ht="12.75">
      <c r="A52" s="113" t="s">
        <v>1350</v>
      </c>
      <c r="B52" s="95">
        <v>37846</v>
      </c>
      <c r="C52" s="119">
        <v>0.5923611111111111</v>
      </c>
      <c r="D52" s="101">
        <v>2300</v>
      </c>
      <c r="E52" s="99">
        <v>65.128755</v>
      </c>
      <c r="F52" s="99">
        <v>8.51</v>
      </c>
      <c r="G52" s="99">
        <v>0.73</v>
      </c>
      <c r="H52" s="98">
        <v>0.01</v>
      </c>
      <c r="I52" s="99">
        <v>21.4</v>
      </c>
      <c r="J52" s="100">
        <v>59.424119791666676</v>
      </c>
      <c r="K52" s="100">
        <f t="shared" si="0"/>
        <v>554.24570505</v>
      </c>
    </row>
    <row r="53" spans="1:11" ht="12.75">
      <c r="A53" s="113" t="s">
        <v>1351</v>
      </c>
      <c r="B53" s="95">
        <v>37854</v>
      </c>
      <c r="C53" s="119">
        <v>0.4902777777777778</v>
      </c>
      <c r="D53" s="101">
        <v>1970</v>
      </c>
      <c r="E53" s="99">
        <v>55.784194500000005</v>
      </c>
      <c r="F53" s="99">
        <v>9</v>
      </c>
      <c r="G53" s="99">
        <v>0.77</v>
      </c>
      <c r="H53" s="98">
        <v>0.01</v>
      </c>
      <c r="I53" s="99">
        <v>21.7</v>
      </c>
      <c r="J53" s="100">
        <v>66.41519270833334</v>
      </c>
      <c r="K53" s="100">
        <f t="shared" si="0"/>
        <v>502.05775050000005</v>
      </c>
    </row>
    <row r="54" spans="1:11" ht="12.75">
      <c r="A54" s="113" t="s">
        <v>1602</v>
      </c>
      <c r="B54" s="95">
        <v>37859</v>
      </c>
      <c r="C54" s="119">
        <v>0.3125</v>
      </c>
      <c r="D54" s="101">
        <v>1790</v>
      </c>
      <c r="E54" s="99">
        <v>50.6871615</v>
      </c>
      <c r="F54" s="99">
        <v>9.47</v>
      </c>
      <c r="G54" s="99">
        <v>0.78</v>
      </c>
      <c r="H54" s="98">
        <v>0.01</v>
      </c>
      <c r="I54" s="99">
        <v>23.2</v>
      </c>
      <c r="J54" s="100">
        <v>65.14408854166666</v>
      </c>
      <c r="K54" s="100">
        <f t="shared" si="0"/>
        <v>480.00741940500006</v>
      </c>
    </row>
    <row r="55" spans="1:11" ht="12.75">
      <c r="A55" s="113" t="s">
        <v>1603</v>
      </c>
      <c r="B55" s="95">
        <v>37860</v>
      </c>
      <c r="C55" s="119">
        <v>0.3958333333333333</v>
      </c>
      <c r="D55" s="101">
        <v>1760</v>
      </c>
      <c r="E55" s="99">
        <v>49.837656</v>
      </c>
      <c r="F55" s="99">
        <v>9.67</v>
      </c>
      <c r="G55" s="99">
        <v>0.79</v>
      </c>
      <c r="H55" s="98">
        <v>0.01</v>
      </c>
      <c r="I55" s="99">
        <v>23.7</v>
      </c>
      <c r="J55" s="100">
        <v>66.09741666666667</v>
      </c>
      <c r="K55" s="100">
        <f t="shared" si="0"/>
        <v>481.93013352</v>
      </c>
    </row>
    <row r="56" spans="1:11" ht="12.75">
      <c r="A56" s="113" t="s">
        <v>1604</v>
      </c>
      <c r="B56" s="95">
        <v>37867</v>
      </c>
      <c r="C56" s="119">
        <v>0.4930555555555556</v>
      </c>
      <c r="D56" s="101">
        <v>1610</v>
      </c>
      <c r="E56" s="99">
        <v>45.5901285</v>
      </c>
      <c r="F56" s="99">
        <v>10.5</v>
      </c>
      <c r="G56" s="99">
        <v>0.83</v>
      </c>
      <c r="H56" s="98">
        <v>0.01</v>
      </c>
      <c r="I56" s="99">
        <v>25.1</v>
      </c>
      <c r="J56" s="100">
        <v>70.54628125</v>
      </c>
      <c r="K56" s="100">
        <f t="shared" si="0"/>
        <v>478.69634924999997</v>
      </c>
    </row>
    <row r="57" spans="1:11" ht="12.75">
      <c r="A57" s="113" t="s">
        <v>1605</v>
      </c>
      <c r="B57" s="95">
        <v>37881</v>
      </c>
      <c r="C57" s="119">
        <v>0.44097222222222227</v>
      </c>
      <c r="D57" s="101">
        <v>1440</v>
      </c>
      <c r="E57" s="99">
        <v>40.776264000000005</v>
      </c>
      <c r="F57" s="99">
        <v>11</v>
      </c>
      <c r="G57" s="99">
        <v>0.85</v>
      </c>
      <c r="H57" s="98">
        <v>0.01</v>
      </c>
      <c r="I57" s="99">
        <v>27.6</v>
      </c>
      <c r="J57" s="100">
        <v>73.72404166666668</v>
      </c>
      <c r="K57" s="100">
        <f t="shared" si="0"/>
        <v>448.53890400000006</v>
      </c>
    </row>
    <row r="58" spans="1:11" ht="12.75">
      <c r="A58" s="113" t="s">
        <v>1606</v>
      </c>
      <c r="B58" s="95">
        <v>37888</v>
      </c>
      <c r="C58" s="119">
        <v>0.4444444444444444</v>
      </c>
      <c r="D58" s="101">
        <v>1260</v>
      </c>
      <c r="E58" s="99">
        <v>35.679231</v>
      </c>
      <c r="F58" s="99">
        <v>11.9</v>
      </c>
      <c r="G58" s="99">
        <v>0.9</v>
      </c>
      <c r="H58" s="98">
        <v>0.02</v>
      </c>
      <c r="I58" s="99">
        <v>29.3</v>
      </c>
      <c r="J58" s="100">
        <v>77.53735416666666</v>
      </c>
      <c r="K58" s="100">
        <f t="shared" si="0"/>
        <v>424.58284890000004</v>
      </c>
    </row>
    <row r="59" spans="1:11" ht="12.75">
      <c r="A59" s="82" t="s">
        <v>963</v>
      </c>
      <c r="B59" s="95"/>
      <c r="C59" s="97"/>
      <c r="D59" s="97"/>
      <c r="E59" s="99"/>
      <c r="F59" s="99"/>
      <c r="G59" s="99"/>
      <c r="H59" s="98"/>
      <c r="I59" s="99"/>
      <c r="J59" s="100"/>
      <c r="K59" s="100"/>
    </row>
    <row r="60" spans="1:11" ht="12.75">
      <c r="A60" s="113" t="s">
        <v>1607</v>
      </c>
      <c r="B60" s="95">
        <v>37895</v>
      </c>
      <c r="C60" s="119" t="s">
        <v>1549</v>
      </c>
      <c r="D60" s="97">
        <v>1150</v>
      </c>
      <c r="E60" s="99">
        <v>32.5643775</v>
      </c>
      <c r="F60" s="99">
        <v>12.5</v>
      </c>
      <c r="G60" s="99">
        <v>0.93</v>
      </c>
      <c r="H60" s="98">
        <v>0.01</v>
      </c>
      <c r="I60" s="99">
        <v>30.7</v>
      </c>
      <c r="J60" s="100">
        <v>82.62177083333333</v>
      </c>
      <c r="K60" s="100">
        <f t="shared" si="0"/>
        <v>407.05471875</v>
      </c>
    </row>
    <row r="61" spans="1:11" ht="12.75">
      <c r="A61" s="113" t="s">
        <v>1608</v>
      </c>
      <c r="B61" s="95">
        <v>37900</v>
      </c>
      <c r="C61" s="119">
        <v>0.7083333333333334</v>
      </c>
      <c r="D61" s="97">
        <v>1110</v>
      </c>
      <c r="E61" s="99">
        <v>31.4317035</v>
      </c>
      <c r="F61" s="99">
        <v>12.9</v>
      </c>
      <c r="G61" s="99">
        <v>0.95</v>
      </c>
      <c r="H61" s="98">
        <v>0.01</v>
      </c>
      <c r="I61" s="99">
        <v>32.6</v>
      </c>
      <c r="J61" s="100">
        <v>78.80845833333333</v>
      </c>
      <c r="K61" s="100">
        <f t="shared" si="0"/>
        <v>405.46897515</v>
      </c>
    </row>
    <row r="62" spans="1:11" ht="12.75">
      <c r="A62" s="113" t="s">
        <v>1609</v>
      </c>
      <c r="B62" s="95">
        <v>37942</v>
      </c>
      <c r="C62" s="119">
        <v>0.7083333333333334</v>
      </c>
      <c r="D62" s="97">
        <v>918</v>
      </c>
      <c r="E62" s="99">
        <v>25.9948683</v>
      </c>
      <c r="F62" s="99">
        <v>15.1</v>
      </c>
      <c r="G62" s="99">
        <v>1.04</v>
      </c>
      <c r="H62" s="98">
        <v>0.02</v>
      </c>
      <c r="I62" s="99">
        <v>39.6</v>
      </c>
      <c r="J62" s="100">
        <v>88.34173958333334</v>
      </c>
      <c r="K62" s="100">
        <f t="shared" si="0"/>
        <v>392.52251133</v>
      </c>
    </row>
    <row r="63" spans="1:11" ht="12.75">
      <c r="A63" s="113" t="s">
        <v>1610</v>
      </c>
      <c r="B63" s="95">
        <v>38029</v>
      </c>
      <c r="C63" s="119">
        <v>0.6527777777777778</v>
      </c>
      <c r="D63" s="97">
        <v>669</v>
      </c>
      <c r="E63" s="99">
        <v>18.94397265</v>
      </c>
      <c r="F63" s="99">
        <v>17.7</v>
      </c>
      <c r="G63" s="99">
        <v>1.14</v>
      </c>
      <c r="H63" s="98">
        <v>0.03</v>
      </c>
      <c r="I63" s="99">
        <v>48.2</v>
      </c>
      <c r="J63" s="100">
        <v>97.87502083333335</v>
      </c>
      <c r="K63" s="100">
        <f t="shared" si="0"/>
        <v>335.308315905</v>
      </c>
    </row>
    <row r="64" spans="1:11" ht="12.75">
      <c r="A64" s="113" t="s">
        <v>1611</v>
      </c>
      <c r="B64" s="95">
        <v>38054</v>
      </c>
      <c r="C64" s="119">
        <v>0.5944444444444444</v>
      </c>
      <c r="D64" s="97">
        <v>780</v>
      </c>
      <c r="E64" s="99">
        <v>22.087143</v>
      </c>
      <c r="F64" s="99">
        <v>16.9</v>
      </c>
      <c r="G64" s="99">
        <v>1.13</v>
      </c>
      <c r="H64" s="98">
        <v>0.02</v>
      </c>
      <c r="I64" s="99">
        <v>42.6</v>
      </c>
      <c r="J64" s="100">
        <v>95.65058854166668</v>
      </c>
      <c r="K64" s="100">
        <f t="shared" si="0"/>
        <v>373.2727167</v>
      </c>
    </row>
    <row r="65" spans="1:11" ht="12.75">
      <c r="A65" s="113" t="s">
        <v>1612</v>
      </c>
      <c r="B65" s="95">
        <v>38068</v>
      </c>
      <c r="C65" s="119">
        <v>0.4604166666666667</v>
      </c>
      <c r="D65" s="97">
        <v>939</v>
      </c>
      <c r="E65" s="99">
        <v>26.58952215</v>
      </c>
      <c r="F65" s="99">
        <v>14.6</v>
      </c>
      <c r="G65" s="99">
        <v>1.02</v>
      </c>
      <c r="H65" s="98">
        <v>0.02</v>
      </c>
      <c r="I65" s="99">
        <v>40.5</v>
      </c>
      <c r="J65" s="100">
        <v>89.93061979166667</v>
      </c>
      <c r="K65" s="100">
        <f t="shared" si="0"/>
        <v>388.20702339</v>
      </c>
    </row>
    <row r="66" spans="1:11" ht="12.75">
      <c r="A66" s="113" t="s">
        <v>1613</v>
      </c>
      <c r="B66" s="95">
        <v>38090</v>
      </c>
      <c r="C66" s="119">
        <v>0.5791666666666667</v>
      </c>
      <c r="D66" s="97">
        <v>2320</v>
      </c>
      <c r="E66" s="99">
        <v>65.695092</v>
      </c>
      <c r="F66" s="99">
        <v>7.22</v>
      </c>
      <c r="G66" s="99">
        <v>0.57</v>
      </c>
      <c r="H66" s="98" t="s">
        <v>964</v>
      </c>
      <c r="I66" s="99">
        <v>20.8</v>
      </c>
      <c r="J66" s="100">
        <v>68.63962500000001</v>
      </c>
      <c r="K66" s="100">
        <f t="shared" si="0"/>
        <v>474.31856424</v>
      </c>
    </row>
    <row r="67" spans="1:11" ht="12.75">
      <c r="A67" s="113" t="s">
        <v>1614</v>
      </c>
      <c r="B67" s="95">
        <v>38100</v>
      </c>
      <c r="C67" s="119">
        <v>0.3368055555555556</v>
      </c>
      <c r="D67" s="97">
        <v>1780</v>
      </c>
      <c r="E67" s="99">
        <v>50.403993</v>
      </c>
      <c r="F67" s="99">
        <v>6.38</v>
      </c>
      <c r="G67" s="99">
        <v>0.58</v>
      </c>
      <c r="H67" s="98" t="s">
        <v>964</v>
      </c>
      <c r="I67" s="99">
        <v>21.5</v>
      </c>
      <c r="J67" s="100">
        <v>69.27517708333333</v>
      </c>
      <c r="K67" s="100">
        <f t="shared" si="0"/>
        <v>321.57747534</v>
      </c>
    </row>
    <row r="68" spans="1:11" ht="12.75">
      <c r="A68" s="113" t="s">
        <v>1615</v>
      </c>
      <c r="B68" s="95">
        <v>38103</v>
      </c>
      <c r="C68" s="119">
        <v>0.5597222222222222</v>
      </c>
      <c r="D68" s="97">
        <v>1990</v>
      </c>
      <c r="E68" s="99">
        <v>56.3505315</v>
      </c>
      <c r="F68" s="99">
        <v>7.73</v>
      </c>
      <c r="G68" s="99">
        <v>0.61</v>
      </c>
      <c r="H68" s="98" t="s">
        <v>964</v>
      </c>
      <c r="I68" s="99">
        <v>21.6</v>
      </c>
      <c r="J68" s="100">
        <v>71.18183333333333</v>
      </c>
      <c r="K68" s="100">
        <f>E68*F68</f>
        <v>435.58960849500005</v>
      </c>
    </row>
    <row r="69" spans="1:11" ht="12.75">
      <c r="A69" s="113" t="s">
        <v>1616</v>
      </c>
      <c r="B69" s="95">
        <v>38111</v>
      </c>
      <c r="C69" s="119">
        <v>0.4826388888888889</v>
      </c>
      <c r="D69" s="97">
        <v>5180</v>
      </c>
      <c r="E69" s="99">
        <v>146.681283</v>
      </c>
      <c r="F69" s="99">
        <v>2.97</v>
      </c>
      <c r="G69" s="99">
        <v>0.28</v>
      </c>
      <c r="H69" s="98" t="s">
        <v>964</v>
      </c>
      <c r="I69" s="99">
        <v>9.66</v>
      </c>
      <c r="J69" s="100">
        <v>46.39530208333333</v>
      </c>
      <c r="K69" s="100">
        <f t="shared" si="0"/>
        <v>435.64341051</v>
      </c>
    </row>
    <row r="70" spans="1:11" ht="12.75">
      <c r="A70" s="113" t="s">
        <v>1617</v>
      </c>
      <c r="B70" s="95">
        <v>38118</v>
      </c>
      <c r="C70" s="119">
        <v>0.3541666666666667</v>
      </c>
      <c r="D70" s="97">
        <v>6420</v>
      </c>
      <c r="E70" s="99">
        <v>181.79417700000002</v>
      </c>
      <c r="F70" s="99">
        <v>2.82</v>
      </c>
      <c r="G70" s="99">
        <v>0.28</v>
      </c>
      <c r="H70" s="98" t="s">
        <v>964</v>
      </c>
      <c r="I70" s="99">
        <v>8.24</v>
      </c>
      <c r="J70" s="100">
        <v>50.844166666666666</v>
      </c>
      <c r="K70" s="100">
        <f aca="true" t="shared" si="1" ref="K70:K119">E70*F70</f>
        <v>512.65957914</v>
      </c>
    </row>
    <row r="71" spans="1:11" ht="12.75">
      <c r="A71" s="113" t="s">
        <v>1618</v>
      </c>
      <c r="B71" s="95">
        <v>38125</v>
      </c>
      <c r="C71" s="119">
        <v>0.375</v>
      </c>
      <c r="D71" s="97">
        <v>3980</v>
      </c>
      <c r="E71" s="99">
        <v>112.701063</v>
      </c>
      <c r="F71" s="99">
        <v>4.81</v>
      </c>
      <c r="G71" s="99">
        <v>0.44</v>
      </c>
      <c r="H71" s="98" t="s">
        <v>964</v>
      </c>
      <c r="I71" s="99">
        <v>13.7</v>
      </c>
      <c r="J71" s="100">
        <v>52.433046875</v>
      </c>
      <c r="K71" s="100">
        <f t="shared" si="1"/>
        <v>542.09211303</v>
      </c>
    </row>
    <row r="72" spans="1:11" ht="12.75">
      <c r="A72" s="113" t="s">
        <v>1619</v>
      </c>
      <c r="B72" s="95">
        <v>38131</v>
      </c>
      <c r="C72" s="119">
        <v>0.5069444444444444</v>
      </c>
      <c r="D72" s="97">
        <v>5140</v>
      </c>
      <c r="E72" s="99">
        <v>145.548609</v>
      </c>
      <c r="F72" s="99">
        <v>3.99</v>
      </c>
      <c r="G72" s="99">
        <v>0.38</v>
      </c>
      <c r="H72" s="98" t="s">
        <v>964</v>
      </c>
      <c r="I72" s="99">
        <v>11.7</v>
      </c>
      <c r="J72" s="100">
        <v>48.30195833333334</v>
      </c>
      <c r="K72" s="100">
        <f t="shared" si="1"/>
        <v>580.73894991</v>
      </c>
    </row>
    <row r="73" spans="1:11" ht="12.75">
      <c r="A73" s="113" t="s">
        <v>1620</v>
      </c>
      <c r="B73" s="95">
        <v>38139</v>
      </c>
      <c r="C73" s="119">
        <v>0.6805555555555555</v>
      </c>
      <c r="D73" s="97">
        <v>5230</v>
      </c>
      <c r="E73" s="99">
        <v>148.0971255</v>
      </c>
      <c r="F73" s="99">
        <v>3.96</v>
      </c>
      <c r="G73" s="99">
        <v>0.39</v>
      </c>
      <c r="H73" s="98" t="s">
        <v>964</v>
      </c>
      <c r="I73" s="99">
        <v>10.6</v>
      </c>
      <c r="J73" s="100">
        <v>50.208614583333336</v>
      </c>
      <c r="K73" s="100">
        <f t="shared" si="1"/>
        <v>586.46461698</v>
      </c>
    </row>
    <row r="74" spans="1:11" ht="12.75">
      <c r="A74" s="113" t="s">
        <v>1621</v>
      </c>
      <c r="B74" s="95">
        <v>38145</v>
      </c>
      <c r="C74" s="119">
        <v>0.6027777777777777</v>
      </c>
      <c r="D74" s="97">
        <v>10100</v>
      </c>
      <c r="E74" s="99">
        <v>286.000185</v>
      </c>
      <c r="F74" s="99">
        <v>2.18</v>
      </c>
      <c r="G74" s="99">
        <v>0.22</v>
      </c>
      <c r="H74" s="98" t="s">
        <v>964</v>
      </c>
      <c r="I74" s="99">
        <v>5.97</v>
      </c>
      <c r="J74" s="100">
        <v>36.22646875</v>
      </c>
      <c r="K74" s="100">
        <f t="shared" si="1"/>
        <v>623.4804033</v>
      </c>
    </row>
    <row r="75" spans="1:11" ht="12.75">
      <c r="A75" s="113" t="s">
        <v>1622</v>
      </c>
      <c r="B75" s="95">
        <v>38152</v>
      </c>
      <c r="C75" s="119">
        <v>0.7083333333333334</v>
      </c>
      <c r="D75" s="97">
        <v>7160</v>
      </c>
      <c r="E75" s="99">
        <v>202.748646</v>
      </c>
      <c r="F75" s="99">
        <v>3.49</v>
      </c>
      <c r="G75" s="99">
        <v>0.35</v>
      </c>
      <c r="H75" s="98" t="s">
        <v>964</v>
      </c>
      <c r="I75" s="99">
        <v>8.78</v>
      </c>
      <c r="J75" s="100">
        <v>45.75975</v>
      </c>
      <c r="K75" s="100">
        <f t="shared" si="1"/>
        <v>707.59277454</v>
      </c>
    </row>
    <row r="76" spans="1:11" ht="12.75">
      <c r="A76" s="113" t="s">
        <v>1623</v>
      </c>
      <c r="B76" s="95">
        <v>38159</v>
      </c>
      <c r="C76" s="119">
        <v>0.83125</v>
      </c>
      <c r="D76" s="97">
        <v>5830</v>
      </c>
      <c r="E76" s="99">
        <v>165.08723550000002</v>
      </c>
      <c r="F76" s="99">
        <v>3.93</v>
      </c>
      <c r="G76" s="99">
        <v>0.38</v>
      </c>
      <c r="H76" s="98">
        <v>0.01</v>
      </c>
      <c r="I76" s="99">
        <v>10.1</v>
      </c>
      <c r="J76" s="100">
        <v>47.66640625</v>
      </c>
      <c r="K76" s="100">
        <f t="shared" si="1"/>
        <v>648.7928355150001</v>
      </c>
    </row>
    <row r="77" spans="1:11" ht="12.75">
      <c r="A77" s="113" t="s">
        <v>1624</v>
      </c>
      <c r="B77" s="95">
        <v>38166</v>
      </c>
      <c r="C77" s="119">
        <v>0.4861111111111111</v>
      </c>
      <c r="D77" s="97">
        <v>6470</v>
      </c>
      <c r="E77" s="99">
        <v>183.21001950000002</v>
      </c>
      <c r="F77" s="99">
        <v>3.88</v>
      </c>
      <c r="G77" s="99">
        <v>0.37</v>
      </c>
      <c r="H77" s="98" t="s">
        <v>964</v>
      </c>
      <c r="I77" s="99">
        <v>10.1</v>
      </c>
      <c r="J77" s="100">
        <v>43.21754166666667</v>
      </c>
      <c r="K77" s="100">
        <f t="shared" si="1"/>
        <v>710.8548756600001</v>
      </c>
    </row>
    <row r="78" spans="1:11" ht="12.75">
      <c r="A78" s="113" t="s">
        <v>1625</v>
      </c>
      <c r="B78" s="95">
        <v>38174</v>
      </c>
      <c r="C78" s="119">
        <v>0.3958333333333333</v>
      </c>
      <c r="D78" s="97">
        <v>5560</v>
      </c>
      <c r="E78" s="99">
        <v>157.441686</v>
      </c>
      <c r="F78" s="99">
        <v>4.39</v>
      </c>
      <c r="G78" s="99">
        <v>0.43</v>
      </c>
      <c r="H78" s="98" t="s">
        <v>964</v>
      </c>
      <c r="I78" s="99">
        <v>11</v>
      </c>
      <c r="J78" s="100">
        <v>47.03085416666667</v>
      </c>
      <c r="K78" s="100">
        <f t="shared" si="1"/>
        <v>691.16900154</v>
      </c>
    </row>
    <row r="79" spans="1:11" ht="12.75">
      <c r="A79" s="113" t="s">
        <v>1626</v>
      </c>
      <c r="B79" s="95">
        <v>38175</v>
      </c>
      <c r="C79" s="119">
        <v>0.8229166666666666</v>
      </c>
      <c r="D79" s="97">
        <v>5090</v>
      </c>
      <c r="E79" s="99">
        <v>144.1327665</v>
      </c>
      <c r="F79" s="99">
        <v>4.6</v>
      </c>
      <c r="G79" s="99">
        <v>0.44</v>
      </c>
      <c r="H79" s="98" t="s">
        <v>964</v>
      </c>
      <c r="I79" s="99">
        <v>11.5</v>
      </c>
      <c r="J79" s="100">
        <v>47.66640625</v>
      </c>
      <c r="K79" s="100">
        <f t="shared" si="1"/>
        <v>663.0107259</v>
      </c>
    </row>
    <row r="80" spans="1:11" ht="12.75">
      <c r="A80" s="113" t="s">
        <v>1627</v>
      </c>
      <c r="B80" s="95">
        <v>38180</v>
      </c>
      <c r="C80" s="119">
        <v>0.3576388888888889</v>
      </c>
      <c r="D80" s="97">
        <v>4440</v>
      </c>
      <c r="E80" s="99">
        <v>125.726814</v>
      </c>
      <c r="F80" s="99">
        <v>5.26</v>
      </c>
      <c r="G80" s="99">
        <v>0.5</v>
      </c>
      <c r="H80" s="98" t="s">
        <v>964</v>
      </c>
      <c r="I80" s="99">
        <v>12.4</v>
      </c>
      <c r="J80" s="100">
        <v>53.06859895833333</v>
      </c>
      <c r="K80" s="100">
        <f t="shared" si="1"/>
        <v>661.32304164</v>
      </c>
    </row>
    <row r="81" spans="1:11" ht="12.75">
      <c r="A81" s="113" t="s">
        <v>1628</v>
      </c>
      <c r="B81" s="95">
        <v>38187</v>
      </c>
      <c r="C81" s="119">
        <v>0.3888888888888889</v>
      </c>
      <c r="D81" s="97">
        <v>4400</v>
      </c>
      <c r="E81" s="99">
        <v>124.59414000000001</v>
      </c>
      <c r="F81" s="99">
        <v>6</v>
      </c>
      <c r="G81" s="99">
        <v>0.51</v>
      </c>
      <c r="H81" s="98" t="s">
        <v>964</v>
      </c>
      <c r="I81" s="99">
        <v>15</v>
      </c>
      <c r="J81" s="100">
        <v>43.53531770833333</v>
      </c>
      <c r="K81" s="100">
        <f t="shared" si="1"/>
        <v>747.56484</v>
      </c>
    </row>
    <row r="82" spans="1:11" ht="12.75">
      <c r="A82" s="113" t="s">
        <v>1629</v>
      </c>
      <c r="B82" s="95">
        <v>38194</v>
      </c>
      <c r="C82" s="119">
        <v>0.41805555555555557</v>
      </c>
      <c r="D82" s="97">
        <v>3310</v>
      </c>
      <c r="E82" s="99">
        <v>93.7287735</v>
      </c>
      <c r="F82" s="99">
        <v>6.4</v>
      </c>
      <c r="G82" s="99">
        <v>0.59</v>
      </c>
      <c r="H82" s="98" t="s">
        <v>964</v>
      </c>
      <c r="I82" s="99">
        <v>15.3</v>
      </c>
      <c r="J82" s="100">
        <v>56.246359375000004</v>
      </c>
      <c r="K82" s="100">
        <f t="shared" si="1"/>
        <v>599.8641504000001</v>
      </c>
    </row>
    <row r="83" spans="1:11" ht="12.75">
      <c r="A83" s="113" t="s">
        <v>1630</v>
      </c>
      <c r="B83" s="95">
        <v>38201</v>
      </c>
      <c r="C83" s="119">
        <v>0.375</v>
      </c>
      <c r="D83" s="97">
        <v>2790</v>
      </c>
      <c r="E83" s="99">
        <v>79.0040115</v>
      </c>
      <c r="F83" s="99">
        <v>7.21</v>
      </c>
      <c r="G83" s="99">
        <v>0.64</v>
      </c>
      <c r="H83" s="98">
        <v>0.01</v>
      </c>
      <c r="I83" s="99">
        <v>16.9</v>
      </c>
      <c r="J83" s="100">
        <v>59.106343750000015</v>
      </c>
      <c r="K83" s="100">
        <f t="shared" si="1"/>
        <v>569.618922915</v>
      </c>
    </row>
    <row r="84" spans="1:11" ht="12.75">
      <c r="A84" s="113" t="s">
        <v>1631</v>
      </c>
      <c r="B84" s="95">
        <v>38208</v>
      </c>
      <c r="C84" s="119">
        <v>0.548611111111111</v>
      </c>
      <c r="D84" s="97">
        <v>2390</v>
      </c>
      <c r="E84" s="99">
        <v>67.6772715</v>
      </c>
      <c r="F84" s="99">
        <v>7.81</v>
      </c>
      <c r="G84" s="99">
        <v>0.68</v>
      </c>
      <c r="H84" s="98">
        <v>0.01</v>
      </c>
      <c r="I84" s="99">
        <v>18.6</v>
      </c>
      <c r="J84" s="100">
        <v>64.50853645833334</v>
      </c>
      <c r="K84" s="100">
        <f t="shared" si="1"/>
        <v>528.559490415</v>
      </c>
    </row>
    <row r="85" spans="1:11" ht="12.75">
      <c r="A85" s="113" t="s">
        <v>1632</v>
      </c>
      <c r="B85" s="95">
        <v>38215</v>
      </c>
      <c r="C85" s="119">
        <v>0.3541666666666667</v>
      </c>
      <c r="D85" s="97">
        <v>2090</v>
      </c>
      <c r="E85" s="99">
        <v>59.1822165</v>
      </c>
      <c r="F85" s="99">
        <v>8.65</v>
      </c>
      <c r="G85" s="99">
        <v>0.73</v>
      </c>
      <c r="H85" s="98">
        <v>0.01</v>
      </c>
      <c r="I85" s="99">
        <v>20.3</v>
      </c>
      <c r="J85" s="100">
        <v>65.46186458333334</v>
      </c>
      <c r="K85" s="100">
        <f t="shared" si="1"/>
        <v>511.9261727250001</v>
      </c>
    </row>
    <row r="86" spans="1:11" ht="12.75">
      <c r="A86" s="113" t="s">
        <v>1633</v>
      </c>
      <c r="B86" s="95">
        <v>38222</v>
      </c>
      <c r="C86" s="119">
        <v>0.4375</v>
      </c>
      <c r="D86" s="97">
        <v>2140</v>
      </c>
      <c r="E86" s="99">
        <v>60.598059</v>
      </c>
      <c r="F86" s="99">
        <v>8.6</v>
      </c>
      <c r="G86" s="99">
        <v>0.73</v>
      </c>
      <c r="H86" s="98" t="s">
        <v>964</v>
      </c>
      <c r="I86" s="99">
        <v>21.5</v>
      </c>
      <c r="J86" s="100">
        <v>63.55520833333333</v>
      </c>
      <c r="K86" s="100">
        <f t="shared" si="1"/>
        <v>521.1433074</v>
      </c>
    </row>
    <row r="87" spans="1:11" ht="12.75">
      <c r="A87" s="113" t="s">
        <v>1634</v>
      </c>
      <c r="B87" s="95">
        <v>38223</v>
      </c>
      <c r="C87" s="119">
        <v>0.8194444444444445</v>
      </c>
      <c r="D87" s="97">
        <v>2140</v>
      </c>
      <c r="E87" s="99">
        <v>60.598059</v>
      </c>
      <c r="F87" s="99">
        <v>8.57</v>
      </c>
      <c r="G87" s="99">
        <v>0.68</v>
      </c>
      <c r="H87" s="98">
        <v>0.02</v>
      </c>
      <c r="I87" s="99">
        <v>23.8</v>
      </c>
      <c r="J87" s="100">
        <v>61.01300000000001</v>
      </c>
      <c r="K87" s="100">
        <f t="shared" si="1"/>
        <v>519.32536563</v>
      </c>
    </row>
    <row r="88" spans="1:11" ht="12.75">
      <c r="A88" s="113" t="s">
        <v>1635</v>
      </c>
      <c r="B88" s="95">
        <v>38229</v>
      </c>
      <c r="C88" s="119">
        <v>0.3819444444444444</v>
      </c>
      <c r="D88" s="97">
        <v>2100</v>
      </c>
      <c r="E88" s="99">
        <v>59.465385000000005</v>
      </c>
      <c r="F88" s="99">
        <v>8.36</v>
      </c>
      <c r="G88" s="99">
        <v>0.7</v>
      </c>
      <c r="H88" s="98">
        <v>0.01</v>
      </c>
      <c r="I88" s="99">
        <v>20.8</v>
      </c>
      <c r="J88" s="100">
        <v>64.8263125</v>
      </c>
      <c r="K88" s="100">
        <f t="shared" si="1"/>
        <v>497.1306186</v>
      </c>
    </row>
    <row r="89" spans="1:11" ht="12.75">
      <c r="A89" s="113" t="s">
        <v>1636</v>
      </c>
      <c r="B89" s="95">
        <v>38237</v>
      </c>
      <c r="C89" s="119">
        <v>0.375</v>
      </c>
      <c r="D89" s="97">
        <v>1870</v>
      </c>
      <c r="E89" s="99">
        <v>52.952509500000005</v>
      </c>
      <c r="F89" s="99">
        <v>9.15</v>
      </c>
      <c r="G89" s="99">
        <v>0.75</v>
      </c>
      <c r="H89" s="98">
        <v>0.01</v>
      </c>
      <c r="I89" s="99">
        <v>22</v>
      </c>
      <c r="J89" s="100">
        <v>66.73296875</v>
      </c>
      <c r="K89" s="100">
        <f t="shared" si="1"/>
        <v>484.51546192500007</v>
      </c>
    </row>
    <row r="90" spans="1:11" ht="12.75">
      <c r="A90" s="113" t="s">
        <v>1637</v>
      </c>
      <c r="B90" s="95">
        <v>38243</v>
      </c>
      <c r="C90" s="119">
        <v>0.40277777777777773</v>
      </c>
      <c r="D90" s="97">
        <v>1780</v>
      </c>
      <c r="E90" s="99">
        <v>50.403993</v>
      </c>
      <c r="F90" s="99">
        <v>9.51</v>
      </c>
      <c r="G90" s="99">
        <v>0.77</v>
      </c>
      <c r="H90" s="98">
        <v>0.02</v>
      </c>
      <c r="I90" s="99">
        <v>23</v>
      </c>
      <c r="J90" s="100">
        <v>68.00407291666667</v>
      </c>
      <c r="K90" s="100">
        <f t="shared" si="1"/>
        <v>479.34197343</v>
      </c>
    </row>
    <row r="91" spans="1:11" ht="12.75">
      <c r="A91" s="113" t="s">
        <v>1638</v>
      </c>
      <c r="B91" s="95">
        <v>38250</v>
      </c>
      <c r="C91" s="119">
        <v>0.4305555555555556</v>
      </c>
      <c r="D91" s="97">
        <v>2130</v>
      </c>
      <c r="E91" s="99">
        <v>60.314890500000004</v>
      </c>
      <c r="F91" s="99">
        <v>8.46</v>
      </c>
      <c r="G91" s="99">
        <v>0.69</v>
      </c>
      <c r="H91" s="98">
        <v>0.01</v>
      </c>
      <c r="I91" s="99">
        <v>23.7</v>
      </c>
      <c r="J91" s="100">
        <v>64.50853645833334</v>
      </c>
      <c r="K91" s="100">
        <f t="shared" si="1"/>
        <v>510.26397363000007</v>
      </c>
    </row>
    <row r="92" spans="1:11" ht="12.75">
      <c r="A92" s="82" t="s">
        <v>973</v>
      </c>
      <c r="K92" s="100"/>
    </row>
    <row r="93" spans="1:11" s="24" customFormat="1" ht="14.25" customHeight="1">
      <c r="A93" s="120" t="s">
        <v>974</v>
      </c>
      <c r="B93" s="102">
        <v>38278</v>
      </c>
      <c r="C93" s="103">
        <v>0.4861111111111111</v>
      </c>
      <c r="D93" s="104">
        <v>1630</v>
      </c>
      <c r="E93" s="99">
        <f aca="true" t="shared" si="2" ref="E93:E156">D93*0.02831685</f>
        <v>46.1564655</v>
      </c>
      <c r="F93" s="105">
        <v>9.68</v>
      </c>
      <c r="G93" s="105">
        <v>0.76</v>
      </c>
      <c r="H93" s="91">
        <v>0.01</v>
      </c>
      <c r="I93" s="105">
        <v>24.6</v>
      </c>
      <c r="J93" s="90">
        <v>72.4529375</v>
      </c>
      <c r="K93" s="100">
        <f t="shared" si="1"/>
        <v>446.79458604</v>
      </c>
    </row>
    <row r="94" spans="1:11" s="24" customFormat="1" ht="14.25" customHeight="1">
      <c r="A94" s="120" t="s">
        <v>975</v>
      </c>
      <c r="B94" s="102">
        <v>38306</v>
      </c>
      <c r="C94" s="103">
        <v>0.34722222222222227</v>
      </c>
      <c r="D94" s="104">
        <v>1320</v>
      </c>
      <c r="E94" s="99">
        <f t="shared" si="2"/>
        <v>37.378242</v>
      </c>
      <c r="F94" s="105">
        <v>16.1</v>
      </c>
      <c r="G94" s="105">
        <v>1.08</v>
      </c>
      <c r="H94" s="91">
        <v>0.03</v>
      </c>
      <c r="I94" s="105">
        <v>41.6</v>
      </c>
      <c r="J94" s="90">
        <v>89.93061979166667</v>
      </c>
      <c r="K94" s="100">
        <f t="shared" si="1"/>
        <v>601.7896962000001</v>
      </c>
    </row>
    <row r="95" spans="1:11" s="24" customFormat="1" ht="14.25" customHeight="1">
      <c r="A95" s="120" t="s">
        <v>976</v>
      </c>
      <c r="B95" s="102">
        <v>38334</v>
      </c>
      <c r="C95" s="103" t="s">
        <v>1549</v>
      </c>
      <c r="D95" s="104">
        <v>1040</v>
      </c>
      <c r="E95" s="99">
        <f t="shared" si="2"/>
        <v>29.449524</v>
      </c>
      <c r="F95" s="105">
        <v>16.2</v>
      </c>
      <c r="G95" s="105">
        <v>1.08</v>
      </c>
      <c r="H95" s="91">
        <v>0.03</v>
      </c>
      <c r="I95" s="105">
        <v>41.7</v>
      </c>
      <c r="J95" s="90">
        <v>92.15505208333333</v>
      </c>
      <c r="K95" s="100">
        <f t="shared" si="1"/>
        <v>477.08228879999996</v>
      </c>
    </row>
    <row r="96" spans="1:11" ht="15" customHeight="1">
      <c r="A96" s="113" t="s">
        <v>977</v>
      </c>
      <c r="B96" s="95" t="str">
        <f>MID(A96,4,2)&amp;"/"&amp;MID(A96,6,2)&amp;"/"&amp;MID(A96,8,2)</f>
        <v>02/02/05</v>
      </c>
      <c r="C96" s="96">
        <v>0.46597222222222223</v>
      </c>
      <c r="D96" s="97">
        <v>787</v>
      </c>
      <c r="E96" s="99">
        <f t="shared" si="2"/>
        <v>22.28536095</v>
      </c>
      <c r="F96" s="105">
        <v>16</v>
      </c>
      <c r="G96" s="99">
        <v>1.05</v>
      </c>
      <c r="H96" s="98">
        <v>0.03</v>
      </c>
      <c r="I96" s="99">
        <v>41.2</v>
      </c>
      <c r="J96" s="100">
        <v>89.16795729166667</v>
      </c>
      <c r="K96" s="100">
        <f t="shared" si="1"/>
        <v>356.5657752</v>
      </c>
    </row>
    <row r="97" spans="1:11" ht="15" customHeight="1">
      <c r="A97" s="113" t="s">
        <v>978</v>
      </c>
      <c r="B97" s="95" t="str">
        <f aca="true" t="shared" si="3" ref="B97:B132">MID(A97,4,2)&amp;"/"&amp;MID(A97,6,2)&amp;"/"&amp;MID(A97,8,2)</f>
        <v>02/16/05</v>
      </c>
      <c r="C97" s="96">
        <v>0.4847222222222222</v>
      </c>
      <c r="D97" s="97">
        <v>681</v>
      </c>
      <c r="E97" s="99">
        <f t="shared" si="2"/>
        <v>19.28377485</v>
      </c>
      <c r="F97" s="105">
        <v>16.6</v>
      </c>
      <c r="G97" s="99">
        <v>1.08</v>
      </c>
      <c r="H97" s="98">
        <v>0.04</v>
      </c>
      <c r="I97" s="99">
        <v>42.8</v>
      </c>
      <c r="J97" s="100">
        <v>89.07262447916668</v>
      </c>
      <c r="K97" s="100">
        <f t="shared" si="1"/>
        <v>320.11066251000005</v>
      </c>
    </row>
    <row r="98" spans="1:11" ht="15" customHeight="1">
      <c r="A98" s="113" t="s">
        <v>979</v>
      </c>
      <c r="B98" s="95" t="str">
        <f t="shared" si="3"/>
        <v>03/08/05</v>
      </c>
      <c r="C98" s="96">
        <v>0.3680555555555556</v>
      </c>
      <c r="D98" s="97">
        <v>925</v>
      </c>
      <c r="E98" s="99">
        <f t="shared" si="2"/>
        <v>26.19308625</v>
      </c>
      <c r="F98" s="105">
        <v>14.9</v>
      </c>
      <c r="G98" s="99">
        <v>1</v>
      </c>
      <c r="H98" s="98">
        <v>0.03</v>
      </c>
      <c r="I98" s="99">
        <v>38.6</v>
      </c>
      <c r="J98" s="100">
        <v>85.73597604166667</v>
      </c>
      <c r="K98" s="100">
        <f t="shared" si="1"/>
        <v>390.276985125</v>
      </c>
    </row>
    <row r="99" spans="1:11" ht="15" customHeight="1">
      <c r="A99" s="113" t="s">
        <v>980</v>
      </c>
      <c r="B99" s="95" t="str">
        <f t="shared" si="3"/>
        <v>03/21/05</v>
      </c>
      <c r="C99" s="96">
        <v>0.5972222222222222</v>
      </c>
      <c r="D99" s="97">
        <v>939</v>
      </c>
      <c r="E99" s="99">
        <f t="shared" si="2"/>
        <v>26.58952215</v>
      </c>
      <c r="F99" s="105">
        <v>14.5</v>
      </c>
      <c r="G99" s="99">
        <v>1</v>
      </c>
      <c r="H99" s="98">
        <v>0.03</v>
      </c>
      <c r="I99" s="99">
        <v>38</v>
      </c>
      <c r="J99" s="100">
        <v>81.66844270833333</v>
      </c>
      <c r="K99" s="100">
        <f t="shared" si="1"/>
        <v>385.548071175</v>
      </c>
    </row>
    <row r="100" spans="1:11" ht="15" customHeight="1">
      <c r="A100" s="113" t="s">
        <v>981</v>
      </c>
      <c r="B100" s="95" t="str">
        <f t="shared" si="3"/>
        <v>04/11/05</v>
      </c>
      <c r="C100" s="96">
        <v>0.5868055555555556</v>
      </c>
      <c r="D100" s="97">
        <v>1070</v>
      </c>
      <c r="E100" s="99">
        <f t="shared" si="2"/>
        <v>30.2990295</v>
      </c>
      <c r="F100" s="105">
        <v>12.5</v>
      </c>
      <c r="G100" s="99">
        <v>0.87</v>
      </c>
      <c r="H100" s="98">
        <v>0.02</v>
      </c>
      <c r="I100" s="99">
        <v>33.4</v>
      </c>
      <c r="J100" s="100">
        <v>82.6535484375</v>
      </c>
      <c r="K100" s="100">
        <f t="shared" si="1"/>
        <v>378.73786875</v>
      </c>
    </row>
    <row r="101" spans="1:11" ht="15" customHeight="1">
      <c r="A101" s="113" t="s">
        <v>982</v>
      </c>
      <c r="B101" s="95" t="str">
        <f t="shared" si="3"/>
        <v>04/19/05</v>
      </c>
      <c r="C101" s="96">
        <v>0.7118055555555555</v>
      </c>
      <c r="D101" s="97">
        <v>1660</v>
      </c>
      <c r="E101" s="99">
        <f t="shared" si="2"/>
        <v>47.005971</v>
      </c>
      <c r="F101" s="105">
        <v>8.36</v>
      </c>
      <c r="G101" s="99">
        <v>0.63</v>
      </c>
      <c r="H101" s="98">
        <v>0.02</v>
      </c>
      <c r="I101" s="99">
        <v>24.3</v>
      </c>
      <c r="J101" s="100">
        <v>72.23049427083333</v>
      </c>
      <c r="K101" s="100">
        <f t="shared" si="1"/>
        <v>392.96991756</v>
      </c>
    </row>
    <row r="102" spans="1:11" ht="15" customHeight="1">
      <c r="A102" s="113" t="s">
        <v>983</v>
      </c>
      <c r="B102" s="95" t="str">
        <f t="shared" si="3"/>
        <v>04/25/05</v>
      </c>
      <c r="C102" s="96" t="s">
        <v>1549</v>
      </c>
      <c r="D102" s="97">
        <v>3150</v>
      </c>
      <c r="E102" s="99">
        <f t="shared" si="2"/>
        <v>89.1980775</v>
      </c>
      <c r="F102" s="105">
        <v>5.34</v>
      </c>
      <c r="G102" s="99">
        <v>0.46</v>
      </c>
      <c r="H102" s="98" t="s">
        <v>964</v>
      </c>
      <c r="I102" s="99">
        <v>17.3</v>
      </c>
      <c r="J102" s="100">
        <v>57.930572395833345</v>
      </c>
      <c r="K102" s="100">
        <f t="shared" si="1"/>
        <v>476.31773384999997</v>
      </c>
    </row>
    <row r="103" spans="1:11" ht="15" customHeight="1">
      <c r="A103" s="113" t="s">
        <v>984</v>
      </c>
      <c r="B103" s="95" t="str">
        <f t="shared" si="3"/>
        <v>05/09/05</v>
      </c>
      <c r="C103" s="96" t="s">
        <v>1549</v>
      </c>
      <c r="D103" s="97">
        <v>4980</v>
      </c>
      <c r="E103" s="99">
        <f t="shared" si="2"/>
        <v>141.017913</v>
      </c>
      <c r="F103" s="105">
        <v>3.46</v>
      </c>
      <c r="G103" s="99">
        <v>0.33</v>
      </c>
      <c r="H103" s="98" t="s">
        <v>964</v>
      </c>
      <c r="I103" s="99">
        <v>10.9</v>
      </c>
      <c r="J103" s="100">
        <v>51.797494791666665</v>
      </c>
      <c r="K103" s="100">
        <f t="shared" si="1"/>
        <v>487.92197897999995</v>
      </c>
    </row>
    <row r="104" spans="1:11" ht="15" customHeight="1">
      <c r="A104" s="113" t="s">
        <v>985</v>
      </c>
      <c r="B104" s="95" t="str">
        <f t="shared" si="3"/>
        <v>05/17/05</v>
      </c>
      <c r="C104" s="96">
        <v>0.5194444444444445</v>
      </c>
      <c r="D104" s="97">
        <v>9410</v>
      </c>
      <c r="E104" s="99">
        <f t="shared" si="2"/>
        <v>266.4615585</v>
      </c>
      <c r="F104" s="105">
        <v>2.19</v>
      </c>
      <c r="G104" s="99">
        <v>0.23</v>
      </c>
      <c r="H104" s="98" t="s">
        <v>964</v>
      </c>
      <c r="I104" s="99">
        <v>6.99</v>
      </c>
      <c r="J104" s="100">
        <v>42.74087760416667</v>
      </c>
      <c r="K104" s="100">
        <f t="shared" si="1"/>
        <v>583.550813115</v>
      </c>
    </row>
    <row r="105" spans="1:11" ht="15" customHeight="1">
      <c r="A105" s="113" t="s">
        <v>986</v>
      </c>
      <c r="B105" s="95" t="str">
        <f t="shared" si="3"/>
        <v>05/23/05</v>
      </c>
      <c r="C105" s="96">
        <v>0.7006944444444444</v>
      </c>
      <c r="D105" s="97">
        <v>12700</v>
      </c>
      <c r="E105" s="99">
        <f t="shared" si="2"/>
        <v>359.62399500000004</v>
      </c>
      <c r="F105" s="105">
        <v>1.8</v>
      </c>
      <c r="G105" s="99">
        <v>0.2</v>
      </c>
      <c r="H105" s="98" t="s">
        <v>964</v>
      </c>
      <c r="I105" s="99">
        <v>5.15</v>
      </c>
      <c r="J105" s="100">
        <v>39.02289791666667</v>
      </c>
      <c r="K105" s="100">
        <f t="shared" si="1"/>
        <v>647.3231910000001</v>
      </c>
    </row>
    <row r="106" spans="1:11" ht="15" customHeight="1">
      <c r="A106" s="113" t="s">
        <v>987</v>
      </c>
      <c r="B106" s="95" t="str">
        <f t="shared" si="3"/>
        <v>05/31/05</v>
      </c>
      <c r="C106" s="96">
        <v>0.6090277777777778</v>
      </c>
      <c r="D106" s="97">
        <v>7920</v>
      </c>
      <c r="E106" s="99">
        <f t="shared" si="2"/>
        <v>224.269452</v>
      </c>
      <c r="F106" s="105">
        <v>3.2</v>
      </c>
      <c r="G106" s="99">
        <v>0.31</v>
      </c>
      <c r="H106" s="98" t="s">
        <v>964</v>
      </c>
      <c r="I106" s="99">
        <v>8.48</v>
      </c>
      <c r="J106" s="100">
        <v>44.01198177083333</v>
      </c>
      <c r="K106" s="100">
        <f t="shared" si="1"/>
        <v>717.6622464000001</v>
      </c>
    </row>
    <row r="107" spans="1:11" ht="15" customHeight="1">
      <c r="A107" s="113" t="s">
        <v>988</v>
      </c>
      <c r="B107" s="95" t="str">
        <f t="shared" si="3"/>
        <v>06/06/05</v>
      </c>
      <c r="C107" s="96">
        <v>0.5430555555555555</v>
      </c>
      <c r="D107" s="97">
        <v>10000</v>
      </c>
      <c r="E107" s="99">
        <f t="shared" si="2"/>
        <v>283.1685</v>
      </c>
      <c r="F107" s="105">
        <v>3</v>
      </c>
      <c r="G107" s="99">
        <v>0.32</v>
      </c>
      <c r="H107" s="98" t="s">
        <v>964</v>
      </c>
      <c r="I107" s="99">
        <v>8.19</v>
      </c>
      <c r="J107" s="100">
        <v>43.630650520833335</v>
      </c>
      <c r="K107" s="100">
        <f t="shared" si="1"/>
        <v>849.5055</v>
      </c>
    </row>
    <row r="108" spans="1:11" ht="15" customHeight="1">
      <c r="A108" s="113" t="s">
        <v>1232</v>
      </c>
      <c r="B108" s="95" t="str">
        <f t="shared" si="3"/>
        <v>06/12/05</v>
      </c>
      <c r="C108" s="96">
        <v>0.40625</v>
      </c>
      <c r="D108" s="97">
        <v>7740</v>
      </c>
      <c r="E108" s="99">
        <f t="shared" si="2"/>
        <v>219.17241900000002</v>
      </c>
      <c r="F108" s="105">
        <v>3.76</v>
      </c>
      <c r="G108" s="99">
        <v>0.38</v>
      </c>
      <c r="H108" s="98" t="s">
        <v>964</v>
      </c>
      <c r="I108" s="99">
        <v>9.64</v>
      </c>
      <c r="J108" s="100">
        <v>51.479718749999996</v>
      </c>
      <c r="K108" s="100">
        <f t="shared" si="1"/>
        <v>824.08829544</v>
      </c>
    </row>
    <row r="109" spans="1:11" ht="15" customHeight="1">
      <c r="A109" s="113" t="s">
        <v>1233</v>
      </c>
      <c r="B109" s="95" t="str">
        <f t="shared" si="3"/>
        <v>06/20/05</v>
      </c>
      <c r="C109" s="96">
        <v>0.4270833333333333</v>
      </c>
      <c r="D109" s="97">
        <v>9870</v>
      </c>
      <c r="E109" s="99">
        <f t="shared" si="2"/>
        <v>279.48730950000004</v>
      </c>
      <c r="F109" s="105">
        <v>2.72</v>
      </c>
      <c r="G109" s="99">
        <v>0.28</v>
      </c>
      <c r="H109" s="98" t="s">
        <v>964</v>
      </c>
      <c r="I109" s="99">
        <v>6.92</v>
      </c>
      <c r="J109" s="100">
        <v>40.516445312500004</v>
      </c>
      <c r="K109" s="100">
        <f t="shared" si="1"/>
        <v>760.2054818400002</v>
      </c>
    </row>
    <row r="110" spans="1:11" ht="15" customHeight="1">
      <c r="A110" s="113" t="s">
        <v>1234</v>
      </c>
      <c r="B110" s="95" t="str">
        <f t="shared" si="3"/>
        <v>06/29/05</v>
      </c>
      <c r="C110" s="96">
        <v>0.4902777777777778</v>
      </c>
      <c r="D110" s="97">
        <v>7770</v>
      </c>
      <c r="E110" s="99">
        <f t="shared" si="2"/>
        <v>220.0219245</v>
      </c>
      <c r="F110" s="105">
        <v>3.83</v>
      </c>
      <c r="G110" s="99">
        <v>0.38</v>
      </c>
      <c r="H110" s="98" t="s">
        <v>964</v>
      </c>
      <c r="I110" s="99">
        <v>9.59</v>
      </c>
      <c r="J110" s="100">
        <v>47.698183854166665</v>
      </c>
      <c r="K110" s="100">
        <f t="shared" si="1"/>
        <v>842.6839708350001</v>
      </c>
    </row>
    <row r="111" spans="1:11" ht="15" customHeight="1">
      <c r="A111" s="113" t="s">
        <v>1235</v>
      </c>
      <c r="B111" s="95" t="str">
        <f t="shared" si="3"/>
        <v>07/05/05</v>
      </c>
      <c r="C111" s="96">
        <v>0.4354166666666666</v>
      </c>
      <c r="D111" s="97">
        <v>6110</v>
      </c>
      <c r="E111" s="99">
        <f t="shared" si="2"/>
        <v>173.0159535</v>
      </c>
      <c r="F111" s="105">
        <v>4.59</v>
      </c>
      <c r="G111" s="99">
        <v>0.45</v>
      </c>
      <c r="H111" s="98" t="s">
        <v>964</v>
      </c>
      <c r="I111" s="99">
        <v>10.9</v>
      </c>
      <c r="J111" s="100">
        <v>50.36750260416666</v>
      </c>
      <c r="K111" s="100">
        <f t="shared" si="1"/>
        <v>794.143226565</v>
      </c>
    </row>
    <row r="112" spans="1:11" ht="15" customHeight="1">
      <c r="A112" s="113" t="s">
        <v>1236</v>
      </c>
      <c r="B112" s="95" t="str">
        <f t="shared" si="3"/>
        <v>07/11/05</v>
      </c>
      <c r="C112" s="96">
        <v>0.5354166666666667</v>
      </c>
      <c r="D112" s="97">
        <v>6060</v>
      </c>
      <c r="E112" s="99">
        <f t="shared" si="2"/>
        <v>171.600111</v>
      </c>
      <c r="F112" s="105">
        <v>4.66</v>
      </c>
      <c r="G112" s="99">
        <v>0.43</v>
      </c>
      <c r="H112" s="98">
        <v>0.01</v>
      </c>
      <c r="I112" s="99">
        <v>12.7</v>
      </c>
      <c r="J112" s="100">
        <v>53.22748697916667</v>
      </c>
      <c r="K112" s="100">
        <f t="shared" si="1"/>
        <v>799.65651726</v>
      </c>
    </row>
    <row r="113" spans="1:11" ht="15" customHeight="1">
      <c r="A113" s="113" t="s">
        <v>1237</v>
      </c>
      <c r="B113" s="95" t="str">
        <f t="shared" si="3"/>
        <v>07/20/05</v>
      </c>
      <c r="C113" s="96">
        <v>0.48055555555555557</v>
      </c>
      <c r="D113" s="97">
        <v>3800</v>
      </c>
      <c r="E113" s="99">
        <f t="shared" si="2"/>
        <v>107.60403000000001</v>
      </c>
      <c r="F113" s="105">
        <v>6.23</v>
      </c>
      <c r="G113" s="99">
        <v>0.58</v>
      </c>
      <c r="H113" s="98">
        <v>0.01</v>
      </c>
      <c r="I113" s="99">
        <v>14.3</v>
      </c>
      <c r="J113" s="100">
        <v>57.676351562499995</v>
      </c>
      <c r="K113" s="100">
        <f t="shared" si="1"/>
        <v>670.3731069000002</v>
      </c>
    </row>
    <row r="114" spans="1:11" ht="15" customHeight="1">
      <c r="A114" s="113" t="s">
        <v>1238</v>
      </c>
      <c r="B114" s="95" t="str">
        <f t="shared" si="3"/>
        <v>07/25/05</v>
      </c>
      <c r="C114" s="96">
        <v>0.33819444444444446</v>
      </c>
      <c r="D114" s="97">
        <v>3370</v>
      </c>
      <c r="E114" s="99">
        <f t="shared" si="2"/>
        <v>95.4277845</v>
      </c>
      <c r="F114" s="105">
        <v>6.75</v>
      </c>
      <c r="G114" s="99">
        <v>0.62</v>
      </c>
      <c r="H114" s="98">
        <v>0.01</v>
      </c>
      <c r="I114" s="99">
        <v>15.8</v>
      </c>
      <c r="J114" s="100">
        <v>58.62967968750001</v>
      </c>
      <c r="K114" s="100">
        <f t="shared" si="1"/>
        <v>644.1375453750001</v>
      </c>
    </row>
    <row r="115" spans="1:11" ht="15" customHeight="1">
      <c r="A115" s="113" t="s">
        <v>1239</v>
      </c>
      <c r="B115" s="95" t="str">
        <f t="shared" si="3"/>
        <v>08/01/05</v>
      </c>
      <c r="C115" s="96">
        <v>0.3736111111111111</v>
      </c>
      <c r="D115" s="97">
        <v>2970</v>
      </c>
      <c r="E115" s="99">
        <f t="shared" si="2"/>
        <v>84.1010445</v>
      </c>
      <c r="F115" s="105">
        <v>7.27</v>
      </c>
      <c r="G115" s="99">
        <v>0.64</v>
      </c>
      <c r="H115" s="98">
        <v>0.01</v>
      </c>
      <c r="I115" s="99">
        <v>17.3</v>
      </c>
      <c r="J115" s="100">
        <v>59.74189583333334</v>
      </c>
      <c r="K115" s="100">
        <f t="shared" si="1"/>
        <v>611.414593515</v>
      </c>
    </row>
    <row r="116" spans="1:11" ht="15" customHeight="1">
      <c r="A116" s="113" t="s">
        <v>1240</v>
      </c>
      <c r="B116" s="95" t="str">
        <f t="shared" si="3"/>
        <v>08/15/05</v>
      </c>
      <c r="C116" s="96">
        <v>0.34722222222222227</v>
      </c>
      <c r="D116" s="97">
        <v>2330</v>
      </c>
      <c r="E116" s="99">
        <f t="shared" si="2"/>
        <v>65.9782605</v>
      </c>
      <c r="F116" s="105">
        <v>8.07</v>
      </c>
      <c r="G116" s="99">
        <v>0.69</v>
      </c>
      <c r="H116" s="98">
        <v>0.01</v>
      </c>
      <c r="I116" s="99">
        <v>19.7</v>
      </c>
      <c r="J116" s="100">
        <v>66.03386145833335</v>
      </c>
      <c r="K116" s="100">
        <f t="shared" si="1"/>
        <v>532.444562235</v>
      </c>
    </row>
    <row r="117" spans="1:11" ht="15" customHeight="1">
      <c r="A117" s="113" t="s">
        <v>1241</v>
      </c>
      <c r="B117" s="95" t="str">
        <f t="shared" si="3"/>
        <v>08/30/05</v>
      </c>
      <c r="C117" s="96">
        <v>0.6701388888888888</v>
      </c>
      <c r="D117" s="97">
        <v>1840</v>
      </c>
      <c r="E117" s="99">
        <f t="shared" si="2"/>
        <v>52.103004</v>
      </c>
      <c r="F117" s="105">
        <v>9.25</v>
      </c>
      <c r="G117" s="99">
        <v>0.76</v>
      </c>
      <c r="H117" s="98">
        <v>0.02</v>
      </c>
      <c r="I117" s="99">
        <v>23.1</v>
      </c>
      <c r="J117" s="100">
        <v>71.02294531250001</v>
      </c>
      <c r="K117" s="100">
        <f t="shared" si="1"/>
        <v>481.952787</v>
      </c>
    </row>
    <row r="118" spans="1:11" ht="15" customHeight="1">
      <c r="A118" s="113" t="s">
        <v>1242</v>
      </c>
      <c r="B118" s="95" t="str">
        <f t="shared" si="3"/>
        <v>09/12/05</v>
      </c>
      <c r="C118" s="96" t="s">
        <v>1549</v>
      </c>
      <c r="D118" s="97">
        <v>1560</v>
      </c>
      <c r="E118" s="99">
        <f t="shared" si="2"/>
        <v>44.174286</v>
      </c>
      <c r="F118" s="105">
        <v>10.2</v>
      </c>
      <c r="G118" s="99">
        <v>0.78</v>
      </c>
      <c r="H118" s="98">
        <v>0.02</v>
      </c>
      <c r="I118" s="99">
        <v>25.7</v>
      </c>
      <c r="J118" s="100">
        <v>78.01401822916668</v>
      </c>
      <c r="K118" s="100">
        <f t="shared" si="1"/>
        <v>450.5777172</v>
      </c>
    </row>
    <row r="119" spans="1:11" ht="15" customHeight="1">
      <c r="A119" s="113" t="s">
        <v>1243</v>
      </c>
      <c r="B119" s="95" t="str">
        <f t="shared" si="3"/>
        <v>09/27/05</v>
      </c>
      <c r="C119" s="96" t="s">
        <v>1549</v>
      </c>
      <c r="D119" s="97">
        <v>1460</v>
      </c>
      <c r="E119" s="99">
        <f t="shared" si="2"/>
        <v>41.342601</v>
      </c>
      <c r="F119" s="105">
        <v>10.5</v>
      </c>
      <c r="G119" s="99">
        <v>0.79</v>
      </c>
      <c r="H119" s="98">
        <v>0.02</v>
      </c>
      <c r="I119" s="99">
        <v>25.6</v>
      </c>
      <c r="J119" s="100">
        <v>73.3109328125</v>
      </c>
      <c r="K119" s="100">
        <f t="shared" si="1"/>
        <v>434.09731050000005</v>
      </c>
    </row>
    <row r="120" spans="1:11" ht="15" customHeight="1">
      <c r="A120" s="82" t="s">
        <v>1267</v>
      </c>
      <c r="B120" s="95"/>
      <c r="C120" s="121" t="s">
        <v>768</v>
      </c>
      <c r="D120" s="97"/>
      <c r="E120" s="99"/>
      <c r="F120" s="105"/>
      <c r="G120" s="99"/>
      <c r="H120" s="98"/>
      <c r="I120" s="99"/>
      <c r="J120" s="100"/>
      <c r="K120" s="100"/>
    </row>
    <row r="121" spans="1:11" ht="15" customHeight="1">
      <c r="A121" s="113" t="s">
        <v>1244</v>
      </c>
      <c r="B121" s="95" t="str">
        <f t="shared" si="3"/>
        <v>10/24/05</v>
      </c>
      <c r="C121" s="96">
        <v>0.6555555555555556</v>
      </c>
      <c r="D121" s="97">
        <v>1160</v>
      </c>
      <c r="E121" s="99">
        <f t="shared" si="2"/>
        <v>32.847546</v>
      </c>
      <c r="F121" s="105">
        <v>11.7</v>
      </c>
      <c r="G121" s="99">
        <v>0.85</v>
      </c>
      <c r="H121" s="98">
        <v>0.02</v>
      </c>
      <c r="I121" s="99">
        <v>29.7</v>
      </c>
      <c r="J121" s="100">
        <v>78.17290625</v>
      </c>
      <c r="K121" s="100">
        <f aca="true" t="shared" si="4" ref="K121:K133">E121*F121</f>
        <v>384.3162882</v>
      </c>
    </row>
    <row r="122" spans="1:11" ht="15" customHeight="1">
      <c r="A122" s="113" t="s">
        <v>1245</v>
      </c>
      <c r="B122" s="95" t="str">
        <f t="shared" si="3"/>
        <v>11/17/05</v>
      </c>
      <c r="C122" s="96">
        <v>0.6381944444444444</v>
      </c>
      <c r="D122" s="97">
        <v>1190</v>
      </c>
      <c r="E122" s="99">
        <f t="shared" si="2"/>
        <v>33.6970515</v>
      </c>
      <c r="F122" s="105">
        <v>11.7</v>
      </c>
      <c r="G122" s="99">
        <v>0.85</v>
      </c>
      <c r="H122" s="98">
        <v>0.02</v>
      </c>
      <c r="I122" s="99">
        <v>32.2</v>
      </c>
      <c r="J122" s="100">
        <v>79.44401041666667</v>
      </c>
      <c r="K122" s="100">
        <f t="shared" si="4"/>
        <v>394.25550254999996</v>
      </c>
    </row>
    <row r="123" spans="1:11" ht="15" customHeight="1">
      <c r="A123" s="113" t="s">
        <v>1246</v>
      </c>
      <c r="B123" s="95" t="str">
        <f t="shared" si="3"/>
        <v>03/07/06</v>
      </c>
      <c r="C123" s="119">
        <v>0.5506944444444445</v>
      </c>
      <c r="D123" s="97">
        <v>961</v>
      </c>
      <c r="E123" s="99">
        <f t="shared" si="2"/>
        <v>27.21249285</v>
      </c>
      <c r="F123" s="105">
        <v>14.4</v>
      </c>
      <c r="G123" s="99">
        <v>1</v>
      </c>
      <c r="H123" s="98">
        <v>0.03</v>
      </c>
      <c r="I123" s="99">
        <v>39.2</v>
      </c>
      <c r="J123" s="100">
        <v>84.84620312500002</v>
      </c>
      <c r="K123" s="100">
        <f t="shared" si="4"/>
        <v>391.85989704</v>
      </c>
    </row>
    <row r="124" spans="1:11" ht="15" customHeight="1">
      <c r="A124" s="113" t="s">
        <v>1247</v>
      </c>
      <c r="B124" s="95" t="str">
        <f t="shared" si="3"/>
        <v>03/21/06</v>
      </c>
      <c r="C124" s="119">
        <v>0.4375</v>
      </c>
      <c r="D124" s="97">
        <v>925</v>
      </c>
      <c r="E124" s="99">
        <f t="shared" si="2"/>
        <v>26.19308625</v>
      </c>
      <c r="F124" s="105">
        <v>15.2</v>
      </c>
      <c r="G124" s="99">
        <v>1.04</v>
      </c>
      <c r="H124" s="98">
        <v>0.03</v>
      </c>
      <c r="I124" s="99">
        <v>43.3</v>
      </c>
      <c r="J124" s="100">
        <v>80.39733854166667</v>
      </c>
      <c r="K124" s="100">
        <f t="shared" si="4"/>
        <v>398.134911</v>
      </c>
    </row>
    <row r="125" spans="1:11" ht="15" customHeight="1">
      <c r="A125" s="113" t="s">
        <v>1248</v>
      </c>
      <c r="B125" s="95" t="str">
        <f t="shared" si="3"/>
        <v>04/12/06</v>
      </c>
      <c r="C125" s="119">
        <v>0.5527777777777778</v>
      </c>
      <c r="D125" s="97">
        <v>1380</v>
      </c>
      <c r="E125" s="99">
        <f t="shared" si="2"/>
        <v>39.077253</v>
      </c>
      <c r="F125" s="105">
        <v>10.7</v>
      </c>
      <c r="G125" s="99">
        <v>0.78</v>
      </c>
      <c r="H125" s="98">
        <v>0.01</v>
      </c>
      <c r="I125" s="99">
        <v>31.1</v>
      </c>
      <c r="J125" s="100">
        <v>83.25732291666667</v>
      </c>
      <c r="K125" s="100">
        <f t="shared" si="4"/>
        <v>418.12660709999994</v>
      </c>
    </row>
    <row r="126" spans="1:11" ht="15" customHeight="1">
      <c r="A126" s="113" t="s">
        <v>1249</v>
      </c>
      <c r="B126" s="95" t="str">
        <f t="shared" si="3"/>
        <v>04/26/06</v>
      </c>
      <c r="C126" s="119">
        <v>0.43402777777777773</v>
      </c>
      <c r="D126" s="97">
        <v>2410</v>
      </c>
      <c r="E126" s="99">
        <f t="shared" si="2"/>
        <v>68.24360850000001</v>
      </c>
      <c r="F126" s="105">
        <v>6.34</v>
      </c>
      <c r="G126" s="99">
        <v>0.51</v>
      </c>
      <c r="H126" s="98" t="s">
        <v>964</v>
      </c>
      <c r="I126" s="99">
        <v>20.2</v>
      </c>
      <c r="J126" s="100">
        <v>74.04181770833334</v>
      </c>
      <c r="K126" s="100">
        <f t="shared" si="4"/>
        <v>432.66447789000006</v>
      </c>
    </row>
    <row r="127" spans="1:11" ht="15" customHeight="1">
      <c r="A127" s="113" t="s">
        <v>1250</v>
      </c>
      <c r="B127" s="95" t="str">
        <f t="shared" si="3"/>
        <v>05/09/06</v>
      </c>
      <c r="C127" s="119">
        <v>0.3340277777777778</v>
      </c>
      <c r="D127" s="97">
        <v>6080</v>
      </c>
      <c r="E127" s="99">
        <f t="shared" si="2"/>
        <v>172.166448</v>
      </c>
      <c r="F127" s="105">
        <v>3.11</v>
      </c>
      <c r="G127" s="99">
        <v>0.31</v>
      </c>
      <c r="H127" s="98" t="s">
        <v>964</v>
      </c>
      <c r="I127" s="99">
        <v>10.3</v>
      </c>
      <c r="J127" s="100">
        <v>52.433046875</v>
      </c>
      <c r="K127" s="100">
        <f t="shared" si="4"/>
        <v>535.43765328</v>
      </c>
    </row>
    <row r="128" spans="1:11" ht="15" customHeight="1">
      <c r="A128" s="113" t="s">
        <v>1251</v>
      </c>
      <c r="B128" s="95" t="str">
        <f t="shared" si="3"/>
        <v>05/18/06</v>
      </c>
      <c r="C128" s="119">
        <v>0.7604166666666666</v>
      </c>
      <c r="D128" s="97">
        <v>13800</v>
      </c>
      <c r="E128" s="99">
        <f t="shared" si="2"/>
        <v>390.77253</v>
      </c>
      <c r="F128" s="105">
        <v>1.47</v>
      </c>
      <c r="G128" s="99">
        <v>0.18</v>
      </c>
      <c r="H128" s="98" t="s">
        <v>964</v>
      </c>
      <c r="I128" s="99">
        <v>4.92</v>
      </c>
      <c r="J128" s="100">
        <v>36.86202083333334</v>
      </c>
      <c r="K128" s="100">
        <f t="shared" si="4"/>
        <v>574.4356191</v>
      </c>
    </row>
    <row r="129" spans="1:11" ht="15" customHeight="1">
      <c r="A129" s="113" t="s">
        <v>1252</v>
      </c>
      <c r="B129" s="95" t="str">
        <f t="shared" si="3"/>
        <v>05/23/06</v>
      </c>
      <c r="C129" s="119">
        <v>0.7701388888888889</v>
      </c>
      <c r="D129" s="97">
        <v>15400</v>
      </c>
      <c r="E129" s="99">
        <f t="shared" si="2"/>
        <v>436.07949</v>
      </c>
      <c r="F129" s="105">
        <v>1.94</v>
      </c>
      <c r="G129" s="99">
        <v>0.2</v>
      </c>
      <c r="H129" s="98" t="s">
        <v>964</v>
      </c>
      <c r="I129" s="99">
        <v>5.6</v>
      </c>
      <c r="J129" s="100">
        <v>37.81534895833334</v>
      </c>
      <c r="K129" s="100">
        <f t="shared" si="4"/>
        <v>845.9942106</v>
      </c>
    </row>
    <row r="130" spans="1:11" ht="15" customHeight="1">
      <c r="A130" s="113" t="s">
        <v>1253</v>
      </c>
      <c r="B130" s="95" t="str">
        <f t="shared" si="3"/>
        <v>05/31/06</v>
      </c>
      <c r="C130" s="119">
        <v>0.7673611111111112</v>
      </c>
      <c r="D130" s="97">
        <v>9080</v>
      </c>
      <c r="E130" s="99">
        <f t="shared" si="2"/>
        <v>257.116998</v>
      </c>
      <c r="F130" s="105">
        <v>3.63</v>
      </c>
      <c r="G130" s="99">
        <v>0.36</v>
      </c>
      <c r="H130" s="98" t="s">
        <v>964</v>
      </c>
      <c r="I130" s="99">
        <v>9.54</v>
      </c>
      <c r="J130" s="100">
        <v>47.66640625</v>
      </c>
      <c r="K130" s="100">
        <f t="shared" si="4"/>
        <v>933.33470274</v>
      </c>
    </row>
    <row r="131" spans="1:11" ht="15" customHeight="1">
      <c r="A131" s="113" t="s">
        <v>1254</v>
      </c>
      <c r="B131" s="95" t="str">
        <f t="shared" si="3"/>
        <v>06/07/06</v>
      </c>
      <c r="C131" s="119">
        <v>0.7291666666666666</v>
      </c>
      <c r="D131" s="97">
        <v>13000</v>
      </c>
      <c r="E131" s="99">
        <f t="shared" si="2"/>
        <v>368.11905</v>
      </c>
      <c r="F131" s="105">
        <v>2.42</v>
      </c>
      <c r="G131" s="99">
        <v>0.24</v>
      </c>
      <c r="H131" s="98" t="s">
        <v>964</v>
      </c>
      <c r="I131" s="99">
        <v>6.47</v>
      </c>
      <c r="J131" s="100">
        <v>41.62866145833333</v>
      </c>
      <c r="K131" s="100">
        <f t="shared" si="4"/>
        <v>890.848101</v>
      </c>
    </row>
    <row r="132" spans="1:11" ht="15" customHeight="1">
      <c r="A132" s="113" t="s">
        <v>1255</v>
      </c>
      <c r="B132" s="95" t="str">
        <f t="shared" si="3"/>
        <v>06/13/06</v>
      </c>
      <c r="C132" s="119">
        <v>0.6715277777777778</v>
      </c>
      <c r="D132" s="97">
        <v>12000</v>
      </c>
      <c r="E132" s="99">
        <f t="shared" si="2"/>
        <v>339.8022</v>
      </c>
      <c r="F132" s="105">
        <v>3.18</v>
      </c>
      <c r="G132" s="99">
        <v>0.31</v>
      </c>
      <c r="H132" s="98" t="s">
        <v>964</v>
      </c>
      <c r="I132" s="99">
        <v>7.34</v>
      </c>
      <c r="J132" s="100">
        <v>42.26421354166667</v>
      </c>
      <c r="K132" s="100">
        <f t="shared" si="4"/>
        <v>1080.5709960000002</v>
      </c>
    </row>
    <row r="133" spans="1:12" ht="12.75">
      <c r="A133" s="113" t="s">
        <v>1256</v>
      </c>
      <c r="B133" s="95" t="str">
        <f>MID(A133,5,2)&amp;"/"&amp;MID(A133,7,2)&amp;"/"&amp;MID(A133,9,2)</f>
        <v>06/21/06</v>
      </c>
      <c r="C133" s="119">
        <v>0.7430555555555555</v>
      </c>
      <c r="D133" s="97">
        <v>8440</v>
      </c>
      <c r="E133" s="99">
        <f t="shared" si="2"/>
        <v>238.994214</v>
      </c>
      <c r="F133" s="105">
        <v>4.16</v>
      </c>
      <c r="G133" s="99">
        <v>0.41</v>
      </c>
      <c r="H133" s="98" t="s">
        <v>964</v>
      </c>
      <c r="I133" s="99">
        <v>9.78</v>
      </c>
      <c r="J133" s="100">
        <v>47.34863020833334</v>
      </c>
      <c r="K133" s="100">
        <f t="shared" si="4"/>
        <v>994.21593024</v>
      </c>
      <c r="L133" s="10"/>
    </row>
    <row r="134" spans="1:12" ht="12.75">
      <c r="A134" s="113" t="s">
        <v>1257</v>
      </c>
      <c r="B134" s="95" t="str">
        <f aca="true" t="shared" si="5" ref="B134:B142">MID(A134,5,2)&amp;"/"&amp;MID(A134,7,2)&amp;"/"&amp;MID(A134,9,2)</f>
        <v>06/27/06</v>
      </c>
      <c r="C134" s="119">
        <v>0.782638888888889</v>
      </c>
      <c r="D134" s="97">
        <v>6960</v>
      </c>
      <c r="E134" s="99">
        <f t="shared" si="2"/>
        <v>197.085276</v>
      </c>
      <c r="F134" s="105">
        <v>4.6</v>
      </c>
      <c r="G134" s="99">
        <v>0.45</v>
      </c>
      <c r="H134" s="98" t="s">
        <v>964</v>
      </c>
      <c r="I134" s="99">
        <v>11.4</v>
      </c>
      <c r="J134" s="100">
        <v>49.0963984375</v>
      </c>
      <c r="K134" s="100">
        <f aca="true" t="shared" si="6" ref="K134:K169">E134*F134</f>
        <v>906.5922695999999</v>
      </c>
      <c r="L134" s="10"/>
    </row>
    <row r="135" spans="1:12" ht="12.75">
      <c r="A135" s="113" t="s">
        <v>1258</v>
      </c>
      <c r="B135" s="95" t="str">
        <f t="shared" si="5"/>
        <v>07/03/06</v>
      </c>
      <c r="C135" s="119">
        <v>0.3854166666666667</v>
      </c>
      <c r="D135" s="97">
        <v>6110</v>
      </c>
      <c r="E135" s="99">
        <f t="shared" si="2"/>
        <v>173.0159535</v>
      </c>
      <c r="F135" s="105">
        <v>4.97</v>
      </c>
      <c r="G135" s="99">
        <v>0.47</v>
      </c>
      <c r="H135" s="98" t="s">
        <v>964</v>
      </c>
      <c r="I135" s="99">
        <v>12.1</v>
      </c>
      <c r="J135" s="100">
        <v>47.66640625</v>
      </c>
      <c r="K135" s="100">
        <f t="shared" si="6"/>
        <v>859.8892888949999</v>
      </c>
      <c r="L135" s="10"/>
    </row>
    <row r="136" spans="1:12" ht="12.75">
      <c r="A136" s="113" t="s">
        <v>1259</v>
      </c>
      <c r="B136" s="95" t="str">
        <f t="shared" si="5"/>
        <v>07/11/06</v>
      </c>
      <c r="C136" s="119">
        <v>0.68125</v>
      </c>
      <c r="D136" s="97">
        <v>4910</v>
      </c>
      <c r="E136" s="99">
        <f t="shared" si="2"/>
        <v>139.0357335</v>
      </c>
      <c r="F136" s="105">
        <v>5.5</v>
      </c>
      <c r="G136" s="99">
        <v>0.51</v>
      </c>
      <c r="H136" s="98" t="s">
        <v>964</v>
      </c>
      <c r="I136" s="99">
        <v>13.3</v>
      </c>
      <c r="J136" s="100">
        <v>51.797494791666665</v>
      </c>
      <c r="K136" s="100">
        <f t="shared" si="6"/>
        <v>764.69653425</v>
      </c>
      <c r="L136" s="10"/>
    </row>
    <row r="137" spans="1:12" ht="12.75">
      <c r="A137" s="113" t="s">
        <v>1260</v>
      </c>
      <c r="B137" s="95" t="str">
        <f t="shared" si="5"/>
        <v>07/18/06</v>
      </c>
      <c r="C137" s="119">
        <v>0.7361111111111112</v>
      </c>
      <c r="D137" s="97">
        <v>3900</v>
      </c>
      <c r="E137" s="99">
        <f t="shared" si="2"/>
        <v>110.435715</v>
      </c>
      <c r="F137" s="105">
        <v>6.15</v>
      </c>
      <c r="G137" s="99">
        <v>0.56</v>
      </c>
      <c r="H137" s="98" t="s">
        <v>964</v>
      </c>
      <c r="I137" s="99">
        <v>15</v>
      </c>
      <c r="J137" s="100">
        <v>54.021927083333345</v>
      </c>
      <c r="K137" s="100">
        <f t="shared" si="6"/>
        <v>679.17964725</v>
      </c>
      <c r="L137" s="10"/>
    </row>
    <row r="138" spans="1:12" ht="12.75">
      <c r="A138" s="113" t="s">
        <v>1261</v>
      </c>
      <c r="B138" s="95" t="str">
        <f t="shared" si="5"/>
        <v>07/25/06</v>
      </c>
      <c r="C138" s="119">
        <v>0.6847222222222222</v>
      </c>
      <c r="D138" s="97">
        <v>3310</v>
      </c>
      <c r="E138" s="99">
        <f t="shared" si="2"/>
        <v>93.7287735</v>
      </c>
      <c r="F138" s="105">
        <v>6.48</v>
      </c>
      <c r="G138" s="99">
        <v>0.59</v>
      </c>
      <c r="H138" s="98" t="s">
        <v>964</v>
      </c>
      <c r="I138" s="99">
        <v>16.6</v>
      </c>
      <c r="J138" s="100">
        <v>57.517463541666665</v>
      </c>
      <c r="K138" s="100">
        <f t="shared" si="6"/>
        <v>607.3624522800001</v>
      </c>
      <c r="L138" s="10"/>
    </row>
    <row r="139" spans="1:12" ht="12.75">
      <c r="A139" s="113" t="s">
        <v>1262</v>
      </c>
      <c r="B139" s="95" t="str">
        <f t="shared" si="5"/>
        <v>08/02/06</v>
      </c>
      <c r="C139" s="119">
        <v>0.7125</v>
      </c>
      <c r="D139" s="97">
        <v>2690</v>
      </c>
      <c r="E139" s="99">
        <f t="shared" si="2"/>
        <v>76.1723265</v>
      </c>
      <c r="F139" s="105">
        <v>7.21</v>
      </c>
      <c r="G139" s="99">
        <v>0.64</v>
      </c>
      <c r="H139" s="98">
        <v>0.01</v>
      </c>
      <c r="I139" s="99">
        <v>18.9</v>
      </c>
      <c r="J139" s="100">
        <v>58.153015624999995</v>
      </c>
      <c r="K139" s="100">
        <f t="shared" si="6"/>
        <v>549.2024740649999</v>
      </c>
      <c r="L139" s="10"/>
    </row>
    <row r="140" spans="1:12" ht="12.75">
      <c r="A140" s="113" t="s">
        <v>1263</v>
      </c>
      <c r="B140" s="95" t="str">
        <f t="shared" si="5"/>
        <v>08/14/06</v>
      </c>
      <c r="C140" s="119">
        <v>0.6979166666666666</v>
      </c>
      <c r="D140" s="97">
        <v>2050</v>
      </c>
      <c r="E140" s="99">
        <f t="shared" si="2"/>
        <v>58.0495425</v>
      </c>
      <c r="F140" s="105">
        <v>8.3</v>
      </c>
      <c r="G140" s="99">
        <v>0.7</v>
      </c>
      <c r="H140" s="98">
        <v>0.02</v>
      </c>
      <c r="I140" s="99">
        <v>20.6</v>
      </c>
      <c r="J140" s="100">
        <v>65.46186458333334</v>
      </c>
      <c r="K140" s="100">
        <f t="shared" si="6"/>
        <v>481.81120275000006</v>
      </c>
      <c r="L140" s="10"/>
    </row>
    <row r="141" spans="1:12" ht="12.75">
      <c r="A141" s="113" t="s">
        <v>1264</v>
      </c>
      <c r="B141" s="95" t="str">
        <f t="shared" si="5"/>
        <v>08/31/06</v>
      </c>
      <c r="C141" s="119">
        <v>0.6666666666666666</v>
      </c>
      <c r="D141" s="97">
        <v>1540</v>
      </c>
      <c r="E141" s="99">
        <f t="shared" si="2"/>
        <v>43.607949000000005</v>
      </c>
      <c r="F141" s="105">
        <v>10.2</v>
      </c>
      <c r="G141" s="99">
        <v>0.8</v>
      </c>
      <c r="H141" s="98">
        <v>0.02</v>
      </c>
      <c r="I141" s="99">
        <v>25.5</v>
      </c>
      <c r="J141" s="100">
        <v>74.8362578125</v>
      </c>
      <c r="K141" s="100">
        <f t="shared" si="6"/>
        <v>444.8010798</v>
      </c>
      <c r="L141" s="10"/>
    </row>
    <row r="142" spans="1:12" ht="12.75">
      <c r="A142" s="113" t="s">
        <v>1265</v>
      </c>
      <c r="B142" s="95" t="str">
        <f t="shared" si="5"/>
        <v>09/14/06</v>
      </c>
      <c r="C142" s="119">
        <v>0.625</v>
      </c>
      <c r="D142" s="97">
        <v>1260</v>
      </c>
      <c r="E142" s="99">
        <f t="shared" si="2"/>
        <v>35.679231</v>
      </c>
      <c r="F142" s="105">
        <v>11.6</v>
      </c>
      <c r="G142" s="99">
        <v>0.86</v>
      </c>
      <c r="H142" s="98">
        <v>0.02</v>
      </c>
      <c r="I142" s="99">
        <v>28.7</v>
      </c>
      <c r="J142" s="100">
        <v>78.80845833333333</v>
      </c>
      <c r="K142" s="100">
        <f t="shared" si="6"/>
        <v>413.8790796</v>
      </c>
      <c r="L142" s="10"/>
    </row>
    <row r="143" spans="1:24" ht="12.75">
      <c r="A143" s="82" t="s">
        <v>1268</v>
      </c>
      <c r="B143" s="95"/>
      <c r="C143" s="119"/>
      <c r="D143" s="97"/>
      <c r="E143" s="99"/>
      <c r="F143" s="105"/>
      <c r="G143" s="99"/>
      <c r="H143" s="98"/>
      <c r="I143" s="99"/>
      <c r="J143" s="100"/>
      <c r="K143" s="100"/>
      <c r="L143" s="36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>
      <c r="A144" s="113" t="s">
        <v>1266</v>
      </c>
      <c r="B144" s="95">
        <v>38995.538194444445</v>
      </c>
      <c r="C144" s="119">
        <v>0.5381944444444444</v>
      </c>
      <c r="D144" s="97">
        <v>1260</v>
      </c>
      <c r="E144" s="99">
        <f t="shared" si="2"/>
        <v>35.679231</v>
      </c>
      <c r="F144" s="105">
        <v>11.5</v>
      </c>
      <c r="G144" s="99">
        <v>0.82</v>
      </c>
      <c r="H144" s="98">
        <v>0.02</v>
      </c>
      <c r="I144" s="99">
        <v>30.1</v>
      </c>
      <c r="J144" s="100">
        <v>80.07956250000001</v>
      </c>
      <c r="K144" s="100">
        <f t="shared" si="6"/>
        <v>410.31115650000004</v>
      </c>
      <c r="L144" s="36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>
      <c r="A145" s="113" t="s">
        <v>581</v>
      </c>
      <c r="B145" s="95">
        <v>39013.614583333336</v>
      </c>
      <c r="C145" s="119">
        <v>0.6138888888888888</v>
      </c>
      <c r="D145" s="97">
        <v>1140</v>
      </c>
      <c r="E145" s="99">
        <f t="shared" si="2"/>
        <v>32.281209000000004</v>
      </c>
      <c r="F145" s="99">
        <v>12.2</v>
      </c>
      <c r="G145" s="99">
        <v>0.86</v>
      </c>
      <c r="H145" s="98">
        <v>0.02</v>
      </c>
      <c r="I145" s="99">
        <v>31.4</v>
      </c>
      <c r="J145" s="100">
        <v>82.62177083333333</v>
      </c>
      <c r="K145" s="100">
        <f t="shared" si="6"/>
        <v>393.83074980000004</v>
      </c>
      <c r="L145" s="36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2.75">
      <c r="A146" s="113" t="s">
        <v>582</v>
      </c>
      <c r="B146" s="95">
        <v>39034.479166666664</v>
      </c>
      <c r="C146" s="119">
        <v>0.48125</v>
      </c>
      <c r="D146" s="97">
        <v>1190</v>
      </c>
      <c r="E146" s="99">
        <f t="shared" si="2"/>
        <v>33.6970515</v>
      </c>
      <c r="F146" s="99">
        <v>11.5</v>
      </c>
      <c r="G146" s="99">
        <v>0.8</v>
      </c>
      <c r="H146" s="98">
        <v>0.02</v>
      </c>
      <c r="I146" s="99">
        <v>30</v>
      </c>
      <c r="J146" s="100">
        <v>81.66844270833333</v>
      </c>
      <c r="K146" s="100">
        <f t="shared" si="6"/>
        <v>387.51609225</v>
      </c>
      <c r="L146" s="3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4.25">
      <c r="A147" s="113" t="s">
        <v>583</v>
      </c>
      <c r="B147" s="95">
        <v>39063.385416666664</v>
      </c>
      <c r="C147" s="119">
        <v>0.3854166666666667</v>
      </c>
      <c r="D147" s="97">
        <v>947</v>
      </c>
      <c r="E147" s="99">
        <f t="shared" si="2"/>
        <v>26.81605695</v>
      </c>
      <c r="F147" s="99">
        <v>14</v>
      </c>
      <c r="G147" s="99">
        <v>0.94</v>
      </c>
      <c r="H147" s="98">
        <v>0.03</v>
      </c>
      <c r="I147" s="99">
        <v>37.7</v>
      </c>
      <c r="J147" s="100">
        <v>90.40728385416666</v>
      </c>
      <c r="K147" s="100">
        <f t="shared" si="6"/>
        <v>375.4247973</v>
      </c>
      <c r="L147" s="36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  <row r="148" spans="1:24" s="24" customFormat="1" ht="14.25">
      <c r="A148" s="120" t="s">
        <v>584</v>
      </c>
      <c r="B148" s="95">
        <v>39090.354166666664</v>
      </c>
      <c r="C148" s="119">
        <v>0.35625</v>
      </c>
      <c r="D148" s="97">
        <v>790</v>
      </c>
      <c r="E148" s="99">
        <f t="shared" si="2"/>
        <v>22.3703115</v>
      </c>
      <c r="F148" s="105">
        <v>15.2</v>
      </c>
      <c r="G148" s="105">
        <v>1.01</v>
      </c>
      <c r="H148" s="91">
        <v>0.03</v>
      </c>
      <c r="I148" s="105">
        <v>43.4</v>
      </c>
      <c r="J148" s="100">
        <v>94.69726041666668</v>
      </c>
      <c r="K148" s="100">
        <f t="shared" si="6"/>
        <v>340.0287348</v>
      </c>
      <c r="L148" s="36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</row>
    <row r="149" spans="1:37" ht="14.25">
      <c r="A149" s="113" t="s">
        <v>414</v>
      </c>
      <c r="B149" s="95">
        <v>39119.40625</v>
      </c>
      <c r="C149" s="97">
        <v>945</v>
      </c>
      <c r="D149" s="97">
        <v>680</v>
      </c>
      <c r="E149" s="99">
        <f t="shared" si="2"/>
        <v>19.255458</v>
      </c>
      <c r="F149" s="99">
        <v>17.8</v>
      </c>
      <c r="G149" s="99">
        <v>1.15</v>
      </c>
      <c r="H149" s="98">
        <v>0.03</v>
      </c>
      <c r="I149" s="99">
        <v>48.5</v>
      </c>
      <c r="J149" s="97">
        <v>100</v>
      </c>
      <c r="K149" s="100">
        <f t="shared" si="6"/>
        <v>342.7471524</v>
      </c>
      <c r="L149" s="36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Z149" s="23" t="s">
        <v>399</v>
      </c>
      <c r="AA149" s="23" t="s">
        <v>400</v>
      </c>
      <c r="AB149" s="23" t="s">
        <v>401</v>
      </c>
      <c r="AC149" s="23" t="s">
        <v>402</v>
      </c>
      <c r="AD149" s="23" t="s">
        <v>403</v>
      </c>
      <c r="AE149" s="23" t="s">
        <v>404</v>
      </c>
      <c r="AF149" s="23" t="s">
        <v>405</v>
      </c>
      <c r="AG149" s="23" t="s">
        <v>406</v>
      </c>
      <c r="AH149" s="23" t="s">
        <v>407</v>
      </c>
      <c r="AI149" s="23" t="s">
        <v>408</v>
      </c>
      <c r="AJ149" s="23" t="s">
        <v>409</v>
      </c>
      <c r="AK149" s="23" t="s">
        <v>410</v>
      </c>
    </row>
    <row r="150" spans="1:37" ht="14.25">
      <c r="A150" s="113" t="s">
        <v>415</v>
      </c>
      <c r="B150" s="95">
        <v>39147.368055555555</v>
      </c>
      <c r="C150" s="97">
        <v>850</v>
      </c>
      <c r="D150" s="97">
        <v>896</v>
      </c>
      <c r="E150" s="99">
        <f t="shared" si="2"/>
        <v>25.3718976</v>
      </c>
      <c r="F150" s="99">
        <v>14.9</v>
      </c>
      <c r="G150" s="99">
        <v>1</v>
      </c>
      <c r="H150" s="98">
        <v>0.03</v>
      </c>
      <c r="I150" s="99">
        <v>39.7</v>
      </c>
      <c r="J150" s="97">
        <v>87</v>
      </c>
      <c r="K150" s="100">
        <f t="shared" si="6"/>
        <v>378.04127424</v>
      </c>
      <c r="L150" s="36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Z150" s="23" t="s">
        <v>411</v>
      </c>
      <c r="AA150" s="23" t="s">
        <v>411</v>
      </c>
      <c r="AB150" s="23" t="s">
        <v>411</v>
      </c>
      <c r="AC150" s="23" t="s">
        <v>411</v>
      </c>
      <c r="AD150" s="23" t="s">
        <v>411</v>
      </c>
      <c r="AE150" s="23" t="s">
        <v>412</v>
      </c>
      <c r="AF150" s="23" t="s">
        <v>412</v>
      </c>
      <c r="AG150" s="23" t="s">
        <v>412</v>
      </c>
      <c r="AH150" s="23" t="s">
        <v>412</v>
      </c>
      <c r="AI150" s="23" t="s">
        <v>412</v>
      </c>
      <c r="AJ150" s="23" t="s">
        <v>412</v>
      </c>
      <c r="AK150" s="23" t="s">
        <v>412</v>
      </c>
    </row>
    <row r="151" spans="1:37" ht="15">
      <c r="A151" s="113" t="s">
        <v>416</v>
      </c>
      <c r="B151" s="95">
        <v>39160.520833333336</v>
      </c>
      <c r="C151" s="97">
        <v>1230</v>
      </c>
      <c r="D151" s="97">
        <v>1190</v>
      </c>
      <c r="E151" s="99">
        <f t="shared" si="2"/>
        <v>33.6970515</v>
      </c>
      <c r="F151" s="99">
        <v>12</v>
      </c>
      <c r="G151" s="99">
        <v>0.85</v>
      </c>
      <c r="H151" s="98">
        <v>0.01</v>
      </c>
      <c r="I151" s="99">
        <v>34.1</v>
      </c>
      <c r="J151" s="97">
        <v>82</v>
      </c>
      <c r="K151" s="100">
        <f t="shared" si="6"/>
        <v>404.364618</v>
      </c>
      <c r="L151" s="36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42"/>
      <c r="Z151" s="43">
        <v>16.367496563402728</v>
      </c>
      <c r="AA151" s="43">
        <v>22.85668064548262</v>
      </c>
      <c r="AB151" s="43">
        <v>3.997177906165953</v>
      </c>
      <c r="AC151" s="43">
        <v>5.602029883454528</v>
      </c>
      <c r="AD151" s="43">
        <v>11.652620878573565</v>
      </c>
      <c r="AE151" s="43">
        <v>114.43292359796794</v>
      </c>
      <c r="AF151" s="43">
        <v>12.330446558422155</v>
      </c>
      <c r="AG151" s="43">
        <v>101.29506703854967</v>
      </c>
      <c r="AH151" s="43">
        <v>105.66106185875087</v>
      </c>
      <c r="AI151" s="43">
        <v>553.2253710528937</v>
      </c>
      <c r="AJ151" s="43">
        <v>114.29337125211674</v>
      </c>
      <c r="AK151" s="43">
        <v>24.43162854866023</v>
      </c>
    </row>
    <row r="152" spans="1:24" ht="14.25">
      <c r="A152" s="113" t="s">
        <v>417</v>
      </c>
      <c r="B152" s="95">
        <v>39170.364583333336</v>
      </c>
      <c r="C152" s="97">
        <v>845</v>
      </c>
      <c r="D152" s="97">
        <v>1350</v>
      </c>
      <c r="E152" s="99">
        <f t="shared" si="2"/>
        <v>38.2277475</v>
      </c>
      <c r="F152" s="99">
        <v>9.49</v>
      </c>
      <c r="G152" s="99">
        <v>0.69</v>
      </c>
      <c r="H152" s="98">
        <v>0.01</v>
      </c>
      <c r="I152" s="99">
        <v>29</v>
      </c>
      <c r="J152" s="97">
        <v>80</v>
      </c>
      <c r="K152" s="100">
        <f t="shared" si="6"/>
        <v>362.781323775</v>
      </c>
      <c r="L152" s="36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1:24" ht="14.25">
      <c r="A153" s="113" t="s">
        <v>418</v>
      </c>
      <c r="B153" s="95">
        <v>39185.625</v>
      </c>
      <c r="C153" s="96">
        <v>0.625</v>
      </c>
      <c r="D153" s="97">
        <v>1320</v>
      </c>
      <c r="E153" s="99">
        <f t="shared" si="2"/>
        <v>37.378242</v>
      </c>
      <c r="F153" s="99">
        <v>10.4</v>
      </c>
      <c r="G153" s="99">
        <v>0.74</v>
      </c>
      <c r="H153" s="98">
        <v>0.02</v>
      </c>
      <c r="I153" s="99">
        <v>30.1</v>
      </c>
      <c r="J153" s="97">
        <v>85</v>
      </c>
      <c r="K153" s="100">
        <f t="shared" si="6"/>
        <v>388.7337168</v>
      </c>
      <c r="L153" s="36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  <row r="154" spans="1:37" ht="14.25">
      <c r="A154" s="113" t="s">
        <v>419</v>
      </c>
      <c r="B154" s="95">
        <v>39195.47222222222</v>
      </c>
      <c r="C154" s="96">
        <v>0.47222222222222227</v>
      </c>
      <c r="D154" s="97">
        <v>1940</v>
      </c>
      <c r="E154" s="99">
        <f t="shared" si="2"/>
        <v>54.934689</v>
      </c>
      <c r="F154" s="99">
        <v>7.59</v>
      </c>
      <c r="G154" s="99">
        <v>0.58</v>
      </c>
      <c r="H154" s="98" t="s">
        <v>964</v>
      </c>
      <c r="I154" s="99">
        <v>22.5</v>
      </c>
      <c r="J154" s="97">
        <v>77</v>
      </c>
      <c r="K154" s="100">
        <f t="shared" si="6"/>
        <v>416.95428950999997</v>
      </c>
      <c r="L154" s="36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Z154" s="62">
        <v>15.799242400000002</v>
      </c>
      <c r="AA154" s="62">
        <v>12.651423800000002</v>
      </c>
      <c r="AB154" s="62">
        <v>3.3382917000000005</v>
      </c>
      <c r="AC154" s="62">
        <v>4.3708564</v>
      </c>
      <c r="AD154" s="62">
        <v>8.6113891</v>
      </c>
      <c r="AE154" s="62">
        <v>71.4574872</v>
      </c>
      <c r="AF154" s="62">
        <v>13.3030423</v>
      </c>
      <c r="AG154" s="62">
        <v>104.6298813</v>
      </c>
      <c r="AH154" s="62">
        <v>27.8090726</v>
      </c>
      <c r="AI154" s="62">
        <v>268.07585090000003</v>
      </c>
      <c r="AJ154" s="62">
        <v>121.1408916</v>
      </c>
      <c r="AK154" s="62">
        <v>18.4257662</v>
      </c>
    </row>
    <row r="155" spans="1:37" ht="15">
      <c r="A155" s="113" t="s">
        <v>677</v>
      </c>
      <c r="B155" s="95">
        <v>39202.333333333336</v>
      </c>
      <c r="C155" s="96">
        <v>0.3333333333333333</v>
      </c>
      <c r="D155" s="100">
        <v>9750</v>
      </c>
      <c r="E155" s="99">
        <f t="shared" si="2"/>
        <v>276.0892875</v>
      </c>
      <c r="F155" s="99">
        <v>1.79</v>
      </c>
      <c r="G155" s="99">
        <v>0.2</v>
      </c>
      <c r="H155" s="98" t="s">
        <v>964</v>
      </c>
      <c r="I155" s="99">
        <v>6.79</v>
      </c>
      <c r="J155" s="100">
        <v>37.81534895833334</v>
      </c>
      <c r="K155" s="100">
        <f t="shared" si="6"/>
        <v>494.199824625</v>
      </c>
      <c r="L155" s="42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Z155" s="7">
        <v>8.229054800000002</v>
      </c>
      <c r="AA155" s="7">
        <v>4.5559132</v>
      </c>
      <c r="AB155" s="7">
        <v>1.5423136000000002</v>
      </c>
      <c r="AC155" s="7">
        <v>2.2728832000000003</v>
      </c>
      <c r="AD155" s="7">
        <v>5.8242632</v>
      </c>
      <c r="AE155" s="7">
        <v>15.3115212</v>
      </c>
      <c r="AF155" s="7">
        <v>3.9166648000000004</v>
      </c>
      <c r="AG155" s="7">
        <v>48.6437592</v>
      </c>
      <c r="AH155" s="7">
        <v>19.309360400000003</v>
      </c>
      <c r="AI155" s="7">
        <v>60.19081760000001</v>
      </c>
      <c r="AJ155" s="7">
        <v>71.04789360000001</v>
      </c>
      <c r="AK155" s="7">
        <v>4.738555600000001</v>
      </c>
    </row>
    <row r="156" spans="1:24" ht="14.25">
      <c r="A156" s="113" t="s">
        <v>678</v>
      </c>
      <c r="B156" s="95">
        <v>39209.708333333336</v>
      </c>
      <c r="C156" s="96">
        <v>0.7083333333333334</v>
      </c>
      <c r="D156" s="100">
        <v>4510</v>
      </c>
      <c r="E156" s="99">
        <f t="shared" si="2"/>
        <v>127.7089935</v>
      </c>
      <c r="F156" s="99">
        <v>3.67</v>
      </c>
      <c r="G156" s="99">
        <v>0.34</v>
      </c>
      <c r="H156" s="98" t="s">
        <v>964</v>
      </c>
      <c r="I156" s="99">
        <v>11</v>
      </c>
      <c r="J156" s="100">
        <v>53.704151041666655</v>
      </c>
      <c r="K156" s="100">
        <f t="shared" si="6"/>
        <v>468.692006145</v>
      </c>
      <c r="L156" s="42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  <row r="157" spans="1:24" ht="14.25">
      <c r="A157" s="113" t="s">
        <v>679</v>
      </c>
      <c r="B157" s="95">
        <v>39216.4375</v>
      </c>
      <c r="C157" s="96">
        <v>0.4375</v>
      </c>
      <c r="D157" s="100">
        <v>11200</v>
      </c>
      <c r="E157" s="99">
        <f aca="true" t="shared" si="7" ref="E157:E169">D157*0.02831685</f>
        <v>317.14872</v>
      </c>
      <c r="F157" s="99">
        <v>1.67</v>
      </c>
      <c r="G157" s="99">
        <v>0.18</v>
      </c>
      <c r="H157" s="98" t="s">
        <v>964</v>
      </c>
      <c r="I157" s="99">
        <v>5.04</v>
      </c>
      <c r="J157" s="100">
        <v>35.114252604166666</v>
      </c>
      <c r="K157" s="100">
        <f t="shared" si="6"/>
        <v>529.6383624</v>
      </c>
      <c r="L157" s="42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</row>
    <row r="158" spans="1:37" ht="14.25">
      <c r="A158" s="113" t="s">
        <v>680</v>
      </c>
      <c r="B158" s="95">
        <v>39223.6875</v>
      </c>
      <c r="C158" s="96">
        <v>0.6875</v>
      </c>
      <c r="D158" s="100">
        <v>8790</v>
      </c>
      <c r="E158" s="99">
        <f t="shared" si="7"/>
        <v>248.9051115</v>
      </c>
      <c r="F158" s="99">
        <v>2.57</v>
      </c>
      <c r="G158" s="99">
        <v>0.25</v>
      </c>
      <c r="H158" s="98" t="s">
        <v>964</v>
      </c>
      <c r="I158" s="99">
        <v>7.1</v>
      </c>
      <c r="J158" s="100">
        <v>39.40422916666667</v>
      </c>
      <c r="K158" s="100">
        <f t="shared" si="6"/>
        <v>639.686136555</v>
      </c>
      <c r="L158" s="42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Z158" s="7">
        <v>7.4477576999999995</v>
      </c>
      <c r="AA158" s="7">
        <v>3.8992971</v>
      </c>
      <c r="AB158" s="7">
        <v>1.2830591999999998</v>
      </c>
      <c r="AC158" s="7">
        <v>1.9245888</v>
      </c>
      <c r="AD158" s="7">
        <v>5.4229299</v>
      </c>
      <c r="AE158" s="7">
        <v>14.374272599999998</v>
      </c>
      <c r="AF158" s="7">
        <v>3.4181499</v>
      </c>
      <c r="AG158" s="7">
        <v>45.2779563</v>
      </c>
      <c r="AH158" s="7">
        <v>18.012948299999998</v>
      </c>
      <c r="AI158" s="7">
        <v>53.397315299999995</v>
      </c>
      <c r="AJ158" s="7">
        <v>106.1931966</v>
      </c>
      <c r="AK158" s="7">
        <v>4.2802052999999995</v>
      </c>
    </row>
    <row r="159" spans="1:24" ht="14.25">
      <c r="A159" s="113" t="s">
        <v>681</v>
      </c>
      <c r="B159" s="95">
        <v>39232.333333333336</v>
      </c>
      <c r="C159" s="96">
        <v>0.3333333333333333</v>
      </c>
      <c r="D159" s="100">
        <v>5810</v>
      </c>
      <c r="E159" s="99">
        <f t="shared" si="7"/>
        <v>164.52089850000002</v>
      </c>
      <c r="F159" s="99">
        <v>3.95</v>
      </c>
      <c r="G159" s="99">
        <v>0.38</v>
      </c>
      <c r="H159" s="98" t="s">
        <v>964</v>
      </c>
      <c r="I159" s="99">
        <v>10</v>
      </c>
      <c r="J159" s="100">
        <v>48.937510416666676</v>
      </c>
      <c r="K159" s="100">
        <f t="shared" si="6"/>
        <v>649.8575490750001</v>
      </c>
      <c r="L159" s="42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  <row r="160" spans="1:24" ht="14.25">
      <c r="A160" s="113" t="s">
        <v>682</v>
      </c>
      <c r="B160" s="95">
        <v>39237.65625</v>
      </c>
      <c r="C160" s="96">
        <v>0.65625</v>
      </c>
      <c r="D160" s="100">
        <v>6450</v>
      </c>
      <c r="E160" s="99">
        <f t="shared" si="7"/>
        <v>182.6436825</v>
      </c>
      <c r="F160" s="99">
        <v>3.49</v>
      </c>
      <c r="G160" s="99">
        <v>0.33</v>
      </c>
      <c r="H160" s="98" t="s">
        <v>964</v>
      </c>
      <c r="I160" s="99">
        <v>9.12</v>
      </c>
      <c r="J160" s="100">
        <v>44.17086979166667</v>
      </c>
      <c r="K160" s="100">
        <f t="shared" si="6"/>
        <v>637.426451925</v>
      </c>
      <c r="L160" s="42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</row>
    <row r="161" spans="1:24" ht="14.25">
      <c r="A161" s="113" t="s">
        <v>684</v>
      </c>
      <c r="B161" s="95">
        <v>39244.322916666664</v>
      </c>
      <c r="C161" s="96">
        <v>0.3229166666666667</v>
      </c>
      <c r="D161" s="100">
        <v>6030</v>
      </c>
      <c r="E161" s="99">
        <f t="shared" si="7"/>
        <v>170.7506055</v>
      </c>
      <c r="F161" s="99">
        <v>4.11</v>
      </c>
      <c r="G161" s="99">
        <v>0.39</v>
      </c>
      <c r="H161" s="98" t="s">
        <v>964</v>
      </c>
      <c r="I161" s="99">
        <v>10.3</v>
      </c>
      <c r="J161" s="100">
        <v>48.619734375</v>
      </c>
      <c r="K161" s="100">
        <f t="shared" si="6"/>
        <v>701.7849886050001</v>
      </c>
      <c r="L161" s="42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  <row r="162" spans="1:24" ht="14.25">
      <c r="A162" s="113" t="s">
        <v>683</v>
      </c>
      <c r="B162" s="95">
        <v>39251.333333333336</v>
      </c>
      <c r="C162" s="119">
        <v>0.3333333333333333</v>
      </c>
      <c r="D162" s="100">
        <v>5490</v>
      </c>
      <c r="E162" s="99">
        <f t="shared" si="7"/>
        <v>155.4595065</v>
      </c>
      <c r="F162" s="99">
        <v>4.4</v>
      </c>
      <c r="G162" s="99">
        <v>0.41</v>
      </c>
      <c r="H162" s="98" t="s">
        <v>964</v>
      </c>
      <c r="I162" s="99">
        <v>10.7</v>
      </c>
      <c r="J162" s="100">
        <v>50.36750260416666</v>
      </c>
      <c r="K162" s="100">
        <f t="shared" si="6"/>
        <v>684.0218286</v>
      </c>
      <c r="L162" s="42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</row>
    <row r="163" spans="1:24" ht="14.25">
      <c r="A163" s="113" t="s">
        <v>320</v>
      </c>
      <c r="B163" s="95">
        <v>39261.541666666664</v>
      </c>
      <c r="C163" s="96">
        <v>0.5416666666666666</v>
      </c>
      <c r="D163" s="97">
        <v>4040</v>
      </c>
      <c r="E163" s="99">
        <f t="shared" si="7"/>
        <v>114.400074</v>
      </c>
      <c r="F163" s="99">
        <v>5.88</v>
      </c>
      <c r="G163" s="99">
        <v>0.53</v>
      </c>
      <c r="H163" s="98" t="s">
        <v>964</v>
      </c>
      <c r="I163" s="99">
        <v>13.8</v>
      </c>
      <c r="J163" s="100">
        <v>54.021927083333345</v>
      </c>
      <c r="K163" s="100">
        <f t="shared" si="6"/>
        <v>672.67243512</v>
      </c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1:24" ht="14.25">
      <c r="A164" s="113" t="s">
        <v>321</v>
      </c>
      <c r="B164" s="95">
        <v>39273.520833333336</v>
      </c>
      <c r="C164" s="119">
        <v>0.5208333333333334</v>
      </c>
      <c r="D164" s="97">
        <v>3190</v>
      </c>
      <c r="E164" s="99">
        <f t="shared" si="7"/>
        <v>90.3307515</v>
      </c>
      <c r="F164" s="99">
        <v>7.12</v>
      </c>
      <c r="G164" s="99">
        <v>0.62</v>
      </c>
      <c r="H164" s="98" t="s">
        <v>964</v>
      </c>
      <c r="I164" s="99">
        <v>17.3</v>
      </c>
      <c r="J164" s="100">
        <v>62.442992187499996</v>
      </c>
      <c r="K164" s="100">
        <f t="shared" si="6"/>
        <v>643.1549506800001</v>
      </c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1:24" ht="14.25">
      <c r="A165" s="113" t="s">
        <v>322</v>
      </c>
      <c r="B165" s="95">
        <v>39289.541666666664</v>
      </c>
      <c r="C165" s="119">
        <v>0.5416666666666666</v>
      </c>
      <c r="D165" s="97">
        <v>2340</v>
      </c>
      <c r="E165" s="99">
        <f t="shared" si="7"/>
        <v>66.261429</v>
      </c>
      <c r="F165" s="99">
        <v>8</v>
      </c>
      <c r="G165" s="99">
        <v>0.66</v>
      </c>
      <c r="H165" s="98">
        <v>0.01</v>
      </c>
      <c r="I165" s="99">
        <v>21</v>
      </c>
      <c r="J165" s="100">
        <v>65.62075260416667</v>
      </c>
      <c r="K165" s="100">
        <f t="shared" si="6"/>
        <v>530.091432</v>
      </c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  <row r="166" spans="1:24" ht="14.25">
      <c r="A166" s="113" t="s">
        <v>527</v>
      </c>
      <c r="B166" s="95">
        <v>39302.572916666664</v>
      </c>
      <c r="C166" s="119">
        <v>0.5729166666666666</v>
      </c>
      <c r="D166" s="97">
        <v>1780</v>
      </c>
      <c r="E166" s="99">
        <f t="shared" si="7"/>
        <v>50.403993</v>
      </c>
      <c r="F166" s="99">
        <v>10.1</v>
      </c>
      <c r="G166" s="99">
        <v>0.75</v>
      </c>
      <c r="H166" s="98">
        <v>0.02</v>
      </c>
      <c r="I166" s="99">
        <v>25.3</v>
      </c>
      <c r="J166" s="100">
        <v>69.75184114583334</v>
      </c>
      <c r="K166" s="100">
        <f t="shared" si="6"/>
        <v>509.08032929999996</v>
      </c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1:24" ht="14.25">
      <c r="A167" s="113" t="s">
        <v>528</v>
      </c>
      <c r="B167" s="95">
        <v>39316.354166666664</v>
      </c>
      <c r="C167" s="119">
        <v>0.3541666666666667</v>
      </c>
      <c r="D167" s="97">
        <v>1530</v>
      </c>
      <c r="E167" s="99">
        <f t="shared" si="7"/>
        <v>43.3247805</v>
      </c>
      <c r="F167" s="99">
        <v>10.4</v>
      </c>
      <c r="G167" s="99">
        <v>0.79</v>
      </c>
      <c r="H167" s="98">
        <v>0.01</v>
      </c>
      <c r="I167" s="99">
        <v>26.3</v>
      </c>
      <c r="J167" s="100">
        <v>74.04181770833334</v>
      </c>
      <c r="K167" s="100">
        <f t="shared" si="6"/>
        <v>450.57771720000005</v>
      </c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1:24" ht="14.25">
      <c r="A168" s="113" t="s">
        <v>529</v>
      </c>
      <c r="B168" s="95">
        <v>39330.541666666664</v>
      </c>
      <c r="C168" s="119">
        <v>0.5416666666666666</v>
      </c>
      <c r="D168" s="97">
        <v>1250</v>
      </c>
      <c r="E168" s="99">
        <f t="shared" si="7"/>
        <v>35.3960625</v>
      </c>
      <c r="F168" s="99">
        <v>12</v>
      </c>
      <c r="G168" s="99">
        <v>0.88</v>
      </c>
      <c r="H168" s="98">
        <v>0.02</v>
      </c>
      <c r="I168" s="99">
        <v>29.6</v>
      </c>
      <c r="J168" s="100">
        <v>80.71511458333333</v>
      </c>
      <c r="K168" s="100">
        <f t="shared" si="6"/>
        <v>424.75275</v>
      </c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1:24" ht="14.25">
      <c r="A169" s="113" t="s">
        <v>530</v>
      </c>
      <c r="B169" s="95">
        <v>39342.604166666664</v>
      </c>
      <c r="C169" s="119">
        <v>0.6041666666666666</v>
      </c>
      <c r="D169" s="97">
        <v>1090</v>
      </c>
      <c r="E169" s="99">
        <f t="shared" si="7"/>
        <v>30.8653665</v>
      </c>
      <c r="F169" s="99">
        <v>13</v>
      </c>
      <c r="G169" s="99">
        <v>0.91</v>
      </c>
      <c r="H169" s="98">
        <v>0.02</v>
      </c>
      <c r="I169" s="99">
        <v>32.3</v>
      </c>
      <c r="J169" s="100">
        <v>86.59397135416667</v>
      </c>
      <c r="K169" s="100">
        <f t="shared" si="6"/>
        <v>401.2497645</v>
      </c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1:24" ht="14.25">
      <c r="A170" s="82" t="s">
        <v>384</v>
      </c>
      <c r="B170" s="95"/>
      <c r="D170" s="97"/>
      <c r="E170" s="99"/>
      <c r="F170" s="99"/>
      <c r="G170" s="99"/>
      <c r="H170" s="98"/>
      <c r="I170" s="99"/>
      <c r="J170" s="100"/>
      <c r="K170" s="100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  <row r="171" spans="1:24" ht="14.25">
      <c r="A171" s="86" t="s">
        <v>385</v>
      </c>
      <c r="B171" s="95">
        <v>39356</v>
      </c>
      <c r="C171" s="96">
        <v>0.375</v>
      </c>
      <c r="D171" s="97">
        <v>991</v>
      </c>
      <c r="E171" s="99">
        <f aca="true" t="shared" si="8" ref="E171:E199">D171*0.02831685</f>
        <v>28.06199835</v>
      </c>
      <c r="F171" s="99">
        <v>13.7</v>
      </c>
      <c r="G171" s="99">
        <v>0.95</v>
      </c>
      <c r="H171" s="98">
        <v>0.02</v>
      </c>
      <c r="I171" s="99">
        <v>34.5</v>
      </c>
      <c r="J171" s="100">
        <v>90.566171875</v>
      </c>
      <c r="K171" s="100">
        <f>E171*F171</f>
        <v>384.449377395</v>
      </c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  <row r="172" spans="1:11" ht="12.75">
      <c r="A172" s="86" t="s">
        <v>386</v>
      </c>
      <c r="B172" s="95">
        <v>39372.4375</v>
      </c>
      <c r="C172" s="96">
        <f aca="true" t="shared" si="9" ref="C172:C181">B172</f>
        <v>39372.4375</v>
      </c>
      <c r="D172" s="100">
        <v>1100</v>
      </c>
      <c r="E172" s="99">
        <f t="shared" si="8"/>
        <v>31.148535000000003</v>
      </c>
      <c r="F172" s="99">
        <v>12.9</v>
      </c>
      <c r="G172" s="99">
        <v>0.88</v>
      </c>
      <c r="H172" s="98">
        <v>0.02</v>
      </c>
      <c r="I172" s="99">
        <v>34.4</v>
      </c>
      <c r="J172" s="100">
        <v>90</v>
      </c>
      <c r="K172" s="100">
        <f aca="true" t="shared" si="10" ref="K172:K199">E172*F172</f>
        <v>401.81610150000006</v>
      </c>
    </row>
    <row r="173" spans="1:11" ht="12.75">
      <c r="A173" s="86" t="s">
        <v>387</v>
      </c>
      <c r="B173" s="95">
        <v>39391.375</v>
      </c>
      <c r="C173" s="96">
        <f t="shared" si="9"/>
        <v>39391.375</v>
      </c>
      <c r="D173" s="100">
        <v>1100</v>
      </c>
      <c r="E173" s="99">
        <f t="shared" si="8"/>
        <v>31.148535000000003</v>
      </c>
      <c r="F173" s="99">
        <v>12.1</v>
      </c>
      <c r="G173" s="99">
        <v>0.83</v>
      </c>
      <c r="H173" s="98">
        <v>0.02</v>
      </c>
      <c r="I173" s="99">
        <v>32.8</v>
      </c>
      <c r="J173" s="100">
        <v>89</v>
      </c>
      <c r="K173" s="100">
        <f t="shared" si="10"/>
        <v>376.89727350000004</v>
      </c>
    </row>
    <row r="174" spans="1:11" ht="12.75">
      <c r="A174" s="86" t="s">
        <v>388</v>
      </c>
      <c r="B174" s="95">
        <v>39422.666666666664</v>
      </c>
      <c r="C174" s="96">
        <f t="shared" si="9"/>
        <v>39422.666666666664</v>
      </c>
      <c r="D174" s="100">
        <v>820</v>
      </c>
      <c r="E174" s="99">
        <f t="shared" si="8"/>
        <v>23.219817000000003</v>
      </c>
      <c r="F174" s="99">
        <v>16.8</v>
      </c>
      <c r="G174" s="99">
        <v>1.1</v>
      </c>
      <c r="H174" s="98">
        <v>0.03</v>
      </c>
      <c r="I174" s="99">
        <v>46.4</v>
      </c>
      <c r="J174" s="100">
        <v>92</v>
      </c>
      <c r="K174" s="100">
        <f t="shared" si="10"/>
        <v>390.09292560000006</v>
      </c>
    </row>
    <row r="175" spans="1:11" ht="12.75">
      <c r="A175" s="86" t="s">
        <v>389</v>
      </c>
      <c r="B175" s="95">
        <v>39450.489583333336</v>
      </c>
      <c r="C175" s="96">
        <f t="shared" si="9"/>
        <v>39450.489583333336</v>
      </c>
      <c r="D175" s="100">
        <v>650</v>
      </c>
      <c r="E175" s="99">
        <f t="shared" si="8"/>
        <v>18.4059525</v>
      </c>
      <c r="F175" s="99">
        <v>18</v>
      </c>
      <c r="G175" s="99">
        <v>1.13</v>
      </c>
      <c r="H175" s="98">
        <v>0.04</v>
      </c>
      <c r="I175" s="99">
        <v>49.8</v>
      </c>
      <c r="J175" s="100">
        <v>105</v>
      </c>
      <c r="K175" s="100">
        <f t="shared" si="10"/>
        <v>331.30714500000005</v>
      </c>
    </row>
    <row r="176" spans="1:11" ht="12.75">
      <c r="A176" s="86" t="s">
        <v>390</v>
      </c>
      <c r="B176" s="95">
        <v>39483.645833333336</v>
      </c>
      <c r="C176" s="96">
        <f t="shared" si="9"/>
        <v>39483.645833333336</v>
      </c>
      <c r="D176" s="100">
        <v>541</v>
      </c>
      <c r="E176" s="99">
        <f t="shared" si="8"/>
        <v>15.31941585</v>
      </c>
      <c r="F176" s="99">
        <v>20.1</v>
      </c>
      <c r="G176" s="99">
        <v>1.21</v>
      </c>
      <c r="H176" s="98">
        <v>0.05</v>
      </c>
      <c r="I176" s="99">
        <v>61.8</v>
      </c>
      <c r="J176" s="100">
        <v>118</v>
      </c>
      <c r="K176" s="100">
        <f t="shared" si="10"/>
        <v>307.92025858500006</v>
      </c>
    </row>
    <row r="177" spans="1:11" ht="12.75">
      <c r="A177" s="86" t="s">
        <v>391</v>
      </c>
      <c r="B177" s="95">
        <v>39510.645833333336</v>
      </c>
      <c r="C177" s="96">
        <f t="shared" si="9"/>
        <v>39510.645833333336</v>
      </c>
      <c r="D177" s="97">
        <v>534</v>
      </c>
      <c r="E177" s="99">
        <f t="shared" si="8"/>
        <v>15.1211979</v>
      </c>
      <c r="F177" s="99">
        <v>20.8</v>
      </c>
      <c r="G177" s="99">
        <v>1.28</v>
      </c>
      <c r="H177" s="98">
        <v>0.04</v>
      </c>
      <c r="I177" s="99">
        <v>62.4</v>
      </c>
      <c r="J177" s="100">
        <v>108.52051822916667</v>
      </c>
      <c r="K177" s="100">
        <f t="shared" si="10"/>
        <v>314.52091632</v>
      </c>
    </row>
    <row r="178" spans="1:11" ht="12.75">
      <c r="A178" s="86" t="s">
        <v>392</v>
      </c>
      <c r="B178" s="95">
        <v>39524.729166666664</v>
      </c>
      <c r="C178" s="96">
        <f t="shared" si="9"/>
        <v>39524.729166666664</v>
      </c>
      <c r="D178" s="97">
        <v>598</v>
      </c>
      <c r="E178" s="99">
        <f t="shared" si="8"/>
        <v>16.933476300000002</v>
      </c>
      <c r="F178" s="99">
        <v>19.3</v>
      </c>
      <c r="G178" s="99">
        <v>1.23</v>
      </c>
      <c r="H178" s="98">
        <v>0.04</v>
      </c>
      <c r="I178" s="99">
        <v>57.1</v>
      </c>
      <c r="J178" s="100">
        <v>117.25935937500002</v>
      </c>
      <c r="K178" s="100">
        <f t="shared" si="10"/>
        <v>326.81609259000004</v>
      </c>
    </row>
    <row r="179" spans="1:11" ht="12.75">
      <c r="A179" s="86" t="s">
        <v>393</v>
      </c>
      <c r="B179" s="95">
        <v>39539.427083333336</v>
      </c>
      <c r="C179" s="96">
        <f t="shared" si="9"/>
        <v>39539.427083333336</v>
      </c>
      <c r="D179" s="97">
        <v>855</v>
      </c>
      <c r="E179" s="99">
        <f t="shared" si="8"/>
        <v>24.21090675</v>
      </c>
      <c r="F179" s="99">
        <v>15.7</v>
      </c>
      <c r="G179" s="99">
        <v>1.1</v>
      </c>
      <c r="H179" s="98">
        <v>0.03</v>
      </c>
      <c r="I179" s="99">
        <v>43.1</v>
      </c>
      <c r="J179" s="100">
        <v>88.65951562500001</v>
      </c>
      <c r="K179" s="100">
        <f t="shared" si="10"/>
        <v>380.111235975</v>
      </c>
    </row>
    <row r="180" spans="1:11" ht="12.75">
      <c r="A180" s="86" t="s">
        <v>394</v>
      </c>
      <c r="B180" s="95">
        <v>39553.479166666664</v>
      </c>
      <c r="C180" s="96">
        <f t="shared" si="9"/>
        <v>39553.479166666664</v>
      </c>
      <c r="D180" s="97">
        <v>1330</v>
      </c>
      <c r="E180" s="99">
        <f t="shared" si="8"/>
        <v>37.6614105</v>
      </c>
      <c r="F180" s="99">
        <v>12.3</v>
      </c>
      <c r="G180" s="99">
        <v>0.91</v>
      </c>
      <c r="H180" s="98">
        <v>0.02</v>
      </c>
      <c r="I180" s="99">
        <v>34.3</v>
      </c>
      <c r="J180" s="100">
        <v>74</v>
      </c>
      <c r="K180" s="100">
        <f t="shared" si="10"/>
        <v>463.23534915000005</v>
      </c>
    </row>
    <row r="181" spans="1:11" ht="12.75">
      <c r="A181" s="86" t="s">
        <v>395</v>
      </c>
      <c r="B181" s="95">
        <v>39566.63888888889</v>
      </c>
      <c r="C181" s="96">
        <f t="shared" si="9"/>
        <v>39566.63888888889</v>
      </c>
      <c r="D181" s="97">
        <v>1260</v>
      </c>
      <c r="E181" s="99">
        <f t="shared" si="8"/>
        <v>35.679231</v>
      </c>
      <c r="F181" s="99">
        <v>12.1</v>
      </c>
      <c r="G181" s="99">
        <v>0.88</v>
      </c>
      <c r="H181" s="98">
        <v>0.02</v>
      </c>
      <c r="I181" s="99">
        <v>33.8</v>
      </c>
      <c r="J181" s="100">
        <v>78</v>
      </c>
      <c r="K181" s="100">
        <f t="shared" si="10"/>
        <v>431.7186951</v>
      </c>
    </row>
    <row r="182" spans="1:11" ht="12.75">
      <c r="A182" s="86" t="s">
        <v>396</v>
      </c>
      <c r="B182" s="95">
        <v>39573.489583333336</v>
      </c>
      <c r="C182" s="96">
        <f>B182</f>
        <v>39573.489583333336</v>
      </c>
      <c r="D182" s="97">
        <v>2520</v>
      </c>
      <c r="E182" s="99">
        <f>D182*0.02831685</f>
        <v>71.358462</v>
      </c>
      <c r="F182" s="99">
        <v>6.66</v>
      </c>
      <c r="G182" s="99">
        <v>0.54</v>
      </c>
      <c r="H182" s="98" t="s">
        <v>964</v>
      </c>
      <c r="I182" s="99">
        <v>20.6</v>
      </c>
      <c r="J182" s="100">
        <v>70</v>
      </c>
      <c r="K182" s="100">
        <f t="shared" si="10"/>
        <v>475.24735692</v>
      </c>
    </row>
    <row r="183" spans="1:11" ht="12.75">
      <c r="A183" s="86" t="s">
        <v>397</v>
      </c>
      <c r="B183" s="95">
        <v>39581.333333333336</v>
      </c>
      <c r="C183" s="96">
        <f>B183</f>
        <v>39581.333333333336</v>
      </c>
      <c r="D183" s="97">
        <v>3330</v>
      </c>
      <c r="E183" s="99">
        <f>D183*0.02831685</f>
        <v>94.2951105</v>
      </c>
      <c r="F183" s="99">
        <v>5.27</v>
      </c>
      <c r="G183" s="99">
        <v>0.45</v>
      </c>
      <c r="H183" s="98" t="s">
        <v>964</v>
      </c>
      <c r="I183" s="99">
        <v>17.7</v>
      </c>
      <c r="J183" s="100">
        <v>68</v>
      </c>
      <c r="K183" s="100">
        <f t="shared" si="10"/>
        <v>496.935232335</v>
      </c>
    </row>
    <row r="184" spans="1:11" ht="12.75">
      <c r="A184" s="86" t="s">
        <v>398</v>
      </c>
      <c r="B184" s="95">
        <v>39588.822916666664</v>
      </c>
      <c r="C184" s="96">
        <f>B184</f>
        <v>39588.822916666664</v>
      </c>
      <c r="D184" s="97">
        <v>16400</v>
      </c>
      <c r="E184" s="99">
        <f t="shared" si="8"/>
        <v>464.39634</v>
      </c>
      <c r="F184" s="99">
        <v>1.54</v>
      </c>
      <c r="G184" s="99">
        <v>0.19</v>
      </c>
      <c r="H184" s="98" t="s">
        <v>964</v>
      </c>
      <c r="I184" s="99">
        <v>5.77</v>
      </c>
      <c r="J184" s="100">
        <v>42</v>
      </c>
      <c r="K184" s="100">
        <f t="shared" si="10"/>
        <v>715.1703636000001</v>
      </c>
    </row>
    <row r="185" spans="1:11" ht="12.75">
      <c r="A185" s="86" t="s">
        <v>177</v>
      </c>
      <c r="B185" s="95">
        <v>39595.319444444445</v>
      </c>
      <c r="C185" s="96">
        <f>B185</f>
        <v>39595.319444444445</v>
      </c>
      <c r="D185" s="97">
        <v>8740</v>
      </c>
      <c r="E185" s="99">
        <f t="shared" si="8"/>
        <v>247.489269</v>
      </c>
      <c r="F185" s="99">
        <v>3.02</v>
      </c>
      <c r="G185" s="99">
        <v>0.33</v>
      </c>
      <c r="H185" s="98" t="s">
        <v>964</v>
      </c>
      <c r="I185" s="99">
        <v>9.49</v>
      </c>
      <c r="J185" s="100">
        <v>51</v>
      </c>
      <c r="K185" s="100">
        <f t="shared" si="10"/>
        <v>747.41759238</v>
      </c>
    </row>
    <row r="186" spans="1:11" ht="12.75">
      <c r="A186" s="86" t="s">
        <v>178</v>
      </c>
      <c r="B186" s="95">
        <v>39602.354166666664</v>
      </c>
      <c r="C186" s="96">
        <f>B186</f>
        <v>39602.354166666664</v>
      </c>
      <c r="D186" s="97">
        <v>16500</v>
      </c>
      <c r="E186" s="99">
        <f>D186*0.02831685</f>
        <v>467.228025</v>
      </c>
      <c r="F186" s="99">
        <v>1.78</v>
      </c>
      <c r="G186" s="99">
        <v>0.21</v>
      </c>
      <c r="H186" s="98" t="s">
        <v>964</v>
      </c>
      <c r="I186" s="99">
        <v>5.6</v>
      </c>
      <c r="J186" s="100">
        <v>39</v>
      </c>
      <c r="K186" s="100">
        <f t="shared" si="10"/>
        <v>831.6658845000001</v>
      </c>
    </row>
    <row r="187" spans="1:11" ht="12.75">
      <c r="A187" s="86" t="s">
        <v>179</v>
      </c>
      <c r="B187" s="95">
        <v>39610.625</v>
      </c>
      <c r="C187" s="96">
        <f aca="true" t="shared" si="11" ref="C187:C199">B187</f>
        <v>39610.625</v>
      </c>
      <c r="D187" s="97">
        <v>11100</v>
      </c>
      <c r="E187" s="99">
        <f t="shared" si="8"/>
        <v>314.31703500000003</v>
      </c>
      <c r="F187" s="99">
        <v>3.31</v>
      </c>
      <c r="G187" s="99">
        <v>0.36</v>
      </c>
      <c r="H187" s="98" t="s">
        <v>964</v>
      </c>
      <c r="I187" s="99">
        <v>9.5</v>
      </c>
      <c r="J187" s="58">
        <v>42</v>
      </c>
      <c r="K187" s="100">
        <f t="shared" si="10"/>
        <v>1040.38938585</v>
      </c>
    </row>
    <row r="188" spans="1:11" ht="12.75">
      <c r="A188" s="86" t="s">
        <v>180</v>
      </c>
      <c r="B188" s="95">
        <v>39615.635416666664</v>
      </c>
      <c r="C188" s="96">
        <f t="shared" si="11"/>
        <v>39615.635416666664</v>
      </c>
      <c r="D188" s="97">
        <v>13400</v>
      </c>
      <c r="E188" s="99">
        <f t="shared" si="8"/>
        <v>379.44579</v>
      </c>
      <c r="F188" s="99">
        <v>2.72</v>
      </c>
      <c r="G188" s="99">
        <v>0.3</v>
      </c>
      <c r="H188" s="98" t="s">
        <v>964</v>
      </c>
      <c r="I188" s="99">
        <v>7.16</v>
      </c>
      <c r="J188" s="100">
        <v>43</v>
      </c>
      <c r="K188" s="100">
        <f t="shared" si="10"/>
        <v>1032.0925488</v>
      </c>
    </row>
    <row r="189" spans="1:11" ht="12.75">
      <c r="A189" s="86" t="s">
        <v>181</v>
      </c>
      <c r="B189" s="95">
        <v>39622.697916666664</v>
      </c>
      <c r="C189" s="96">
        <f t="shared" si="11"/>
        <v>39622.697916666664</v>
      </c>
      <c r="D189" s="97">
        <v>20300</v>
      </c>
      <c r="E189" s="99">
        <f t="shared" si="8"/>
        <v>574.832055</v>
      </c>
      <c r="F189" s="99">
        <v>2.21</v>
      </c>
      <c r="G189" s="99">
        <v>0.25</v>
      </c>
      <c r="H189" s="98" t="s">
        <v>964</v>
      </c>
      <c r="I189" s="99">
        <v>5.87</v>
      </c>
      <c r="J189" s="100">
        <v>39</v>
      </c>
      <c r="K189" s="100">
        <f t="shared" si="10"/>
        <v>1270.3788415499998</v>
      </c>
    </row>
    <row r="190" spans="1:11" ht="12.75">
      <c r="A190" s="86" t="s">
        <v>182</v>
      </c>
      <c r="B190" s="95">
        <v>39629.53125</v>
      </c>
      <c r="C190" s="96">
        <f t="shared" si="11"/>
        <v>39629.53125</v>
      </c>
      <c r="D190" s="97">
        <v>18800</v>
      </c>
      <c r="E190" s="99">
        <f t="shared" si="8"/>
        <v>532.3567800000001</v>
      </c>
      <c r="F190" s="99">
        <v>3.89</v>
      </c>
      <c r="G190" s="99">
        <v>0.26</v>
      </c>
      <c r="H190" s="98" t="s">
        <v>964</v>
      </c>
      <c r="I190" s="99">
        <v>6.39</v>
      </c>
      <c r="J190" s="100">
        <v>39</v>
      </c>
      <c r="K190" s="100">
        <f t="shared" si="10"/>
        <v>2070.8678742</v>
      </c>
    </row>
    <row r="191" spans="1:11" ht="12.75">
      <c r="A191" s="86" t="s">
        <v>183</v>
      </c>
      <c r="B191" s="95">
        <v>39638.6875</v>
      </c>
      <c r="C191" s="96">
        <f t="shared" si="11"/>
        <v>39638.6875</v>
      </c>
      <c r="D191" s="97">
        <v>13100</v>
      </c>
      <c r="E191" s="99">
        <f t="shared" si="8"/>
        <v>370.950735</v>
      </c>
      <c r="F191" s="99">
        <v>3.48</v>
      </c>
      <c r="G191" s="99">
        <v>0.36</v>
      </c>
      <c r="H191" s="98" t="s">
        <v>964</v>
      </c>
      <c r="I191" s="99">
        <v>8.42</v>
      </c>
      <c r="J191" s="100">
        <v>44</v>
      </c>
      <c r="K191" s="100">
        <f t="shared" si="10"/>
        <v>1290.9085578</v>
      </c>
    </row>
    <row r="192" spans="1:11" ht="12.75">
      <c r="A192" s="86" t="s">
        <v>184</v>
      </c>
      <c r="B192" s="95">
        <v>39643.708333333336</v>
      </c>
      <c r="C192" s="96">
        <f t="shared" si="11"/>
        <v>39643.708333333336</v>
      </c>
      <c r="D192" s="97">
        <v>10200</v>
      </c>
      <c r="E192" s="99">
        <f t="shared" si="8"/>
        <v>288.83187000000004</v>
      </c>
      <c r="F192" s="99">
        <v>4.67</v>
      </c>
      <c r="G192" s="99">
        <v>0.46</v>
      </c>
      <c r="H192" s="98" t="s">
        <v>964</v>
      </c>
      <c r="I192" s="99">
        <v>10.5</v>
      </c>
      <c r="J192" s="100">
        <v>49</v>
      </c>
      <c r="K192" s="100">
        <f t="shared" si="10"/>
        <v>1348.8448329000003</v>
      </c>
    </row>
    <row r="193" spans="1:11" ht="12.75">
      <c r="A193" s="86" t="s">
        <v>185</v>
      </c>
      <c r="B193" s="95">
        <v>39650.6875</v>
      </c>
      <c r="C193" s="96">
        <f t="shared" si="11"/>
        <v>39650.6875</v>
      </c>
      <c r="D193" s="97">
        <v>8070</v>
      </c>
      <c r="E193" s="99">
        <f t="shared" si="8"/>
        <v>228.51697950000002</v>
      </c>
      <c r="F193" s="99">
        <v>4.67</v>
      </c>
      <c r="G193" s="99">
        <v>0.47</v>
      </c>
      <c r="H193" s="98" t="s">
        <v>964</v>
      </c>
      <c r="I193" s="99">
        <v>11</v>
      </c>
      <c r="J193" s="100">
        <v>50</v>
      </c>
      <c r="K193" s="100">
        <f t="shared" si="10"/>
        <v>1067.174294265</v>
      </c>
    </row>
    <row r="194" spans="1:11" ht="12.75">
      <c r="A194" s="86" t="s">
        <v>186</v>
      </c>
      <c r="B194" s="95">
        <v>39659.697916666664</v>
      </c>
      <c r="C194" s="96">
        <f t="shared" si="11"/>
        <v>39659.697916666664</v>
      </c>
      <c r="D194" s="97">
        <v>5940</v>
      </c>
      <c r="E194" s="99">
        <f t="shared" si="8"/>
        <v>168.202089</v>
      </c>
      <c r="F194" s="99">
        <v>5.36</v>
      </c>
      <c r="G194" s="99">
        <v>0.54</v>
      </c>
      <c r="H194" s="98" t="s">
        <v>964</v>
      </c>
      <c r="I194" s="99">
        <v>12.5</v>
      </c>
      <c r="J194" s="100">
        <v>50</v>
      </c>
      <c r="K194" s="100">
        <f t="shared" si="10"/>
        <v>901.5631970400001</v>
      </c>
    </row>
    <row r="195" spans="1:11" ht="12.75">
      <c r="A195" s="86" t="s">
        <v>187</v>
      </c>
      <c r="B195" s="95">
        <v>39664.697916666664</v>
      </c>
      <c r="C195" s="96">
        <f t="shared" si="11"/>
        <v>39664.697916666664</v>
      </c>
      <c r="D195" s="97">
        <v>5040</v>
      </c>
      <c r="E195" s="99">
        <f t="shared" si="8"/>
        <v>142.716924</v>
      </c>
      <c r="F195" s="99">
        <v>5.83</v>
      </c>
      <c r="G195" s="99">
        <v>0.57</v>
      </c>
      <c r="H195" s="98">
        <v>0.01</v>
      </c>
      <c r="I195" s="99">
        <v>14.3</v>
      </c>
      <c r="J195" s="100">
        <v>48</v>
      </c>
      <c r="K195" s="100">
        <f t="shared" si="10"/>
        <v>832.0396669200001</v>
      </c>
    </row>
    <row r="196" spans="1:11" ht="12.75">
      <c r="A196" s="86" t="s">
        <v>188</v>
      </c>
      <c r="B196" s="95">
        <v>39680.6875</v>
      </c>
      <c r="C196" s="96">
        <f t="shared" si="11"/>
        <v>39680.6875</v>
      </c>
      <c r="D196" s="97">
        <v>3210</v>
      </c>
      <c r="E196" s="99">
        <f t="shared" si="8"/>
        <v>90.89708850000001</v>
      </c>
      <c r="F196" s="99">
        <v>6.88</v>
      </c>
      <c r="G196" s="99">
        <v>0.61</v>
      </c>
      <c r="H196" s="98" t="s">
        <v>964</v>
      </c>
      <c r="I196" s="99">
        <v>17.3</v>
      </c>
      <c r="J196" s="100">
        <v>59</v>
      </c>
      <c r="K196" s="100">
        <f t="shared" si="10"/>
        <v>625.37196888</v>
      </c>
    </row>
    <row r="197" spans="1:11" ht="12.75">
      <c r="A197" s="86" t="s">
        <v>189</v>
      </c>
      <c r="B197" s="95">
        <v>39693.65625</v>
      </c>
      <c r="C197" s="96">
        <f t="shared" si="11"/>
        <v>39693.65625</v>
      </c>
      <c r="D197" s="97">
        <v>2510</v>
      </c>
      <c r="E197" s="99">
        <f t="shared" si="8"/>
        <v>71.0752935</v>
      </c>
      <c r="F197" s="99">
        <v>8.08</v>
      </c>
      <c r="G197" s="99">
        <v>0.68</v>
      </c>
      <c r="H197" s="98">
        <v>0.01</v>
      </c>
      <c r="I197" s="99">
        <v>21.4</v>
      </c>
      <c r="J197" s="100">
        <v>64</v>
      </c>
      <c r="K197" s="100">
        <f t="shared" si="10"/>
        <v>574.28837148</v>
      </c>
    </row>
    <row r="198" spans="1:11" ht="12.75">
      <c r="A198" s="86" t="s">
        <v>190</v>
      </c>
      <c r="B198" s="95">
        <v>39707.645833333336</v>
      </c>
      <c r="C198" s="96">
        <f t="shared" si="11"/>
        <v>39707.645833333336</v>
      </c>
      <c r="D198" s="97">
        <v>1950</v>
      </c>
      <c r="E198" s="99">
        <f t="shared" si="8"/>
        <v>55.2178575</v>
      </c>
      <c r="F198" s="99">
        <v>9.01</v>
      </c>
      <c r="G198" s="99">
        <v>0.75</v>
      </c>
      <c r="H198" s="98">
        <v>0.01</v>
      </c>
      <c r="I198" s="99">
        <v>22.4</v>
      </c>
      <c r="J198" s="100">
        <v>68</v>
      </c>
      <c r="K198" s="100">
        <f t="shared" si="10"/>
        <v>497.512896075</v>
      </c>
    </row>
    <row r="199" spans="1:11" ht="12.75">
      <c r="A199" s="86" t="s">
        <v>191</v>
      </c>
      <c r="B199" s="95">
        <v>39721.729166666664</v>
      </c>
      <c r="C199" s="96">
        <f t="shared" si="11"/>
        <v>39721.729166666664</v>
      </c>
      <c r="D199" s="97">
        <v>1610</v>
      </c>
      <c r="E199" s="99">
        <f t="shared" si="8"/>
        <v>45.5901285</v>
      </c>
      <c r="F199" s="99">
        <v>10.1</v>
      </c>
      <c r="G199" s="99">
        <v>0.79</v>
      </c>
      <c r="H199" s="98">
        <v>0.02</v>
      </c>
      <c r="I199" s="99">
        <v>25.9</v>
      </c>
      <c r="J199" s="100">
        <v>75</v>
      </c>
      <c r="K199" s="100">
        <f t="shared" si="10"/>
        <v>460.46029784999996</v>
      </c>
    </row>
    <row r="200" spans="1:11" ht="12.75">
      <c r="A200" s="23" t="s">
        <v>1685</v>
      </c>
      <c r="B200" s="77"/>
      <c r="C200" s="6"/>
      <c r="D200" s="1"/>
      <c r="E200" s="21"/>
      <c r="F200" s="135"/>
      <c r="G200" s="9"/>
      <c r="H200" s="12"/>
      <c r="I200" s="9"/>
      <c r="J200" s="2"/>
      <c r="K200" s="2"/>
    </row>
    <row r="201" spans="1:11" ht="15">
      <c r="A201" s="24" t="s">
        <v>1686</v>
      </c>
      <c r="B201" s="8">
        <v>39737.520833333336</v>
      </c>
      <c r="C201" s="6">
        <v>0.5208333333333334</v>
      </c>
      <c r="D201" s="136">
        <v>1450</v>
      </c>
      <c r="E201" s="21">
        <f aca="true" t="shared" si="12" ref="E201:E227">D201*0.02831685</f>
        <v>41.0594325</v>
      </c>
      <c r="F201" s="135">
        <v>11</v>
      </c>
      <c r="G201" s="9">
        <v>0.84</v>
      </c>
      <c r="H201" s="12">
        <v>0.01</v>
      </c>
      <c r="I201" s="9">
        <v>28.6</v>
      </c>
      <c r="J201" s="137">
        <v>74</v>
      </c>
      <c r="K201" s="22">
        <f aca="true" t="shared" si="13" ref="K201:K227">E201*F201</f>
        <v>451.6537575</v>
      </c>
    </row>
    <row r="202" spans="1:11" ht="15">
      <c r="A202" s="24" t="s">
        <v>1687</v>
      </c>
      <c r="B202" s="8">
        <v>39757.447916666664</v>
      </c>
      <c r="C202" s="138">
        <v>39757.447916666664</v>
      </c>
      <c r="D202" s="136">
        <v>1320</v>
      </c>
      <c r="E202" s="21">
        <f t="shared" si="12"/>
        <v>37.378242</v>
      </c>
      <c r="F202" s="9">
        <v>12</v>
      </c>
      <c r="G202" s="9">
        <v>0.85</v>
      </c>
      <c r="H202" s="12">
        <v>0.01</v>
      </c>
      <c r="I202" s="9">
        <v>32.7</v>
      </c>
      <c r="J202" s="137">
        <v>75</v>
      </c>
      <c r="K202" s="22">
        <f t="shared" si="13"/>
        <v>448.538904</v>
      </c>
    </row>
    <row r="203" spans="1:11" ht="15">
      <c r="A203" s="24" t="s">
        <v>1688</v>
      </c>
      <c r="B203" s="8">
        <v>39786.541666666664</v>
      </c>
      <c r="C203" s="138">
        <v>39786.541666666664</v>
      </c>
      <c r="D203" s="136">
        <v>992</v>
      </c>
      <c r="E203" s="21">
        <f t="shared" si="12"/>
        <v>28.090315200000003</v>
      </c>
      <c r="F203" s="9">
        <v>13.7</v>
      </c>
      <c r="G203" s="9">
        <v>0.95</v>
      </c>
      <c r="H203" s="12">
        <v>0.02</v>
      </c>
      <c r="I203" s="9">
        <v>35.9</v>
      </c>
      <c r="J203" s="137">
        <v>85</v>
      </c>
      <c r="K203" s="22">
        <f t="shared" si="13"/>
        <v>384.83731824</v>
      </c>
    </row>
    <row r="204" spans="1:11" ht="15">
      <c r="A204" s="24" t="s">
        <v>1689</v>
      </c>
      <c r="B204" s="8">
        <v>39826.666666666664</v>
      </c>
      <c r="C204" s="138">
        <v>39826.666666666664</v>
      </c>
      <c r="D204" s="136">
        <v>692</v>
      </c>
      <c r="E204" s="21">
        <f t="shared" si="12"/>
        <v>19.595260200000002</v>
      </c>
      <c r="F204" s="135">
        <v>18</v>
      </c>
      <c r="G204" s="135">
        <v>1.14</v>
      </c>
      <c r="H204" s="139">
        <v>0.03</v>
      </c>
      <c r="I204" s="135">
        <v>52.9</v>
      </c>
      <c r="J204" s="137">
        <v>103</v>
      </c>
      <c r="K204" s="22">
        <f t="shared" si="13"/>
        <v>352.71468360000006</v>
      </c>
    </row>
    <row r="205" spans="1:11" ht="15">
      <c r="A205" s="24" t="s">
        <v>1690</v>
      </c>
      <c r="B205" s="8">
        <v>39850.5</v>
      </c>
      <c r="C205" s="138">
        <v>39850.5</v>
      </c>
      <c r="D205" s="136">
        <v>654</v>
      </c>
      <c r="E205" s="21">
        <f t="shared" si="12"/>
        <v>18.5192199</v>
      </c>
      <c r="F205" s="9">
        <v>19.2</v>
      </c>
      <c r="G205" s="9">
        <v>1.21</v>
      </c>
      <c r="H205" s="12">
        <v>0.04</v>
      </c>
      <c r="I205" s="9">
        <v>53.9</v>
      </c>
      <c r="J205" s="137">
        <v>106</v>
      </c>
      <c r="K205" s="22">
        <f t="shared" si="13"/>
        <v>355.56902207999997</v>
      </c>
    </row>
    <row r="206" spans="1:11" ht="15">
      <c r="A206" t="s">
        <v>1691</v>
      </c>
      <c r="B206" s="8">
        <v>39875.47222222222</v>
      </c>
      <c r="C206" s="138">
        <v>39875.47222222222</v>
      </c>
      <c r="D206" s="136">
        <v>694</v>
      </c>
      <c r="E206" s="21">
        <f t="shared" si="12"/>
        <v>19.6518939</v>
      </c>
      <c r="F206" s="9">
        <v>18.9</v>
      </c>
      <c r="G206" s="9">
        <v>1.2</v>
      </c>
      <c r="H206" s="12">
        <v>0.03</v>
      </c>
      <c r="I206" s="9">
        <v>53.3</v>
      </c>
      <c r="J206" s="137">
        <v>105</v>
      </c>
      <c r="K206" s="22">
        <f t="shared" si="13"/>
        <v>371.42079471</v>
      </c>
    </row>
    <row r="207" spans="1:11" ht="15">
      <c r="A207" t="s">
        <v>1692</v>
      </c>
      <c r="B207" s="8">
        <v>39889.475694444445</v>
      </c>
      <c r="C207" s="138">
        <v>39889.475694444445</v>
      </c>
      <c r="D207" s="136">
        <v>725</v>
      </c>
      <c r="E207" s="21">
        <f t="shared" si="12"/>
        <v>20.52971625</v>
      </c>
      <c r="F207" s="9">
        <v>18.1</v>
      </c>
      <c r="G207" s="9">
        <v>1.15</v>
      </c>
      <c r="H207" s="12">
        <v>0.03</v>
      </c>
      <c r="I207" s="9">
        <v>50.7</v>
      </c>
      <c r="J207" s="137">
        <v>97</v>
      </c>
      <c r="K207" s="22">
        <f t="shared" si="13"/>
        <v>371.587864125</v>
      </c>
    </row>
    <row r="208" spans="1:11" ht="15">
      <c r="A208" t="s">
        <v>1693</v>
      </c>
      <c r="B208" s="8">
        <v>39904.5</v>
      </c>
      <c r="C208" s="138">
        <v>39904.5</v>
      </c>
      <c r="D208" s="136">
        <v>1010</v>
      </c>
      <c r="E208" s="21">
        <f t="shared" si="12"/>
        <v>28.6000185</v>
      </c>
      <c r="F208" s="9">
        <v>14.2</v>
      </c>
      <c r="G208" s="9">
        <v>0.99</v>
      </c>
      <c r="H208" s="12">
        <v>0.02</v>
      </c>
      <c r="I208" s="9">
        <v>38.6</v>
      </c>
      <c r="J208" s="137">
        <v>84</v>
      </c>
      <c r="K208" s="22">
        <f t="shared" si="13"/>
        <v>406.1202627</v>
      </c>
    </row>
    <row r="209" spans="1:11" ht="15">
      <c r="A209" t="s">
        <v>1694</v>
      </c>
      <c r="B209" s="8">
        <v>39917.479166666664</v>
      </c>
      <c r="C209" s="138">
        <v>39917.479166666664</v>
      </c>
      <c r="D209" s="136">
        <v>1410</v>
      </c>
      <c r="E209" s="21">
        <f t="shared" si="12"/>
        <v>39.9267585</v>
      </c>
      <c r="F209" s="9">
        <v>11.2</v>
      </c>
      <c r="G209" s="9">
        <v>0.82</v>
      </c>
      <c r="H209" s="12">
        <v>0.01</v>
      </c>
      <c r="I209" s="9">
        <v>31.6</v>
      </c>
      <c r="J209" s="137">
        <v>77</v>
      </c>
      <c r="K209" s="22">
        <f t="shared" si="13"/>
        <v>447.17969519999997</v>
      </c>
    </row>
    <row r="210" spans="1:11" ht="15">
      <c r="A210" t="s">
        <v>1695</v>
      </c>
      <c r="B210" s="8">
        <v>39932.458333333336</v>
      </c>
      <c r="C210" s="138">
        <v>39932.458333333336</v>
      </c>
      <c r="D210" s="136">
        <v>2220</v>
      </c>
      <c r="E210" s="21">
        <f t="shared" si="12"/>
        <v>62.863407</v>
      </c>
      <c r="F210" s="9">
        <v>7.37</v>
      </c>
      <c r="G210" s="9">
        <v>0.58</v>
      </c>
      <c r="H210" s="12" t="s">
        <v>964</v>
      </c>
      <c r="I210" s="9">
        <v>23.5</v>
      </c>
      <c r="J210" s="137">
        <v>73</v>
      </c>
      <c r="K210" s="22">
        <f t="shared" si="13"/>
        <v>463.30330959</v>
      </c>
    </row>
    <row r="211" spans="1:11" ht="15">
      <c r="A211" t="s">
        <v>1696</v>
      </c>
      <c r="B211" s="8">
        <v>39939.53125</v>
      </c>
      <c r="C211" s="138">
        <v>39939.53125</v>
      </c>
      <c r="D211" s="136">
        <v>2930</v>
      </c>
      <c r="E211" s="21">
        <f t="shared" si="12"/>
        <v>82.9683705</v>
      </c>
      <c r="F211" s="9">
        <v>5.8</v>
      </c>
      <c r="G211" s="9">
        <v>0.48</v>
      </c>
      <c r="H211" s="12" t="s">
        <v>964</v>
      </c>
      <c r="I211" s="9">
        <v>19.3</v>
      </c>
      <c r="J211" s="140">
        <v>70</v>
      </c>
      <c r="K211" s="22">
        <f t="shared" si="13"/>
        <v>481.2165489</v>
      </c>
    </row>
    <row r="212" spans="1:11" ht="15">
      <c r="A212" t="s">
        <v>1697</v>
      </c>
      <c r="B212" s="8">
        <v>39946.520833333336</v>
      </c>
      <c r="C212" s="138">
        <v>39946.520833333336</v>
      </c>
      <c r="D212" s="136">
        <v>3640</v>
      </c>
      <c r="E212" s="21">
        <f t="shared" si="12"/>
        <v>103.073334</v>
      </c>
      <c r="F212" s="9">
        <v>4.82</v>
      </c>
      <c r="G212" s="9">
        <v>0.43</v>
      </c>
      <c r="H212" s="12" t="s">
        <v>964</v>
      </c>
      <c r="I212" s="9">
        <v>15.7</v>
      </c>
      <c r="J212" s="140">
        <v>63</v>
      </c>
      <c r="K212" s="22">
        <f t="shared" si="13"/>
        <v>496.81346988000007</v>
      </c>
    </row>
    <row r="213" spans="1:11" ht="15">
      <c r="A213" t="s">
        <v>1698</v>
      </c>
      <c r="B213" s="8">
        <v>39953.552083333336</v>
      </c>
      <c r="C213" s="138">
        <v>39953.552083333336</v>
      </c>
      <c r="D213" s="136">
        <v>17900</v>
      </c>
      <c r="E213" s="21">
        <f t="shared" si="12"/>
        <v>506.871615</v>
      </c>
      <c r="F213" s="9">
        <v>1.32</v>
      </c>
      <c r="G213" s="9">
        <v>0.17</v>
      </c>
      <c r="H213" s="12" t="s">
        <v>964</v>
      </c>
      <c r="I213" s="9">
        <v>4.71</v>
      </c>
      <c r="J213" s="140">
        <v>38</v>
      </c>
      <c r="K213" s="22">
        <f t="shared" si="13"/>
        <v>669.0705318</v>
      </c>
    </row>
    <row r="214" spans="1:11" ht="15">
      <c r="A214" t="s">
        <v>1699</v>
      </c>
      <c r="B214" s="8">
        <v>39960.510416666664</v>
      </c>
      <c r="C214" s="138">
        <v>39960.510416666664</v>
      </c>
      <c r="D214" s="141">
        <v>15900</v>
      </c>
      <c r="E214" s="21">
        <f t="shared" si="12"/>
        <v>450.23791500000004</v>
      </c>
      <c r="F214" s="9">
        <v>2</v>
      </c>
      <c r="G214" s="9">
        <v>0.22</v>
      </c>
      <c r="H214" s="12" t="s">
        <v>964</v>
      </c>
      <c r="I214" s="9">
        <v>5.53</v>
      </c>
      <c r="J214" s="140">
        <v>38.6097890625</v>
      </c>
      <c r="K214" s="22">
        <f t="shared" si="13"/>
        <v>900.4758300000001</v>
      </c>
    </row>
    <row r="215" spans="1:11" ht="15">
      <c r="A215" t="s">
        <v>1700</v>
      </c>
      <c r="B215" s="8">
        <v>39966.510416666664</v>
      </c>
      <c r="C215" s="138">
        <v>39966.510416666664</v>
      </c>
      <c r="D215" s="141">
        <v>17500</v>
      </c>
      <c r="E215" s="21">
        <f t="shared" si="12"/>
        <v>495.544875</v>
      </c>
      <c r="F215" s="9">
        <v>2.02</v>
      </c>
      <c r="G215" s="9">
        <v>0.22</v>
      </c>
      <c r="H215" s="12" t="s">
        <v>964</v>
      </c>
      <c r="I215" s="9">
        <v>5.64</v>
      </c>
      <c r="J215" s="140">
        <v>36.067580729166664</v>
      </c>
      <c r="K215" s="22">
        <f t="shared" si="13"/>
        <v>1001.0006475</v>
      </c>
    </row>
    <row r="216" spans="1:11" ht="15">
      <c r="A216" t="s">
        <v>1701</v>
      </c>
      <c r="B216" s="8">
        <v>39973.53125</v>
      </c>
      <c r="C216" s="138">
        <v>39973.53125</v>
      </c>
      <c r="D216" s="141">
        <v>13400</v>
      </c>
      <c r="E216" s="21">
        <f t="shared" si="12"/>
        <v>379.44579</v>
      </c>
      <c r="F216" s="9">
        <v>3.31</v>
      </c>
      <c r="G216" s="9">
        <v>0.37</v>
      </c>
      <c r="H216" s="12" t="s">
        <v>964</v>
      </c>
      <c r="I216" s="9">
        <v>8.38</v>
      </c>
      <c r="J216" s="140">
        <v>44.01198177083333</v>
      </c>
      <c r="K216" s="22">
        <f t="shared" si="13"/>
        <v>1255.9655649</v>
      </c>
    </row>
    <row r="217" spans="1:11" ht="15">
      <c r="A217" t="s">
        <v>1702</v>
      </c>
      <c r="B217" s="8">
        <v>39980.53125</v>
      </c>
      <c r="C217" s="138">
        <v>39980.53125</v>
      </c>
      <c r="D217" s="141">
        <v>14400</v>
      </c>
      <c r="E217" s="21">
        <f t="shared" si="12"/>
        <v>407.76264000000003</v>
      </c>
      <c r="F217" s="9">
        <v>2.89</v>
      </c>
      <c r="G217" s="9">
        <v>0.31</v>
      </c>
      <c r="H217" s="12" t="s">
        <v>964</v>
      </c>
      <c r="I217" s="9">
        <v>7.2</v>
      </c>
      <c r="J217" s="140">
        <v>40.039781250000004</v>
      </c>
      <c r="K217" s="22">
        <f t="shared" si="13"/>
        <v>1178.4340296000003</v>
      </c>
    </row>
    <row r="218" spans="1:11" ht="15">
      <c r="A218" t="s">
        <v>1703</v>
      </c>
      <c r="B218" s="8">
        <v>39987.541666666664</v>
      </c>
      <c r="C218" s="138">
        <v>39987.541666666664</v>
      </c>
      <c r="D218" s="141">
        <v>14300</v>
      </c>
      <c r="E218" s="21">
        <f t="shared" si="12"/>
        <v>404.93095500000004</v>
      </c>
      <c r="F218" s="9">
        <v>3.18</v>
      </c>
      <c r="G218" s="9">
        <v>0.34</v>
      </c>
      <c r="H218" s="12" t="s">
        <v>964</v>
      </c>
      <c r="I218" s="9">
        <v>7.38</v>
      </c>
      <c r="J218" s="140">
        <v>41.94643750000001</v>
      </c>
      <c r="K218" s="22">
        <f t="shared" si="13"/>
        <v>1287.6804369000001</v>
      </c>
    </row>
    <row r="219" spans="1:11" ht="15">
      <c r="A219" t="s">
        <v>1704</v>
      </c>
      <c r="B219" s="8">
        <v>39994.479166666664</v>
      </c>
      <c r="C219" s="138">
        <v>39994.479166666664</v>
      </c>
      <c r="D219" s="141">
        <v>12500</v>
      </c>
      <c r="E219" s="21">
        <f t="shared" si="12"/>
        <v>353.960625</v>
      </c>
      <c r="F219" s="9">
        <v>3.35</v>
      </c>
      <c r="G219" s="9">
        <v>0.35</v>
      </c>
      <c r="H219" s="12" t="s">
        <v>964</v>
      </c>
      <c r="I219" s="9">
        <v>7.96</v>
      </c>
      <c r="J219" s="140">
        <v>40.993109374999996</v>
      </c>
      <c r="K219" s="22">
        <f t="shared" si="13"/>
        <v>1185.76809375</v>
      </c>
    </row>
    <row r="220" spans="1:11" ht="15">
      <c r="A220" t="s">
        <v>1705</v>
      </c>
      <c r="B220" s="8">
        <v>40001.552083333336</v>
      </c>
      <c r="C220" s="138">
        <v>40001.552083333336</v>
      </c>
      <c r="D220" s="141">
        <v>10500</v>
      </c>
      <c r="E220" s="21">
        <f t="shared" si="12"/>
        <v>297.326925</v>
      </c>
      <c r="F220" s="9">
        <v>4.04</v>
      </c>
      <c r="G220" s="9">
        <v>0.42</v>
      </c>
      <c r="H220" s="12" t="s">
        <v>964</v>
      </c>
      <c r="I220" s="9">
        <v>9.12</v>
      </c>
      <c r="J220" s="140">
        <v>44.806421875</v>
      </c>
      <c r="K220" s="22">
        <f t="shared" si="13"/>
        <v>1201.200777</v>
      </c>
    </row>
    <row r="221" spans="1:11" ht="15">
      <c r="A221" t="s">
        <v>1706</v>
      </c>
      <c r="B221" s="8">
        <v>40008.53125</v>
      </c>
      <c r="C221" s="138">
        <v>40008.53125</v>
      </c>
      <c r="D221" s="141">
        <v>8550</v>
      </c>
      <c r="E221" s="21">
        <f t="shared" si="12"/>
        <v>242.1090675</v>
      </c>
      <c r="F221" s="9">
        <v>4.6</v>
      </c>
      <c r="G221" s="9">
        <v>0.47</v>
      </c>
      <c r="H221" s="12" t="s">
        <v>964</v>
      </c>
      <c r="I221" s="9">
        <v>10.5</v>
      </c>
      <c r="J221" s="140">
        <v>47.03085416666667</v>
      </c>
      <c r="K221" s="22">
        <f t="shared" si="13"/>
        <v>1113.7017105</v>
      </c>
    </row>
    <row r="222" spans="1:11" ht="15">
      <c r="A222" t="s">
        <v>1707</v>
      </c>
      <c r="B222" s="8">
        <v>40015.541666666664</v>
      </c>
      <c r="C222" s="138">
        <v>40015.541666666664</v>
      </c>
      <c r="D222" s="136">
        <v>6710</v>
      </c>
      <c r="E222" s="21">
        <f t="shared" si="12"/>
        <v>190.0060635</v>
      </c>
      <c r="F222" s="135">
        <v>5.19</v>
      </c>
      <c r="G222" s="135">
        <v>0.51</v>
      </c>
      <c r="H222" s="139" t="s">
        <v>964</v>
      </c>
      <c r="I222" s="135">
        <v>12.4</v>
      </c>
      <c r="J222" s="140">
        <v>50.0497265625</v>
      </c>
      <c r="K222" s="22">
        <f t="shared" si="13"/>
        <v>986.1314695650001</v>
      </c>
    </row>
    <row r="223" spans="1:11" ht="15">
      <c r="A223" t="s">
        <v>1708</v>
      </c>
      <c r="B223" s="8">
        <v>40022.5625</v>
      </c>
      <c r="C223" s="138">
        <v>40022.5625</v>
      </c>
      <c r="D223" s="136">
        <v>5740</v>
      </c>
      <c r="E223" s="21">
        <f t="shared" si="12"/>
        <v>162.53871900000001</v>
      </c>
      <c r="F223" s="9">
        <v>5.4</v>
      </c>
      <c r="G223" s="9">
        <v>0.52</v>
      </c>
      <c r="H223" s="12" t="s">
        <v>964</v>
      </c>
      <c r="I223" s="9">
        <v>12.9</v>
      </c>
      <c r="J223" s="140">
        <v>50.844166666666666</v>
      </c>
      <c r="K223" s="22">
        <f t="shared" si="13"/>
        <v>877.7090826000001</v>
      </c>
    </row>
    <row r="224" spans="1:11" ht="15">
      <c r="A224" t="s">
        <v>1709</v>
      </c>
      <c r="B224" s="8">
        <v>40029.510416666664</v>
      </c>
      <c r="C224" s="138">
        <v>40029.510416666664</v>
      </c>
      <c r="D224" s="136">
        <v>4670</v>
      </c>
      <c r="E224" s="21">
        <f t="shared" si="12"/>
        <v>132.2396895</v>
      </c>
      <c r="F224" s="9">
        <v>6.09</v>
      </c>
      <c r="G224" s="9">
        <v>0.57</v>
      </c>
      <c r="H224" s="12" t="s">
        <v>964</v>
      </c>
      <c r="I224" s="9">
        <v>14.2</v>
      </c>
      <c r="J224" s="140">
        <v>53.22748697916667</v>
      </c>
      <c r="K224" s="22">
        <f t="shared" si="13"/>
        <v>805.339709055</v>
      </c>
    </row>
    <row r="225" spans="1:11" ht="15">
      <c r="A225" t="s">
        <v>1710</v>
      </c>
      <c r="B225" s="8">
        <v>40043.489583333336</v>
      </c>
      <c r="C225" s="138">
        <v>40043.489583333336</v>
      </c>
      <c r="D225" s="142">
        <v>3390</v>
      </c>
      <c r="E225" s="21">
        <f t="shared" si="12"/>
        <v>95.9941215</v>
      </c>
      <c r="F225" s="135">
        <v>6.86</v>
      </c>
      <c r="G225" s="135">
        <v>0.63</v>
      </c>
      <c r="H225" s="139" t="s">
        <v>964</v>
      </c>
      <c r="I225" s="135">
        <v>16.2</v>
      </c>
      <c r="J225" s="140">
        <v>57.99412760416667</v>
      </c>
      <c r="K225" s="22">
        <f t="shared" si="13"/>
        <v>658.5196734900001</v>
      </c>
    </row>
    <row r="226" spans="1:11" ht="15">
      <c r="A226" t="s">
        <v>1711</v>
      </c>
      <c r="B226" s="8">
        <v>40057.5</v>
      </c>
      <c r="C226" s="138">
        <v>40057.5</v>
      </c>
      <c r="D226" s="142">
        <v>2590</v>
      </c>
      <c r="E226" s="21">
        <f t="shared" si="12"/>
        <v>73.3406415</v>
      </c>
      <c r="F226" s="135">
        <v>7.96</v>
      </c>
      <c r="G226" s="135">
        <v>0.67</v>
      </c>
      <c r="H226" s="139">
        <v>0.01</v>
      </c>
      <c r="I226" s="135">
        <v>19.8</v>
      </c>
      <c r="J226" s="140">
        <v>63.07854427083332</v>
      </c>
      <c r="K226" s="22">
        <f t="shared" si="13"/>
        <v>583.7915063400001</v>
      </c>
    </row>
    <row r="227" spans="1:11" ht="15">
      <c r="A227" t="s">
        <v>1712</v>
      </c>
      <c r="B227" s="8">
        <v>40074.5</v>
      </c>
      <c r="C227" s="138">
        <v>40074.5</v>
      </c>
      <c r="D227" s="142">
        <v>1910</v>
      </c>
      <c r="E227" s="21">
        <f t="shared" si="12"/>
        <v>54.0851835</v>
      </c>
      <c r="F227" s="135">
        <v>9.22</v>
      </c>
      <c r="G227" s="135">
        <v>0.76</v>
      </c>
      <c r="H227" s="139">
        <v>0.01</v>
      </c>
      <c r="I227" s="135">
        <v>22.5</v>
      </c>
      <c r="J227" s="140">
        <v>68.00407291666667</v>
      </c>
      <c r="K227" s="22">
        <f t="shared" si="13"/>
        <v>498.66539187</v>
      </c>
    </row>
    <row r="228" spans="1:11" ht="12.75">
      <c r="A228" s="23" t="s">
        <v>1713</v>
      </c>
      <c r="B228" s="77"/>
      <c r="C228" s="6"/>
      <c r="D228" s="1"/>
      <c r="E228" s="21"/>
      <c r="F228" s="135"/>
      <c r="G228" s="9"/>
      <c r="H228" s="12"/>
      <c r="I228" s="9"/>
      <c r="J228" s="140"/>
      <c r="K228" s="2"/>
    </row>
    <row r="229" spans="1:11" ht="14.25">
      <c r="A229" t="s">
        <v>1714</v>
      </c>
      <c r="B229" s="8">
        <v>40087.708333333336</v>
      </c>
      <c r="C229" s="138">
        <v>40087.708333333336</v>
      </c>
      <c r="D229" s="144">
        <v>1610</v>
      </c>
      <c r="E229" s="21">
        <f>D229*0.02831685</f>
        <v>45.5901285</v>
      </c>
      <c r="F229" s="135">
        <v>10.1</v>
      </c>
      <c r="G229" s="135">
        <v>0.8</v>
      </c>
      <c r="H229" s="139">
        <v>0.01</v>
      </c>
      <c r="I229" s="135">
        <v>26</v>
      </c>
      <c r="J229" s="140">
        <v>71.02294531250001</v>
      </c>
      <c r="K229" s="22">
        <f>E229*F229</f>
        <v>460.46029784999996</v>
      </c>
    </row>
    <row r="230" spans="1:11" ht="14.25">
      <c r="A230" t="s">
        <v>1715</v>
      </c>
      <c r="B230" s="8">
        <v>40101.520833333336</v>
      </c>
      <c r="C230" s="138">
        <v>40101.520833333336</v>
      </c>
      <c r="D230" s="144">
        <v>1520</v>
      </c>
      <c r="E230" s="21">
        <f aca="true" t="shared" si="14" ref="E230:E255">D230*0.02831685</f>
        <v>43.041612</v>
      </c>
      <c r="F230" s="9">
        <v>10.7</v>
      </c>
      <c r="G230" s="9">
        <v>0.84</v>
      </c>
      <c r="H230" s="12">
        <v>0.01</v>
      </c>
      <c r="I230" s="9">
        <v>27.7</v>
      </c>
      <c r="J230" s="2">
        <v>72.77071354166668</v>
      </c>
      <c r="K230" s="22">
        <f aca="true" t="shared" si="15" ref="K230:K255">E230*F230</f>
        <v>460.5452484</v>
      </c>
    </row>
    <row r="231" spans="1:11" ht="14.25">
      <c r="A231" t="s">
        <v>1716</v>
      </c>
      <c r="B231" s="8">
        <v>40126.510416666664</v>
      </c>
      <c r="C231" s="138">
        <v>40126.510416666664</v>
      </c>
      <c r="D231" s="144">
        <v>1160</v>
      </c>
      <c r="E231" s="21">
        <f t="shared" si="14"/>
        <v>32.847546</v>
      </c>
      <c r="F231" s="9">
        <v>11.9</v>
      </c>
      <c r="G231" s="9">
        <v>0.88</v>
      </c>
      <c r="H231" s="12">
        <v>0.02</v>
      </c>
      <c r="I231" s="9">
        <v>30.1</v>
      </c>
      <c r="J231" s="2">
        <v>77.219578125</v>
      </c>
      <c r="K231" s="22">
        <f t="shared" si="15"/>
        <v>390.8857974</v>
      </c>
    </row>
    <row r="232" spans="1:11" ht="14.25">
      <c r="A232" t="s">
        <v>1717</v>
      </c>
      <c r="B232" s="8">
        <v>40155.53125</v>
      </c>
      <c r="C232" s="138">
        <v>40155.53125</v>
      </c>
      <c r="D232" s="49">
        <v>400</v>
      </c>
      <c r="E232" s="21">
        <f t="shared" si="14"/>
        <v>11.326740000000001</v>
      </c>
      <c r="F232" s="9">
        <v>17.44</v>
      </c>
      <c r="G232" s="9">
        <v>1.155</v>
      </c>
      <c r="H232" s="12">
        <v>0.02</v>
      </c>
      <c r="I232" s="9">
        <v>45.3</v>
      </c>
      <c r="J232" s="2">
        <v>102.95943749999999</v>
      </c>
      <c r="K232" s="22">
        <f t="shared" si="15"/>
        <v>197.53834560000004</v>
      </c>
    </row>
    <row r="233" spans="1:11" ht="14.25">
      <c r="A233" t="s">
        <v>1718</v>
      </c>
      <c r="B233" s="8">
        <v>40207.489583333336</v>
      </c>
      <c r="C233" s="138">
        <v>40207.489583333336</v>
      </c>
      <c r="D233" s="49">
        <v>630</v>
      </c>
      <c r="E233" s="21">
        <f t="shared" si="14"/>
        <v>17.8396155</v>
      </c>
      <c r="F233" s="9">
        <v>18.8</v>
      </c>
      <c r="G233" s="9">
        <v>1.22</v>
      </c>
      <c r="H233" s="12">
        <v>0.035</v>
      </c>
      <c r="I233" s="9">
        <v>49.84</v>
      </c>
      <c r="J233" s="2">
        <v>100.099453125</v>
      </c>
      <c r="K233" s="22">
        <f t="shared" si="15"/>
        <v>335.38477140000003</v>
      </c>
    </row>
    <row r="234" spans="1:11" ht="14.25">
      <c r="A234" t="s">
        <v>1719</v>
      </c>
      <c r="B234" s="8">
        <v>40234.510416666664</v>
      </c>
      <c r="C234" s="138">
        <v>40234.510416666664</v>
      </c>
      <c r="D234" s="49">
        <v>788</v>
      </c>
      <c r="E234" s="21">
        <f t="shared" si="14"/>
        <v>22.3136778</v>
      </c>
      <c r="F234" s="9">
        <v>16.84</v>
      </c>
      <c r="G234" s="9">
        <v>1.135</v>
      </c>
      <c r="H234" s="12">
        <v>0.024</v>
      </c>
      <c r="I234" s="9">
        <v>43.4</v>
      </c>
      <c r="J234" s="2">
        <v>93.58504427083334</v>
      </c>
      <c r="K234" s="22">
        <f t="shared" si="15"/>
        <v>375.762334152</v>
      </c>
    </row>
    <row r="235" spans="1:11" ht="14.25">
      <c r="A235" t="s">
        <v>1720</v>
      </c>
      <c r="B235" s="8">
        <v>40262.5625</v>
      </c>
      <c r="C235" s="138">
        <v>40262.5625</v>
      </c>
      <c r="D235" s="49">
        <v>872</v>
      </c>
      <c r="E235" s="21">
        <f t="shared" si="14"/>
        <v>24.6922932</v>
      </c>
      <c r="F235" s="9">
        <v>15</v>
      </c>
      <c r="G235" s="9">
        <v>1.03</v>
      </c>
      <c r="H235" s="12">
        <v>0.02</v>
      </c>
      <c r="I235" s="9">
        <v>38.3</v>
      </c>
      <c r="J235" s="2">
        <v>90.24839583333333</v>
      </c>
      <c r="K235" s="22">
        <f t="shared" si="15"/>
        <v>370.38439800000003</v>
      </c>
    </row>
    <row r="236" spans="1:11" ht="12.75">
      <c r="A236" t="s">
        <v>1721</v>
      </c>
      <c r="B236" s="8">
        <v>40276.510416666664</v>
      </c>
      <c r="C236" s="138">
        <v>40276.510416666664</v>
      </c>
      <c r="D236" s="49">
        <v>939</v>
      </c>
      <c r="E236" s="21">
        <f t="shared" si="14"/>
        <v>26.58952215</v>
      </c>
      <c r="F236" s="9">
        <v>14.9</v>
      </c>
      <c r="G236" s="9">
        <v>1.03</v>
      </c>
      <c r="H236" s="12">
        <v>0.02</v>
      </c>
      <c r="I236" s="9">
        <v>38.7</v>
      </c>
      <c r="J236" s="2">
        <v>85.79953125</v>
      </c>
      <c r="K236" s="22">
        <f t="shared" si="15"/>
        <v>396.183880035</v>
      </c>
    </row>
    <row r="237" spans="1:11" ht="12.75">
      <c r="A237" t="s">
        <v>1722</v>
      </c>
      <c r="B237" s="8">
        <v>40295.53125</v>
      </c>
      <c r="C237" s="138">
        <v>40295.53125</v>
      </c>
      <c r="D237" s="49">
        <v>2190</v>
      </c>
      <c r="E237" s="21">
        <f t="shared" si="14"/>
        <v>62.0139015</v>
      </c>
      <c r="F237" s="9">
        <v>6.59</v>
      </c>
      <c r="G237" s="9">
        <v>0.51</v>
      </c>
      <c r="H237" s="12" t="s">
        <v>964</v>
      </c>
      <c r="I237" s="9">
        <v>18.84</v>
      </c>
      <c r="J237" s="2">
        <v>68.00407291666667</v>
      </c>
      <c r="K237" s="22">
        <f t="shared" si="15"/>
        <v>408.671610885</v>
      </c>
    </row>
    <row r="238" spans="1:11" ht="12.75">
      <c r="A238" t="s">
        <v>1723</v>
      </c>
      <c r="B238" s="8">
        <v>40305.5</v>
      </c>
      <c r="C238" s="138">
        <v>40305.5</v>
      </c>
      <c r="D238" s="49">
        <v>1550</v>
      </c>
      <c r="E238" s="21">
        <f t="shared" si="14"/>
        <v>43.8911175</v>
      </c>
      <c r="F238" s="145">
        <v>9.43</v>
      </c>
      <c r="G238" s="145">
        <v>0.71</v>
      </c>
      <c r="H238" s="146" t="s">
        <v>964</v>
      </c>
      <c r="I238" s="145">
        <v>26</v>
      </c>
      <c r="J238" s="140">
        <v>77.53735416666666</v>
      </c>
      <c r="K238" s="22">
        <f t="shared" si="15"/>
        <v>413.89323802499996</v>
      </c>
    </row>
    <row r="239" spans="1:11" ht="12.75">
      <c r="A239" t="s">
        <v>1724</v>
      </c>
      <c r="B239" s="8">
        <v>40316.520833333336</v>
      </c>
      <c r="C239" s="138">
        <v>40316.520833333336</v>
      </c>
      <c r="D239" s="49">
        <v>5840</v>
      </c>
      <c r="E239" s="21">
        <f t="shared" si="14"/>
        <v>165.370404</v>
      </c>
      <c r="F239" s="145">
        <v>2.88</v>
      </c>
      <c r="G239" s="145">
        <v>0.28</v>
      </c>
      <c r="H239" s="146" t="s">
        <v>964</v>
      </c>
      <c r="I239" s="145">
        <v>9.42</v>
      </c>
      <c r="J239" s="140">
        <v>47.50751822916667</v>
      </c>
      <c r="K239" s="22">
        <f t="shared" si="15"/>
        <v>476.26676352</v>
      </c>
    </row>
    <row r="240" spans="1:11" ht="12.75">
      <c r="A240" t="s">
        <v>1725</v>
      </c>
      <c r="B240" s="8">
        <v>40323.5625</v>
      </c>
      <c r="C240" s="138">
        <v>40323.5625</v>
      </c>
      <c r="D240" s="49">
        <v>3840</v>
      </c>
      <c r="E240" s="21">
        <f t="shared" si="14"/>
        <v>108.736704</v>
      </c>
      <c r="F240" s="145">
        <v>4.63</v>
      </c>
      <c r="G240" s="145">
        <v>0.41</v>
      </c>
      <c r="H240" s="146" t="s">
        <v>964</v>
      </c>
      <c r="I240" s="145">
        <v>13.3</v>
      </c>
      <c r="J240" s="140">
        <v>58.94745572916668</v>
      </c>
      <c r="K240" s="22">
        <f t="shared" si="15"/>
        <v>503.45093952</v>
      </c>
    </row>
    <row r="241" spans="1:11" ht="12.75">
      <c r="A241" t="s">
        <v>1726</v>
      </c>
      <c r="B241" s="8">
        <v>40332.635416666664</v>
      </c>
      <c r="C241" s="138">
        <v>40332.635416666664</v>
      </c>
      <c r="D241" s="49">
        <v>12000</v>
      </c>
      <c r="E241" s="21">
        <f t="shared" si="14"/>
        <v>339.8022</v>
      </c>
      <c r="F241" s="145">
        <v>1.84</v>
      </c>
      <c r="G241" s="145">
        <v>0.22</v>
      </c>
      <c r="H241" s="146" t="s">
        <v>964</v>
      </c>
      <c r="I241" s="145">
        <v>6.15</v>
      </c>
      <c r="J241" s="140">
        <v>42.26421354166667</v>
      </c>
      <c r="K241" s="22">
        <f t="shared" si="15"/>
        <v>625.2360480000001</v>
      </c>
    </row>
    <row r="242" spans="1:11" ht="12.75">
      <c r="A242" t="s">
        <v>1727</v>
      </c>
      <c r="B242" s="8">
        <v>40338.53125</v>
      </c>
      <c r="C242" s="138">
        <v>40338.53125</v>
      </c>
      <c r="D242" s="49">
        <v>17200</v>
      </c>
      <c r="E242" s="21">
        <f t="shared" si="14"/>
        <v>487.04982</v>
      </c>
      <c r="F242" s="145">
        <v>1.79</v>
      </c>
      <c r="G242" s="145">
        <v>0.22</v>
      </c>
      <c r="H242" s="146" t="s">
        <v>964</v>
      </c>
      <c r="I242" s="145">
        <v>5.61</v>
      </c>
      <c r="J242" s="140">
        <v>41.94643750000001</v>
      </c>
      <c r="K242" s="22">
        <f t="shared" si="15"/>
        <v>871.8191778</v>
      </c>
    </row>
    <row r="243" spans="1:11" ht="12.75">
      <c r="A243" t="s">
        <v>1728</v>
      </c>
      <c r="B243" s="8">
        <v>40343.541666666664</v>
      </c>
      <c r="C243" s="138">
        <v>40343.541666666664</v>
      </c>
      <c r="D243" s="49">
        <v>11900</v>
      </c>
      <c r="E243" s="21">
        <f t="shared" si="14"/>
        <v>336.97051500000003</v>
      </c>
      <c r="F243" s="145">
        <v>2.95</v>
      </c>
      <c r="G243" s="145">
        <v>0.28</v>
      </c>
      <c r="H243" s="146" t="s">
        <v>964</v>
      </c>
      <c r="I243" s="145">
        <v>7.68</v>
      </c>
      <c r="J243" s="140">
        <v>44.01198177083333</v>
      </c>
      <c r="K243" s="22">
        <f t="shared" si="15"/>
        <v>994.0630192500001</v>
      </c>
    </row>
    <row r="244" spans="1:11" ht="12.75">
      <c r="A244" t="s">
        <v>1729</v>
      </c>
      <c r="B244" s="8">
        <v>40354.770833333336</v>
      </c>
      <c r="C244" s="138">
        <v>40354.770833333336</v>
      </c>
      <c r="D244" s="49">
        <v>11700</v>
      </c>
      <c r="E244" s="21">
        <f t="shared" si="14"/>
        <v>331.307145</v>
      </c>
      <c r="F244" s="145">
        <v>3.4</v>
      </c>
      <c r="G244" s="145">
        <v>0.33</v>
      </c>
      <c r="H244" s="146" t="s">
        <v>964</v>
      </c>
      <c r="I244" s="145">
        <v>8</v>
      </c>
      <c r="J244" s="140">
        <v>41.78754947916667</v>
      </c>
      <c r="K244" s="22">
        <f t="shared" si="15"/>
        <v>1126.444293</v>
      </c>
    </row>
    <row r="245" spans="1:11" ht="12.75">
      <c r="A245" t="s">
        <v>1730</v>
      </c>
      <c r="B245" s="8">
        <v>40361.489583333336</v>
      </c>
      <c r="C245" s="138">
        <v>40361.489583333336</v>
      </c>
      <c r="D245" s="49">
        <v>11100</v>
      </c>
      <c r="E245" s="21">
        <f t="shared" si="14"/>
        <v>314.31703500000003</v>
      </c>
      <c r="F245" s="145">
        <v>3.2</v>
      </c>
      <c r="G245" s="145">
        <v>0.32</v>
      </c>
      <c r="H245" s="146" t="s">
        <v>964</v>
      </c>
      <c r="I245" s="145">
        <v>8.1</v>
      </c>
      <c r="J245" s="140">
        <v>40.675333333333334</v>
      </c>
      <c r="K245" s="22">
        <f t="shared" si="15"/>
        <v>1005.8145120000001</v>
      </c>
    </row>
    <row r="246" spans="1:11" ht="12.75">
      <c r="A246" t="s">
        <v>1731</v>
      </c>
      <c r="B246" s="8">
        <v>40366.510416666664</v>
      </c>
      <c r="C246" s="138">
        <v>40366.510416666664</v>
      </c>
      <c r="D246" s="49">
        <v>8260</v>
      </c>
      <c r="E246" s="21">
        <f t="shared" si="14"/>
        <v>233.89718100000002</v>
      </c>
      <c r="F246" s="145">
        <v>4.46</v>
      </c>
      <c r="G246" s="145">
        <v>0.45</v>
      </c>
      <c r="H246" s="146" t="s">
        <v>964</v>
      </c>
      <c r="I246" s="145">
        <v>10.3</v>
      </c>
      <c r="J246" s="140">
        <v>47.03085416666667</v>
      </c>
      <c r="K246" s="22">
        <f t="shared" si="15"/>
        <v>1043.18142726</v>
      </c>
    </row>
    <row r="247" spans="1:11" ht="12.75">
      <c r="A247" t="s">
        <v>1732</v>
      </c>
      <c r="B247" s="8">
        <v>40374.604166666664</v>
      </c>
      <c r="C247" s="138">
        <v>40374.604166666664</v>
      </c>
      <c r="D247" s="49">
        <v>6370</v>
      </c>
      <c r="E247" s="21">
        <f t="shared" si="14"/>
        <v>180.3783345</v>
      </c>
      <c r="F247" s="145">
        <v>5.07</v>
      </c>
      <c r="G247" s="145">
        <v>0.49</v>
      </c>
      <c r="H247" s="146" t="s">
        <v>964</v>
      </c>
      <c r="I247" s="145">
        <v>11.8</v>
      </c>
      <c r="J247" s="140">
        <v>48.1430703125</v>
      </c>
      <c r="K247" s="22">
        <f t="shared" si="15"/>
        <v>914.518155915</v>
      </c>
    </row>
    <row r="248" spans="1:11" ht="12.75">
      <c r="A248" t="s">
        <v>1733</v>
      </c>
      <c r="B248" s="8">
        <v>40380.69097222222</v>
      </c>
      <c r="C248" s="138">
        <v>40380.69097222222</v>
      </c>
      <c r="D248" s="49">
        <v>5300</v>
      </c>
      <c r="E248" s="21">
        <f t="shared" si="14"/>
        <v>150.079305</v>
      </c>
      <c r="F248" s="145">
        <v>5.73</v>
      </c>
      <c r="G248" s="145">
        <v>0.51</v>
      </c>
      <c r="H248" s="146">
        <v>0.01</v>
      </c>
      <c r="I248" s="145">
        <v>13.7</v>
      </c>
      <c r="J248" s="140">
        <v>48.937510416666676</v>
      </c>
      <c r="K248" s="22">
        <f t="shared" si="15"/>
        <v>859.9544176500001</v>
      </c>
    </row>
    <row r="249" spans="1:11" ht="12.75">
      <c r="A249" t="s">
        <v>1734</v>
      </c>
      <c r="B249" s="8">
        <v>40387.583333333336</v>
      </c>
      <c r="C249" s="138">
        <v>40387.583333333336</v>
      </c>
      <c r="D249" s="49">
        <v>4370</v>
      </c>
      <c r="E249" s="21">
        <f t="shared" si="14"/>
        <v>123.7446345</v>
      </c>
      <c r="F249" s="145">
        <v>6.25</v>
      </c>
      <c r="G249" s="145">
        <v>0.56</v>
      </c>
      <c r="H249" s="146">
        <v>0.01</v>
      </c>
      <c r="I249" s="145">
        <v>14.5</v>
      </c>
      <c r="J249" s="140">
        <v>51.797494791666665</v>
      </c>
      <c r="K249" s="22">
        <f t="shared" si="15"/>
        <v>773.4039656250001</v>
      </c>
    </row>
    <row r="250" spans="1:11" ht="12.75">
      <c r="A250" t="s">
        <v>1735</v>
      </c>
      <c r="B250" s="8">
        <v>40394.45138888889</v>
      </c>
      <c r="C250" s="138">
        <v>40394.45138888889</v>
      </c>
      <c r="D250" s="49">
        <v>3660</v>
      </c>
      <c r="E250" s="21">
        <f t="shared" si="14"/>
        <v>103.639671</v>
      </c>
      <c r="F250" s="145">
        <v>6.52</v>
      </c>
      <c r="G250" s="145">
        <v>0.59</v>
      </c>
      <c r="H250" s="146" t="s">
        <v>964</v>
      </c>
      <c r="I250" s="145">
        <v>14.7</v>
      </c>
      <c r="J250" s="140">
        <v>54.021927083333345</v>
      </c>
      <c r="K250" s="22">
        <f t="shared" si="15"/>
        <v>675.73065492</v>
      </c>
    </row>
    <row r="251" spans="1:11" ht="12.75">
      <c r="A251" t="s">
        <v>1736</v>
      </c>
      <c r="B251" s="8">
        <v>40403.430555555555</v>
      </c>
      <c r="C251" s="138">
        <v>40403.430555555555</v>
      </c>
      <c r="D251" s="49">
        <v>3010</v>
      </c>
      <c r="E251" s="21">
        <f t="shared" si="14"/>
        <v>85.23371850000001</v>
      </c>
      <c r="F251" s="145">
        <v>7.14</v>
      </c>
      <c r="G251" s="145">
        <v>0.62</v>
      </c>
      <c r="H251" s="146" t="s">
        <v>964</v>
      </c>
      <c r="I251" s="145">
        <v>16.9</v>
      </c>
      <c r="J251" s="140">
        <v>57.99412760416667</v>
      </c>
      <c r="K251" s="22">
        <f t="shared" si="15"/>
        <v>608.5687500900001</v>
      </c>
    </row>
    <row r="252" spans="1:11" ht="12.75">
      <c r="A252" t="s">
        <v>1737</v>
      </c>
      <c r="B252" s="8">
        <v>40408.510416666664</v>
      </c>
      <c r="C252" s="138">
        <v>40408.510416666664</v>
      </c>
      <c r="D252" s="49">
        <v>2660</v>
      </c>
      <c r="E252" s="21">
        <f t="shared" si="14"/>
        <v>75.322821</v>
      </c>
      <c r="F252" s="145">
        <v>7.6</v>
      </c>
      <c r="G252" s="145">
        <v>0.66</v>
      </c>
      <c r="H252" s="146">
        <v>0.01</v>
      </c>
      <c r="I252" s="145">
        <v>17.8</v>
      </c>
      <c r="J252" s="140">
        <v>57.99412760416667</v>
      </c>
      <c r="K252" s="22">
        <f t="shared" si="15"/>
        <v>572.4534396</v>
      </c>
    </row>
    <row r="253" spans="1:11" ht="12.75">
      <c r="A253" t="s">
        <v>1738</v>
      </c>
      <c r="B253" s="8">
        <v>40415.520833333336</v>
      </c>
      <c r="C253" s="138">
        <v>40415.520833333336</v>
      </c>
      <c r="D253" s="49">
        <v>2300</v>
      </c>
      <c r="E253" s="21">
        <f t="shared" si="14"/>
        <v>65.128755</v>
      </c>
      <c r="F253" s="145">
        <v>8.12</v>
      </c>
      <c r="G253" s="145">
        <v>0.69</v>
      </c>
      <c r="H253" s="146" t="s">
        <v>964</v>
      </c>
      <c r="I253" s="145">
        <v>18.8</v>
      </c>
      <c r="J253" s="140">
        <v>60.69522395833334</v>
      </c>
      <c r="K253" s="22">
        <f t="shared" si="15"/>
        <v>528.8454906</v>
      </c>
    </row>
    <row r="254" spans="1:11" ht="12.75">
      <c r="A254" t="s">
        <v>1739</v>
      </c>
      <c r="B254" s="8">
        <v>40430.541666666664</v>
      </c>
      <c r="C254" s="138">
        <v>40430.541666666664</v>
      </c>
      <c r="D254" s="49">
        <v>1820</v>
      </c>
      <c r="E254" s="21">
        <f t="shared" si="14"/>
        <v>51.536667</v>
      </c>
      <c r="F254" s="145">
        <v>9.2</v>
      </c>
      <c r="G254" s="145">
        <v>0.75</v>
      </c>
      <c r="H254" s="146">
        <v>0.01</v>
      </c>
      <c r="I254" s="145">
        <v>22</v>
      </c>
      <c r="J254" s="140">
        <v>66.25630468749999</v>
      </c>
      <c r="K254" s="22">
        <f t="shared" si="15"/>
        <v>474.1373364</v>
      </c>
    </row>
    <row r="255" spans="1:11" ht="12.75">
      <c r="A255" t="s">
        <v>1740</v>
      </c>
      <c r="B255" s="8">
        <v>40445.489583333336</v>
      </c>
      <c r="C255" s="138">
        <v>40445.489583333336</v>
      </c>
      <c r="D255" s="49">
        <v>1480</v>
      </c>
      <c r="E255" s="21">
        <f t="shared" si="14"/>
        <v>41.908938</v>
      </c>
      <c r="F255" s="145">
        <v>10.6</v>
      </c>
      <c r="G255" s="145">
        <v>0.83</v>
      </c>
      <c r="H255" s="146">
        <v>0.02</v>
      </c>
      <c r="I255" s="145">
        <v>25.4</v>
      </c>
      <c r="J255" s="140">
        <v>72.77071354166668</v>
      </c>
      <c r="K255" s="22">
        <f t="shared" si="15"/>
        <v>444.2347428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2"/>
  <sheetViews>
    <sheetView zoomScale="125" zoomScaleNormal="12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6.421875" style="113" customWidth="1"/>
    <col min="2" max="2" width="17.7109375" style="108" customWidth="1"/>
    <col min="3" max="3" width="11.421875" style="97" bestFit="1" customWidth="1"/>
    <col min="4" max="5" width="11.421875" style="97" customWidth="1"/>
    <col min="6" max="7" width="9.140625" style="99" customWidth="1"/>
    <col min="8" max="8" width="11.421875" style="98" customWidth="1"/>
    <col min="9" max="9" width="9.140625" style="99" customWidth="1"/>
    <col min="10" max="10" width="11.421875" style="97" customWidth="1"/>
    <col min="11" max="11" width="9.140625" style="100" customWidth="1"/>
  </cols>
  <sheetData>
    <row r="1" spans="1:10" ht="21" customHeight="1">
      <c r="A1" s="82" t="s">
        <v>57</v>
      </c>
      <c r="B1" s="95"/>
      <c r="I1" s="99" t="s">
        <v>784</v>
      </c>
      <c r="J1" s="32" t="s">
        <v>784</v>
      </c>
    </row>
    <row r="2" spans="1:2" ht="15" customHeight="1">
      <c r="A2" s="113" t="s">
        <v>442</v>
      </c>
      <c r="B2" s="95"/>
    </row>
    <row r="3" spans="1:11" ht="15.75">
      <c r="A3" s="82" t="s">
        <v>524</v>
      </c>
      <c r="B3" s="84" t="s">
        <v>1644</v>
      </c>
      <c r="C3" s="78" t="s">
        <v>1540</v>
      </c>
      <c r="D3" s="78" t="s">
        <v>970</v>
      </c>
      <c r="E3" s="79" t="s">
        <v>970</v>
      </c>
      <c r="F3" s="79" t="s">
        <v>324</v>
      </c>
      <c r="G3" s="79" t="s">
        <v>325</v>
      </c>
      <c r="H3" s="80" t="s">
        <v>326</v>
      </c>
      <c r="I3" s="79" t="s">
        <v>327</v>
      </c>
      <c r="J3" s="58" t="s">
        <v>971</v>
      </c>
      <c r="K3" s="58" t="s">
        <v>328</v>
      </c>
    </row>
    <row r="4" spans="2:11" ht="14.25">
      <c r="B4" s="95"/>
      <c r="C4" s="97" t="s">
        <v>735</v>
      </c>
      <c r="D4" s="97" t="s">
        <v>968</v>
      </c>
      <c r="E4" s="99" t="s">
        <v>271</v>
      </c>
      <c r="F4" s="99" t="s">
        <v>969</v>
      </c>
      <c r="G4" s="99" t="s">
        <v>969</v>
      </c>
      <c r="H4" s="98" t="s">
        <v>969</v>
      </c>
      <c r="I4" s="99" t="s">
        <v>969</v>
      </c>
      <c r="J4" s="100" t="s">
        <v>969</v>
      </c>
      <c r="K4" s="100" t="s">
        <v>783</v>
      </c>
    </row>
    <row r="5" spans="1:10" ht="12.75">
      <c r="A5" s="82" t="s">
        <v>960</v>
      </c>
      <c r="B5" s="95"/>
      <c r="E5" s="99"/>
      <c r="J5" s="100"/>
    </row>
    <row r="6" spans="1:11" ht="12.75">
      <c r="A6" s="113" t="s">
        <v>1579</v>
      </c>
      <c r="B6" s="95">
        <v>37299</v>
      </c>
      <c r="C6" s="119">
        <v>0.75</v>
      </c>
      <c r="D6" s="101">
        <v>320</v>
      </c>
      <c r="E6" s="99">
        <f>0.028317*D6</f>
        <v>9.06144</v>
      </c>
      <c r="F6" s="99">
        <v>14</v>
      </c>
      <c r="G6" s="99">
        <v>3.4</v>
      </c>
      <c r="H6" s="98">
        <v>0.033</v>
      </c>
      <c r="I6" s="99">
        <v>3.6</v>
      </c>
      <c r="J6" s="100">
        <v>84.05176302083333</v>
      </c>
      <c r="K6" s="100">
        <f>E6*F6</f>
        <v>126.86016</v>
      </c>
    </row>
    <row r="7" spans="1:11" ht="12.75">
      <c r="A7" s="113" t="s">
        <v>1580</v>
      </c>
      <c r="B7" s="95">
        <v>37335</v>
      </c>
      <c r="C7" s="119">
        <v>0.49652777777777773</v>
      </c>
      <c r="D7" s="101">
        <v>274</v>
      </c>
      <c r="E7" s="99">
        <f>0.028317*D7</f>
        <v>7.758857999999999</v>
      </c>
      <c r="F7" s="99">
        <v>16</v>
      </c>
      <c r="G7" s="99">
        <v>3.8</v>
      </c>
      <c r="H7" s="98">
        <v>0.035</v>
      </c>
      <c r="I7" s="99">
        <v>4.1</v>
      </c>
      <c r="J7" s="100">
        <v>93.10838020833334</v>
      </c>
      <c r="K7" s="100">
        <f aca="true" t="shared" si="0" ref="K7:K70">E7*F7</f>
        <v>124.14172799999999</v>
      </c>
    </row>
    <row r="8" spans="1:11" ht="12.75">
      <c r="A8" s="113" t="s">
        <v>1581</v>
      </c>
      <c r="B8" s="95">
        <v>37356</v>
      </c>
      <c r="C8" s="119">
        <v>0.46875</v>
      </c>
      <c r="D8" s="101">
        <v>640</v>
      </c>
      <c r="E8" s="99">
        <v>18.122784</v>
      </c>
      <c r="F8" s="99">
        <v>12</v>
      </c>
      <c r="G8" s="99">
        <v>2.7</v>
      </c>
      <c r="H8" s="98" t="s">
        <v>381</v>
      </c>
      <c r="I8" s="99">
        <v>3.8</v>
      </c>
      <c r="J8" s="100">
        <v>75.63069791666668</v>
      </c>
      <c r="K8" s="100">
        <f t="shared" si="0"/>
        <v>217.473408</v>
      </c>
    </row>
    <row r="9" spans="1:11" ht="12.75">
      <c r="A9" s="113" t="s">
        <v>1582</v>
      </c>
      <c r="B9" s="95">
        <v>37363</v>
      </c>
      <c r="C9" s="119">
        <v>0.5868055555555556</v>
      </c>
      <c r="D9" s="101">
        <v>756</v>
      </c>
      <c r="E9" s="99">
        <v>21.407538600000002</v>
      </c>
      <c r="F9" s="99">
        <v>11</v>
      </c>
      <c r="G9" s="99">
        <v>2.1</v>
      </c>
      <c r="H9" s="98">
        <v>0.029</v>
      </c>
      <c r="I9" s="99">
        <v>3.5</v>
      </c>
      <c r="J9" s="100">
        <v>67.84518489583334</v>
      </c>
      <c r="K9" s="100">
        <f t="shared" si="0"/>
        <v>235.48292460000002</v>
      </c>
    </row>
    <row r="10" spans="1:11" ht="12.75">
      <c r="A10" s="113" t="s">
        <v>1583</v>
      </c>
      <c r="B10" s="95">
        <v>37370</v>
      </c>
      <c r="C10" s="119">
        <v>0.3680555555555556</v>
      </c>
      <c r="D10" s="101">
        <v>716</v>
      </c>
      <c r="E10" s="99">
        <v>20.2748646</v>
      </c>
      <c r="F10" s="99">
        <v>12</v>
      </c>
      <c r="G10" s="99">
        <v>2</v>
      </c>
      <c r="H10" s="98">
        <v>0.022</v>
      </c>
      <c r="I10" s="99">
        <v>4</v>
      </c>
      <c r="J10" s="100">
        <v>81.03289062500001</v>
      </c>
      <c r="K10" s="100">
        <f t="shared" si="0"/>
        <v>243.2983752</v>
      </c>
    </row>
    <row r="11" spans="1:11" ht="12.75">
      <c r="A11" s="113" t="s">
        <v>1584</v>
      </c>
      <c r="B11" s="95">
        <v>37377</v>
      </c>
      <c r="C11" s="119">
        <v>0.3993055555555556</v>
      </c>
      <c r="D11" s="101">
        <v>1690</v>
      </c>
      <c r="E11" s="99">
        <v>47.8554765</v>
      </c>
      <c r="F11" s="99">
        <v>6.4</v>
      </c>
      <c r="G11" s="99">
        <v>1.2</v>
      </c>
      <c r="H11" s="98" t="s">
        <v>381</v>
      </c>
      <c r="I11" s="99">
        <v>2.5</v>
      </c>
      <c r="J11" s="100">
        <v>44.806421875</v>
      </c>
      <c r="K11" s="100">
        <f t="shared" si="0"/>
        <v>306.27504960000005</v>
      </c>
    </row>
    <row r="12" spans="1:11" ht="12.75">
      <c r="A12" s="113" t="s">
        <v>1585</v>
      </c>
      <c r="B12" s="95">
        <v>37384</v>
      </c>
      <c r="C12" s="119">
        <v>0.4236111111111111</v>
      </c>
      <c r="D12" s="97">
        <v>1230</v>
      </c>
      <c r="E12" s="99">
        <v>34.8297255</v>
      </c>
      <c r="F12" s="99">
        <v>6.3</v>
      </c>
      <c r="G12" s="99">
        <v>1.4</v>
      </c>
      <c r="H12" s="98" t="s">
        <v>381</v>
      </c>
      <c r="I12" s="99">
        <v>2.9</v>
      </c>
      <c r="J12" s="100">
        <v>53.22748697916667</v>
      </c>
      <c r="K12" s="100">
        <f t="shared" si="0"/>
        <v>219.42727065</v>
      </c>
    </row>
    <row r="13" spans="1:11" ht="12.75">
      <c r="A13" s="113" t="s">
        <v>1586</v>
      </c>
      <c r="B13" s="95">
        <v>37391</v>
      </c>
      <c r="C13" s="119">
        <v>0.5069444444444444</v>
      </c>
      <c r="D13" s="97">
        <v>1900</v>
      </c>
      <c r="E13" s="99">
        <v>53.802015000000004</v>
      </c>
      <c r="F13" s="99">
        <v>4.1</v>
      </c>
      <c r="G13" s="99">
        <v>1.2</v>
      </c>
      <c r="H13" s="98" t="s">
        <v>381</v>
      </c>
      <c r="I13" s="99">
        <v>2.1</v>
      </c>
      <c r="J13" s="100">
        <v>36.7031328125</v>
      </c>
      <c r="K13" s="100">
        <f t="shared" si="0"/>
        <v>220.5882615</v>
      </c>
    </row>
    <row r="14" spans="1:11" ht="12.75">
      <c r="A14" s="113" t="s">
        <v>1587</v>
      </c>
      <c r="B14" s="95">
        <v>37398</v>
      </c>
      <c r="C14" s="119">
        <v>0.5902777777777778</v>
      </c>
      <c r="D14" s="97">
        <v>2480</v>
      </c>
      <c r="E14" s="99">
        <v>70.22578800000001</v>
      </c>
      <c r="F14" s="99">
        <v>3.7</v>
      </c>
      <c r="G14" s="99">
        <v>0.99</v>
      </c>
      <c r="H14" s="98" t="s">
        <v>381</v>
      </c>
      <c r="I14" s="99">
        <v>2.1</v>
      </c>
      <c r="J14" s="100">
        <v>34.955364583333335</v>
      </c>
      <c r="K14" s="100">
        <f t="shared" si="0"/>
        <v>259.83541560000003</v>
      </c>
    </row>
    <row r="15" spans="1:11" ht="12.75">
      <c r="A15" s="113" t="s">
        <v>1588</v>
      </c>
      <c r="B15" s="95">
        <v>37405</v>
      </c>
      <c r="C15" s="119">
        <v>0.3680555555555556</v>
      </c>
      <c r="D15" s="97">
        <v>1980</v>
      </c>
      <c r="E15" s="99">
        <v>56.067363</v>
      </c>
      <c r="F15" s="99">
        <v>3.9</v>
      </c>
      <c r="G15" s="99">
        <v>1.2</v>
      </c>
      <c r="H15" s="98" t="s">
        <v>381</v>
      </c>
      <c r="I15" s="99">
        <v>2.2</v>
      </c>
      <c r="J15" s="100">
        <v>37.97423697916667</v>
      </c>
      <c r="K15" s="100">
        <f t="shared" si="0"/>
        <v>218.6627157</v>
      </c>
    </row>
    <row r="16" spans="1:11" ht="12.75">
      <c r="A16" s="113" t="s">
        <v>1589</v>
      </c>
      <c r="B16" s="95">
        <v>37412</v>
      </c>
      <c r="C16" s="119">
        <v>0.8611111111111112</v>
      </c>
      <c r="D16" s="97">
        <v>2640</v>
      </c>
      <c r="E16" s="99">
        <v>74.756484</v>
      </c>
      <c r="F16" s="99">
        <v>3.2</v>
      </c>
      <c r="G16" s="99">
        <v>0.98</v>
      </c>
      <c r="H16" s="98" t="s">
        <v>381</v>
      </c>
      <c r="I16" s="99">
        <v>1.8</v>
      </c>
      <c r="J16" s="100">
        <v>30.76072083333333</v>
      </c>
      <c r="K16" s="100">
        <f t="shared" si="0"/>
        <v>239.22074880000002</v>
      </c>
    </row>
    <row r="17" spans="1:11" ht="12.75">
      <c r="A17" s="113" t="s">
        <v>1590</v>
      </c>
      <c r="B17" s="95">
        <v>37419</v>
      </c>
      <c r="C17" s="119">
        <v>0.3854166666666667</v>
      </c>
      <c r="D17" s="97">
        <v>1560</v>
      </c>
      <c r="E17" s="99">
        <v>44.174286</v>
      </c>
      <c r="F17" s="99">
        <v>5.3</v>
      </c>
      <c r="G17" s="99">
        <v>1.5</v>
      </c>
      <c r="H17" s="98" t="s">
        <v>381</v>
      </c>
      <c r="I17" s="99">
        <v>2.4</v>
      </c>
      <c r="J17" s="100">
        <v>43.53531770833333</v>
      </c>
      <c r="K17" s="100">
        <f t="shared" si="0"/>
        <v>234.1237158</v>
      </c>
    </row>
    <row r="18" spans="1:11" ht="12.75">
      <c r="A18" s="113" t="s">
        <v>1591</v>
      </c>
      <c r="B18" s="95">
        <v>37433</v>
      </c>
      <c r="C18" s="119">
        <v>0.34027777777777773</v>
      </c>
      <c r="D18" s="97">
        <v>1570</v>
      </c>
      <c r="E18" s="99">
        <v>44.457454500000004</v>
      </c>
      <c r="F18" s="99">
        <v>4.2</v>
      </c>
      <c r="G18" s="99">
        <v>1.5</v>
      </c>
      <c r="H18" s="98" t="s">
        <v>381</v>
      </c>
      <c r="I18" s="99">
        <v>2</v>
      </c>
      <c r="J18" s="100">
        <v>37.81534895833334</v>
      </c>
      <c r="K18" s="100">
        <f t="shared" si="0"/>
        <v>186.72130890000003</v>
      </c>
    </row>
    <row r="19" spans="1:11" ht="12.75">
      <c r="A19" s="113" t="s">
        <v>1592</v>
      </c>
      <c r="B19" s="95">
        <v>37440</v>
      </c>
      <c r="C19" s="119">
        <v>0.6597222222222222</v>
      </c>
      <c r="D19" s="97">
        <v>839</v>
      </c>
      <c r="E19" s="99">
        <v>23.75783715</v>
      </c>
      <c r="F19" s="99">
        <v>7</v>
      </c>
      <c r="G19" s="99">
        <v>2.2</v>
      </c>
      <c r="H19" s="98">
        <v>0.02</v>
      </c>
      <c r="I19" s="99">
        <v>3.2</v>
      </c>
      <c r="J19" s="100">
        <v>54.816367187500006</v>
      </c>
      <c r="K19" s="100">
        <f t="shared" si="0"/>
        <v>166.30486005</v>
      </c>
    </row>
    <row r="20" spans="1:11" ht="12.75">
      <c r="A20" s="113" t="s">
        <v>1593</v>
      </c>
      <c r="B20" s="95">
        <v>37447</v>
      </c>
      <c r="C20" s="119">
        <v>0.2534722222222222</v>
      </c>
      <c r="D20" s="97">
        <v>693</v>
      </c>
      <c r="E20" s="99">
        <v>19.62357705</v>
      </c>
      <c r="F20" s="99">
        <v>8.3</v>
      </c>
      <c r="G20" s="99">
        <v>2.8</v>
      </c>
      <c r="H20" s="98">
        <v>0.02</v>
      </c>
      <c r="I20" s="99">
        <v>2.9</v>
      </c>
      <c r="J20" s="100">
        <v>62.919656249999996</v>
      </c>
      <c r="K20" s="100">
        <f t="shared" si="0"/>
        <v>162.87568951500003</v>
      </c>
    </row>
    <row r="21" spans="1:11" ht="12.75">
      <c r="A21" s="113" t="s">
        <v>1594</v>
      </c>
      <c r="B21" s="95">
        <v>37454</v>
      </c>
      <c r="C21" s="119">
        <v>0.40277777777777773</v>
      </c>
      <c r="D21" s="97">
        <v>708</v>
      </c>
      <c r="E21" s="99">
        <v>20.0483298</v>
      </c>
      <c r="F21" s="99">
        <v>8</v>
      </c>
      <c r="G21" s="99">
        <v>2.7</v>
      </c>
      <c r="H21" s="98">
        <v>0.023</v>
      </c>
      <c r="I21" s="99">
        <v>2.8</v>
      </c>
      <c r="J21" s="100">
        <v>60.854111979166674</v>
      </c>
      <c r="K21" s="100">
        <f t="shared" si="0"/>
        <v>160.3866384</v>
      </c>
    </row>
    <row r="22" spans="1:11" ht="12.75">
      <c r="A22" s="113" t="s">
        <v>1595</v>
      </c>
      <c r="B22" s="95">
        <v>37461</v>
      </c>
      <c r="C22" s="119">
        <v>0.8118055555555556</v>
      </c>
      <c r="D22" s="97">
        <v>670</v>
      </c>
      <c r="E22" s="99">
        <v>18.972289500000002</v>
      </c>
      <c r="F22" s="99">
        <v>8.1</v>
      </c>
      <c r="G22" s="99">
        <v>2.8</v>
      </c>
      <c r="H22" s="98">
        <v>0.03</v>
      </c>
      <c r="I22" s="99">
        <v>3</v>
      </c>
      <c r="J22" s="100">
        <v>63.872984375</v>
      </c>
      <c r="K22" s="100">
        <f t="shared" si="0"/>
        <v>153.67554495000002</v>
      </c>
    </row>
    <row r="23" spans="1:11" ht="12.75">
      <c r="A23" s="113" t="s">
        <v>1596</v>
      </c>
      <c r="B23" s="95">
        <v>37496</v>
      </c>
      <c r="C23" s="119">
        <v>0.2951388888888889</v>
      </c>
      <c r="D23" s="97">
        <v>628</v>
      </c>
      <c r="E23" s="99">
        <v>17.7829818</v>
      </c>
      <c r="F23" s="99">
        <v>8.7</v>
      </c>
      <c r="G23" s="99">
        <v>2.8</v>
      </c>
      <c r="H23" s="98">
        <v>0.027</v>
      </c>
      <c r="I23" s="99">
        <v>4.3</v>
      </c>
      <c r="J23" s="100">
        <v>99.78167708333332</v>
      </c>
      <c r="K23" s="100">
        <f t="shared" si="0"/>
        <v>154.71194166</v>
      </c>
    </row>
    <row r="24" spans="1:11" ht="12.75">
      <c r="A24" s="113" t="s">
        <v>1597</v>
      </c>
      <c r="B24" s="95">
        <v>37510</v>
      </c>
      <c r="C24" s="119">
        <v>0.34722222222222227</v>
      </c>
      <c r="D24" s="97">
        <v>532</v>
      </c>
      <c r="E24" s="99">
        <v>15.064564200000001</v>
      </c>
      <c r="F24" s="99">
        <v>10</v>
      </c>
      <c r="G24" s="99">
        <v>3.1</v>
      </c>
      <c r="H24" s="98">
        <v>0.028</v>
      </c>
      <c r="I24" s="99">
        <v>3.7</v>
      </c>
      <c r="J24" s="100">
        <v>78.33179427083334</v>
      </c>
      <c r="K24" s="100">
        <f t="shared" si="0"/>
        <v>150.645642</v>
      </c>
    </row>
    <row r="25" spans="1:11" ht="12.75">
      <c r="A25" s="113" t="s">
        <v>785</v>
      </c>
      <c r="B25" s="95">
        <v>37529</v>
      </c>
      <c r="C25" s="119">
        <v>0.4201388888888889</v>
      </c>
      <c r="D25" s="97">
        <v>510</v>
      </c>
      <c r="E25" s="99">
        <v>14.4415935</v>
      </c>
      <c r="F25" s="99">
        <v>10</v>
      </c>
      <c r="G25" s="99">
        <v>3</v>
      </c>
      <c r="H25" s="98">
        <v>0.033</v>
      </c>
      <c r="I25" s="99">
        <v>4</v>
      </c>
      <c r="J25" s="100">
        <v>90.40728385416666</v>
      </c>
      <c r="K25" s="100">
        <f t="shared" si="0"/>
        <v>144.415935</v>
      </c>
    </row>
    <row r="26" spans="1:10" ht="12.75">
      <c r="A26" s="82" t="s">
        <v>961</v>
      </c>
      <c r="B26" s="95"/>
      <c r="E26" s="99"/>
      <c r="J26" s="100"/>
    </row>
    <row r="27" spans="1:11" ht="12.75">
      <c r="A27" s="113" t="s">
        <v>1197</v>
      </c>
      <c r="B27" s="95">
        <v>37537</v>
      </c>
      <c r="C27" s="119">
        <v>0.37152777777777773</v>
      </c>
      <c r="D27" s="97">
        <v>505</v>
      </c>
      <c r="E27" s="99">
        <v>14.30000925</v>
      </c>
      <c r="F27" s="99">
        <v>11</v>
      </c>
      <c r="G27" s="99">
        <v>3.3</v>
      </c>
      <c r="H27" s="98">
        <v>0.035</v>
      </c>
      <c r="I27" s="99">
        <v>3.7</v>
      </c>
      <c r="J27" s="100">
        <v>79.76178645833333</v>
      </c>
      <c r="K27" s="100">
        <f t="shared" si="0"/>
        <v>157.30010175</v>
      </c>
    </row>
    <row r="28" spans="1:11" ht="12.75">
      <c r="A28" s="113" t="s">
        <v>1198</v>
      </c>
      <c r="B28" s="95">
        <v>37553</v>
      </c>
      <c r="C28" s="119">
        <v>0.7118055555555555</v>
      </c>
      <c r="D28" s="97">
        <v>541</v>
      </c>
      <c r="E28" s="99">
        <v>15.31941585</v>
      </c>
      <c r="F28" s="99">
        <v>11</v>
      </c>
      <c r="G28" s="99">
        <v>3</v>
      </c>
      <c r="H28" s="98">
        <v>0.032</v>
      </c>
      <c r="I28" s="99">
        <v>3.7</v>
      </c>
      <c r="J28" s="100">
        <v>85.00509114583332</v>
      </c>
      <c r="K28" s="100">
        <f t="shared" si="0"/>
        <v>168.51357435</v>
      </c>
    </row>
    <row r="29" spans="1:11" ht="12.75">
      <c r="A29" s="113" t="s">
        <v>1199</v>
      </c>
      <c r="B29" s="95">
        <v>37608</v>
      </c>
      <c r="C29" s="119">
        <v>0.4618055555555556</v>
      </c>
      <c r="D29" s="97">
        <v>416</v>
      </c>
      <c r="E29" s="99">
        <v>11.7798096</v>
      </c>
      <c r="F29" s="99">
        <v>13</v>
      </c>
      <c r="G29" s="99">
        <v>3.4</v>
      </c>
      <c r="H29" s="98">
        <v>0.036</v>
      </c>
      <c r="I29" s="99">
        <v>3.5</v>
      </c>
      <c r="J29" s="100">
        <v>79.28512239583334</v>
      </c>
      <c r="K29" s="100">
        <f t="shared" si="0"/>
        <v>153.1375248</v>
      </c>
    </row>
    <row r="30" spans="1:11" ht="12.75">
      <c r="A30" s="113" t="s">
        <v>1200</v>
      </c>
      <c r="B30" s="95">
        <v>37685</v>
      </c>
      <c r="C30" s="119">
        <v>0.5347222222222222</v>
      </c>
      <c r="D30" s="101">
        <v>429</v>
      </c>
      <c r="E30" s="99">
        <v>12.14792865</v>
      </c>
      <c r="F30" s="99">
        <v>15.3</v>
      </c>
      <c r="G30" s="99">
        <v>3.63</v>
      </c>
      <c r="H30" s="98">
        <v>0.03</v>
      </c>
      <c r="I30" s="99">
        <v>3.58</v>
      </c>
      <c r="J30" s="100">
        <v>86.11730729166666</v>
      </c>
      <c r="K30" s="100">
        <f t="shared" si="0"/>
        <v>185.863308345</v>
      </c>
    </row>
    <row r="31" spans="1:11" ht="12.75">
      <c r="A31" s="113" t="s">
        <v>1201</v>
      </c>
      <c r="B31" s="95">
        <v>37699</v>
      </c>
      <c r="C31" s="119">
        <v>0.4444444444444444</v>
      </c>
      <c r="D31" s="101">
        <v>420</v>
      </c>
      <c r="E31" s="99">
        <v>11.893077</v>
      </c>
      <c r="F31" s="99">
        <v>14.7</v>
      </c>
      <c r="G31" s="99">
        <v>3.29</v>
      </c>
      <c r="H31" s="98">
        <v>0.03</v>
      </c>
      <c r="I31" s="99">
        <v>3.54</v>
      </c>
      <c r="J31" s="100">
        <v>83.25732291666667</v>
      </c>
      <c r="K31" s="100">
        <f t="shared" si="0"/>
        <v>174.8282319</v>
      </c>
    </row>
    <row r="32" spans="1:11" ht="12.75">
      <c r="A32" s="113" t="s">
        <v>1202</v>
      </c>
      <c r="B32" s="95">
        <v>37720</v>
      </c>
      <c r="C32" s="119">
        <v>0.7534722222222222</v>
      </c>
      <c r="D32" s="101">
        <v>461</v>
      </c>
      <c r="E32" s="99">
        <v>13.054067850000001</v>
      </c>
      <c r="F32" s="99">
        <v>14.1</v>
      </c>
      <c r="G32" s="99">
        <v>3.17</v>
      </c>
      <c r="H32" s="98">
        <v>0.03</v>
      </c>
      <c r="I32" s="99">
        <v>3.48</v>
      </c>
      <c r="J32" s="100">
        <v>89.29506770833333</v>
      </c>
      <c r="K32" s="100">
        <f t="shared" si="0"/>
        <v>184.062356685</v>
      </c>
    </row>
    <row r="33" spans="1:11" ht="12.75">
      <c r="A33" s="113" t="s">
        <v>1203</v>
      </c>
      <c r="B33" s="95">
        <v>37727</v>
      </c>
      <c r="C33" s="119">
        <v>0.7048611111111112</v>
      </c>
      <c r="D33" s="101">
        <v>874</v>
      </c>
      <c r="E33" s="99">
        <v>24.7489269</v>
      </c>
      <c r="F33" s="99">
        <v>10</v>
      </c>
      <c r="G33" s="99">
        <v>2.07</v>
      </c>
      <c r="H33" s="98" t="s">
        <v>964</v>
      </c>
      <c r="I33" s="99">
        <v>2.89</v>
      </c>
      <c r="J33" s="100">
        <v>62.919656249999996</v>
      </c>
      <c r="K33" s="100">
        <f t="shared" si="0"/>
        <v>247.489269</v>
      </c>
    </row>
    <row r="34" spans="1:11" ht="12.75">
      <c r="A34" s="113" t="s">
        <v>1204</v>
      </c>
      <c r="B34" s="95">
        <v>37734</v>
      </c>
      <c r="C34" s="119">
        <v>0.6284722222222222</v>
      </c>
      <c r="D34" s="101">
        <v>1300</v>
      </c>
      <c r="E34" s="99">
        <v>36.811905</v>
      </c>
      <c r="F34" s="99">
        <v>8.68</v>
      </c>
      <c r="G34" s="99">
        <v>1.62</v>
      </c>
      <c r="H34" s="98" t="s">
        <v>964</v>
      </c>
      <c r="I34" s="99">
        <v>2.44</v>
      </c>
      <c r="J34" s="100">
        <v>50.208614583333336</v>
      </c>
      <c r="K34" s="100">
        <f t="shared" si="0"/>
        <v>319.5273354</v>
      </c>
    </row>
    <row r="35" spans="1:11" ht="12.75">
      <c r="A35" s="113" t="s">
        <v>1205</v>
      </c>
      <c r="B35" s="95">
        <v>37741</v>
      </c>
      <c r="C35" s="119">
        <v>0.8055555555555555</v>
      </c>
      <c r="D35" s="101">
        <v>1200</v>
      </c>
      <c r="E35" s="99">
        <v>33.98022</v>
      </c>
      <c r="F35" s="99">
        <v>7.54</v>
      </c>
      <c r="G35" s="99">
        <v>1.46</v>
      </c>
      <c r="H35" s="98" t="s">
        <v>964</v>
      </c>
      <c r="I35" s="99">
        <v>3.35</v>
      </c>
      <c r="J35" s="100">
        <v>75.312921875</v>
      </c>
      <c r="K35" s="100">
        <f t="shared" si="0"/>
        <v>256.21085880000004</v>
      </c>
    </row>
    <row r="36" spans="1:11" ht="12.75">
      <c r="A36" s="113" t="s">
        <v>1206</v>
      </c>
      <c r="B36" s="95">
        <v>37749</v>
      </c>
      <c r="C36" s="119">
        <v>0.3055555555555555</v>
      </c>
      <c r="D36" s="101">
        <v>1320</v>
      </c>
      <c r="E36" s="99">
        <v>37.378242</v>
      </c>
      <c r="F36" s="99">
        <v>7</v>
      </c>
      <c r="G36" s="99">
        <v>1.4</v>
      </c>
      <c r="H36" s="98">
        <v>0.01</v>
      </c>
      <c r="I36" s="99">
        <v>2.95</v>
      </c>
      <c r="J36" s="100">
        <v>67.36852083333333</v>
      </c>
      <c r="K36" s="100">
        <f t="shared" si="0"/>
        <v>261.647694</v>
      </c>
    </row>
    <row r="37" spans="1:11" ht="12.75">
      <c r="A37" s="113" t="s">
        <v>1207</v>
      </c>
      <c r="B37" s="95">
        <v>37755</v>
      </c>
      <c r="C37" s="119">
        <v>0.6597222222222222</v>
      </c>
      <c r="D37" s="101">
        <v>1850</v>
      </c>
      <c r="E37" s="99">
        <v>52.3861725</v>
      </c>
      <c r="F37" s="99">
        <v>5.46</v>
      </c>
      <c r="G37" s="99">
        <v>1.18</v>
      </c>
      <c r="H37" s="98" t="s">
        <v>964</v>
      </c>
      <c r="I37" s="99">
        <v>1.75</v>
      </c>
      <c r="J37" s="100">
        <v>38.45090104166666</v>
      </c>
      <c r="K37" s="100">
        <f t="shared" si="0"/>
        <v>286.02850185</v>
      </c>
    </row>
    <row r="38" spans="1:11" ht="12.75">
      <c r="A38" s="113" t="s">
        <v>1208</v>
      </c>
      <c r="B38" s="95">
        <v>37762</v>
      </c>
      <c r="C38" s="119">
        <v>0.611111111111111</v>
      </c>
      <c r="D38" s="101">
        <v>1770</v>
      </c>
      <c r="E38" s="99">
        <v>50.120824500000005</v>
      </c>
      <c r="F38" s="99">
        <v>4.67</v>
      </c>
      <c r="G38" s="99">
        <v>1.22</v>
      </c>
      <c r="H38" s="98" t="s">
        <v>964</v>
      </c>
      <c r="I38" s="99">
        <v>1.74</v>
      </c>
      <c r="J38" s="100">
        <v>34.637588541666666</v>
      </c>
      <c r="K38" s="100">
        <f t="shared" si="0"/>
        <v>234.06425041500003</v>
      </c>
    </row>
    <row r="39" spans="1:11" ht="12.75">
      <c r="A39" s="113" t="s">
        <v>1209</v>
      </c>
      <c r="B39" s="95">
        <v>37769</v>
      </c>
      <c r="C39" s="119">
        <v>0.8819444444444445</v>
      </c>
      <c r="D39" s="101">
        <v>2940</v>
      </c>
      <c r="E39" s="99">
        <v>83.25153900000001</v>
      </c>
      <c r="F39" s="99">
        <v>3.01</v>
      </c>
      <c r="G39" s="99">
        <v>0.87</v>
      </c>
      <c r="H39" s="98" t="s">
        <v>964</v>
      </c>
      <c r="I39" s="99">
        <v>1.41</v>
      </c>
      <c r="J39" s="100">
        <v>26.057635416666663</v>
      </c>
      <c r="K39" s="100">
        <f t="shared" si="0"/>
        <v>250.58713239</v>
      </c>
    </row>
    <row r="40" spans="1:11" ht="12.75">
      <c r="A40" s="113" t="s">
        <v>1210</v>
      </c>
      <c r="B40" s="95">
        <v>37776</v>
      </c>
      <c r="C40" s="119">
        <v>0.7118055555555555</v>
      </c>
      <c r="D40" s="101">
        <v>2480</v>
      </c>
      <c r="E40" s="99">
        <v>70.22578800000001</v>
      </c>
      <c r="F40" s="99">
        <v>3.25</v>
      </c>
      <c r="G40" s="99">
        <v>0.97</v>
      </c>
      <c r="H40" s="98" t="s">
        <v>964</v>
      </c>
      <c r="I40" s="99">
        <v>1.44</v>
      </c>
      <c r="J40" s="100">
        <v>26.375411458333335</v>
      </c>
      <c r="K40" s="100">
        <f t="shared" si="0"/>
        <v>228.23381100000003</v>
      </c>
    </row>
    <row r="41" spans="1:11" ht="12.75">
      <c r="A41" s="113" t="s">
        <v>1211</v>
      </c>
      <c r="B41" s="95">
        <v>37783</v>
      </c>
      <c r="C41" s="119">
        <v>0.8090277777777778</v>
      </c>
      <c r="D41" s="101">
        <v>2160</v>
      </c>
      <c r="E41" s="99">
        <v>61.164396</v>
      </c>
      <c r="F41" s="99">
        <v>3.4</v>
      </c>
      <c r="G41" s="99">
        <v>1.07</v>
      </c>
      <c r="H41" s="98" t="s">
        <v>964</v>
      </c>
      <c r="I41" s="99">
        <v>1.34</v>
      </c>
      <c r="J41" s="100">
        <v>27.964291666666664</v>
      </c>
      <c r="K41" s="100">
        <f t="shared" si="0"/>
        <v>207.9589464</v>
      </c>
    </row>
    <row r="42" spans="1:11" ht="12.75">
      <c r="A42" s="113" t="s">
        <v>1212</v>
      </c>
      <c r="B42" s="95">
        <v>37790</v>
      </c>
      <c r="C42" s="119">
        <v>0.7673611111111112</v>
      </c>
      <c r="D42" s="101">
        <v>1930</v>
      </c>
      <c r="E42" s="99">
        <v>54.651520500000004</v>
      </c>
      <c r="F42" s="99">
        <v>3.7</v>
      </c>
      <c r="G42" s="99">
        <v>1.16</v>
      </c>
      <c r="H42" s="98" t="s">
        <v>964</v>
      </c>
      <c r="I42" s="99">
        <v>1.33</v>
      </c>
      <c r="J42" s="100">
        <v>27.964291666666664</v>
      </c>
      <c r="K42" s="100">
        <f t="shared" si="0"/>
        <v>202.21062585</v>
      </c>
    </row>
    <row r="43" spans="1:11" ht="12.75">
      <c r="A43" s="113" t="s">
        <v>1213</v>
      </c>
      <c r="B43" s="95">
        <v>37796</v>
      </c>
      <c r="C43" s="119">
        <v>0.8368055555555555</v>
      </c>
      <c r="D43" s="101">
        <v>1110</v>
      </c>
      <c r="E43" s="99">
        <v>31.4317035</v>
      </c>
      <c r="F43" s="99">
        <v>6.43</v>
      </c>
      <c r="G43" s="99">
        <v>2</v>
      </c>
      <c r="H43" s="98">
        <v>0.01</v>
      </c>
      <c r="I43" s="99">
        <v>2.02</v>
      </c>
      <c r="J43" s="100">
        <v>47.98418229166666</v>
      </c>
      <c r="K43" s="100">
        <f t="shared" si="0"/>
        <v>202.105853505</v>
      </c>
    </row>
    <row r="44" spans="1:11" ht="12.75">
      <c r="A44" s="113" t="s">
        <v>1214</v>
      </c>
      <c r="B44" s="95">
        <v>37811</v>
      </c>
      <c r="C44" s="119">
        <v>0.8020833333333334</v>
      </c>
      <c r="D44" s="101">
        <v>745</v>
      </c>
      <c r="E44" s="99">
        <v>21.09605325</v>
      </c>
      <c r="F44" s="99">
        <v>7.86</v>
      </c>
      <c r="G44" s="99">
        <v>2.55</v>
      </c>
      <c r="H44" s="98">
        <v>0.02</v>
      </c>
      <c r="I44" s="99">
        <v>2.62</v>
      </c>
      <c r="J44" s="100">
        <v>62.919656249999996</v>
      </c>
      <c r="K44" s="100">
        <f t="shared" si="0"/>
        <v>165.814978545</v>
      </c>
    </row>
    <row r="45" spans="1:11" ht="12.75">
      <c r="A45" s="113" t="s">
        <v>1215</v>
      </c>
      <c r="B45" s="95">
        <v>37818</v>
      </c>
      <c r="C45" s="119">
        <v>0.37152777777777773</v>
      </c>
      <c r="D45" s="101">
        <v>759</v>
      </c>
      <c r="E45" s="99">
        <v>21.49248915</v>
      </c>
      <c r="F45" s="99">
        <v>7.75</v>
      </c>
      <c r="G45" s="99">
        <v>2.53</v>
      </c>
      <c r="H45" s="98">
        <v>0.01</v>
      </c>
      <c r="I45" s="99">
        <v>2.25</v>
      </c>
      <c r="J45" s="100">
        <v>55.61080729166667</v>
      </c>
      <c r="K45" s="100">
        <f t="shared" si="0"/>
        <v>166.5667909125</v>
      </c>
    </row>
    <row r="46" spans="1:11" ht="12.75">
      <c r="A46" s="113" t="s">
        <v>1216</v>
      </c>
      <c r="B46" s="95">
        <v>37825</v>
      </c>
      <c r="C46" s="119">
        <v>0.6944444444444445</v>
      </c>
      <c r="D46" s="101">
        <v>710</v>
      </c>
      <c r="E46" s="99">
        <v>20.1049635</v>
      </c>
      <c r="F46" s="99">
        <v>8.04</v>
      </c>
      <c r="G46" s="99">
        <v>2.71</v>
      </c>
      <c r="H46" s="98">
        <v>0.02</v>
      </c>
      <c r="I46" s="99">
        <v>2.31</v>
      </c>
      <c r="J46" s="100">
        <v>54.021927083333345</v>
      </c>
      <c r="K46" s="100">
        <f t="shared" si="0"/>
        <v>161.64390654</v>
      </c>
    </row>
    <row r="47" spans="1:11" ht="12.75">
      <c r="A47" s="113" t="s">
        <v>1217</v>
      </c>
      <c r="B47" s="95">
        <v>37846</v>
      </c>
      <c r="C47" s="119">
        <v>0.3090277777777778</v>
      </c>
      <c r="D47" s="101">
        <v>648</v>
      </c>
      <c r="E47" s="99">
        <v>18.3493188</v>
      </c>
      <c r="F47" s="99">
        <v>7.84</v>
      </c>
      <c r="G47" s="99">
        <v>2.58</v>
      </c>
      <c r="H47" s="98">
        <v>0.02</v>
      </c>
      <c r="I47" s="99">
        <v>2.98</v>
      </c>
      <c r="J47" s="100">
        <v>78.17290625</v>
      </c>
      <c r="K47" s="100">
        <f t="shared" si="0"/>
        <v>143.858659392</v>
      </c>
    </row>
    <row r="48" spans="1:11" ht="12.75">
      <c r="A48" s="113" t="s">
        <v>1218</v>
      </c>
      <c r="B48" s="95">
        <v>37860</v>
      </c>
      <c r="C48" s="119">
        <v>0.4270833333333333</v>
      </c>
      <c r="D48" s="101">
        <v>505</v>
      </c>
      <c r="E48" s="99">
        <v>14.30000925</v>
      </c>
      <c r="F48" s="99">
        <v>10.1</v>
      </c>
      <c r="G48" s="99">
        <v>3.2</v>
      </c>
      <c r="H48" s="98">
        <v>0.02</v>
      </c>
      <c r="I48" s="99">
        <v>2.61</v>
      </c>
      <c r="J48" s="100">
        <v>67.36852083333333</v>
      </c>
      <c r="K48" s="100">
        <f t="shared" si="0"/>
        <v>144.430093425</v>
      </c>
    </row>
    <row r="49" spans="1:11" ht="12.75">
      <c r="A49" s="113" t="s">
        <v>1219</v>
      </c>
      <c r="B49" s="95">
        <v>37875</v>
      </c>
      <c r="C49" s="119">
        <v>0.6458333333333334</v>
      </c>
      <c r="D49" s="101">
        <v>562</v>
      </c>
      <c r="E49" s="99">
        <v>15.9140697</v>
      </c>
      <c r="F49" s="99">
        <v>10.5</v>
      </c>
      <c r="G49" s="99">
        <v>3.14</v>
      </c>
      <c r="H49" s="98">
        <v>0.02</v>
      </c>
      <c r="I49" s="99">
        <v>2.75</v>
      </c>
      <c r="J49" s="100">
        <v>67.686296875</v>
      </c>
      <c r="K49" s="100">
        <f t="shared" si="0"/>
        <v>167.09773185</v>
      </c>
    </row>
    <row r="50" spans="1:10" ht="12.75">
      <c r="A50" s="82" t="s">
        <v>963</v>
      </c>
      <c r="B50" s="95"/>
      <c r="C50" s="97" t="s">
        <v>383</v>
      </c>
      <c r="E50" s="99"/>
      <c r="J50" s="100"/>
    </row>
    <row r="51" spans="1:11" ht="12.75">
      <c r="A51" s="113" t="s">
        <v>1220</v>
      </c>
      <c r="B51" s="95">
        <v>38108</v>
      </c>
      <c r="C51" s="119">
        <v>0.5</v>
      </c>
      <c r="D51" s="97">
        <v>1400</v>
      </c>
      <c r="E51" s="99">
        <v>39.64359</v>
      </c>
      <c r="F51" s="99">
        <v>6.87</v>
      </c>
      <c r="G51" s="99">
        <v>1.4</v>
      </c>
      <c r="H51" s="98" t="s">
        <v>964</v>
      </c>
      <c r="I51" s="99">
        <v>2.04</v>
      </c>
      <c r="J51" s="100">
        <v>40.357557291666666</v>
      </c>
      <c r="K51" s="100">
        <f t="shared" si="0"/>
        <v>272.35146330000003</v>
      </c>
    </row>
    <row r="52" spans="1:11" ht="12.75">
      <c r="A52" s="113" t="s">
        <v>1221</v>
      </c>
      <c r="B52" s="95">
        <v>38154</v>
      </c>
      <c r="C52" s="119">
        <v>0.6375</v>
      </c>
      <c r="D52" s="97">
        <v>1830</v>
      </c>
      <c r="E52" s="99">
        <v>51.8198355</v>
      </c>
      <c r="F52" s="99">
        <v>2.58</v>
      </c>
      <c r="G52" s="99">
        <v>1.74</v>
      </c>
      <c r="H52" s="98" t="s">
        <v>964</v>
      </c>
      <c r="I52" s="99">
        <v>2.86</v>
      </c>
      <c r="J52" s="100">
        <v>61.01300000000001</v>
      </c>
      <c r="K52" s="100">
        <f t="shared" si="0"/>
        <v>133.69517559000002</v>
      </c>
    </row>
    <row r="53" spans="1:11" ht="12.75">
      <c r="A53" s="113" t="s">
        <v>1222</v>
      </c>
      <c r="B53" s="95">
        <v>38159</v>
      </c>
      <c r="C53" s="119">
        <v>0.513888888888889</v>
      </c>
      <c r="D53" s="97">
        <v>1580</v>
      </c>
      <c r="E53" s="99">
        <v>44.740623</v>
      </c>
      <c r="F53" s="99">
        <v>3.94</v>
      </c>
      <c r="G53" s="99">
        <v>1.31</v>
      </c>
      <c r="H53" s="98" t="s">
        <v>964</v>
      </c>
      <c r="I53" s="99">
        <v>1.41</v>
      </c>
      <c r="J53" s="100">
        <v>27.964291666666664</v>
      </c>
      <c r="K53" s="100">
        <f t="shared" si="0"/>
        <v>176.27805462</v>
      </c>
    </row>
    <row r="54" spans="1:11" ht="12.75">
      <c r="A54" s="113" t="s">
        <v>1223</v>
      </c>
      <c r="B54" s="95">
        <v>38165</v>
      </c>
      <c r="C54" s="119">
        <v>0.8152777777777778</v>
      </c>
      <c r="D54" s="97">
        <v>1260</v>
      </c>
      <c r="E54" s="99">
        <v>35.679231</v>
      </c>
      <c r="F54" s="99">
        <v>6.44</v>
      </c>
      <c r="G54" s="99">
        <v>1.96</v>
      </c>
      <c r="H54" s="98" t="s">
        <v>964</v>
      </c>
      <c r="I54" s="99">
        <v>1.8</v>
      </c>
      <c r="J54" s="100">
        <v>40.039781250000004</v>
      </c>
      <c r="K54" s="100">
        <f t="shared" si="0"/>
        <v>229.77424764000003</v>
      </c>
    </row>
    <row r="55" spans="1:11" ht="12.75">
      <c r="A55" s="113" t="s">
        <v>1224</v>
      </c>
      <c r="B55" s="95">
        <v>38173</v>
      </c>
      <c r="C55" s="119">
        <v>0.5555555555555556</v>
      </c>
      <c r="D55" s="97">
        <v>1220</v>
      </c>
      <c r="E55" s="99">
        <v>34.546557</v>
      </c>
      <c r="F55" s="99">
        <v>8.62</v>
      </c>
      <c r="G55" s="99">
        <v>2.64</v>
      </c>
      <c r="H55" s="98">
        <v>0.01</v>
      </c>
      <c r="I55" s="99">
        <v>2.28</v>
      </c>
      <c r="J55" s="100">
        <v>51.479718749999996</v>
      </c>
      <c r="K55" s="100">
        <f t="shared" si="0"/>
        <v>297.79132133999997</v>
      </c>
    </row>
    <row r="56" spans="1:11" ht="12.75">
      <c r="A56" s="113" t="s">
        <v>1225</v>
      </c>
      <c r="B56" s="95">
        <v>38180</v>
      </c>
      <c r="C56" s="119">
        <v>0.6458333333333334</v>
      </c>
      <c r="D56" s="97">
        <v>787</v>
      </c>
      <c r="E56" s="99">
        <v>22.28536095</v>
      </c>
      <c r="F56" s="99">
        <v>8.71</v>
      </c>
      <c r="G56" s="99">
        <v>2.79</v>
      </c>
      <c r="H56" s="98">
        <v>0.02</v>
      </c>
      <c r="I56" s="99">
        <v>2.31</v>
      </c>
      <c r="J56" s="100">
        <v>51.479718749999996</v>
      </c>
      <c r="K56" s="100">
        <f t="shared" si="0"/>
        <v>194.10549387450004</v>
      </c>
    </row>
    <row r="57" spans="1:11" ht="12.75">
      <c r="A57" s="113" t="s">
        <v>1226</v>
      </c>
      <c r="B57" s="95">
        <v>38187</v>
      </c>
      <c r="C57" s="119">
        <v>0.8486111111111111</v>
      </c>
      <c r="D57" s="97">
        <v>759</v>
      </c>
      <c r="E57" s="99">
        <v>21.49248915</v>
      </c>
      <c r="F57" s="99">
        <v>8.76</v>
      </c>
      <c r="G57" s="99">
        <v>2.84</v>
      </c>
      <c r="H57" s="98">
        <v>0.02</v>
      </c>
      <c r="I57" s="99">
        <v>2.34</v>
      </c>
      <c r="J57" s="100">
        <v>52.433046875</v>
      </c>
      <c r="K57" s="100">
        <f t="shared" si="0"/>
        <v>188.274204954</v>
      </c>
    </row>
    <row r="58" spans="1:11" ht="12.75">
      <c r="A58" s="113" t="s">
        <v>1227</v>
      </c>
      <c r="B58" s="95">
        <v>38193</v>
      </c>
      <c r="C58" s="119">
        <v>0.8506944444444445</v>
      </c>
      <c r="D58" s="97">
        <v>666</v>
      </c>
      <c r="E58" s="99">
        <v>18.8590221</v>
      </c>
      <c r="F58" s="99">
        <v>9.23</v>
      </c>
      <c r="G58" s="99">
        <v>3.07</v>
      </c>
      <c r="H58" s="98">
        <v>0.02</v>
      </c>
      <c r="I58" s="99">
        <v>2.41</v>
      </c>
      <c r="J58" s="100">
        <v>54.97525520833333</v>
      </c>
      <c r="K58" s="100">
        <f t="shared" si="0"/>
        <v>174.06877398300003</v>
      </c>
    </row>
    <row r="59" spans="1:11" ht="12.75">
      <c r="A59" s="113" t="s">
        <v>1228</v>
      </c>
      <c r="B59" s="95">
        <v>38213</v>
      </c>
      <c r="C59" s="119">
        <v>0.8125</v>
      </c>
      <c r="D59" s="97">
        <v>588</v>
      </c>
      <c r="E59" s="99">
        <v>16.6503078</v>
      </c>
      <c r="F59" s="99">
        <v>9.67</v>
      </c>
      <c r="G59" s="99">
        <v>3.06</v>
      </c>
      <c r="H59" s="98">
        <v>0.01</v>
      </c>
      <c r="I59" s="99">
        <v>2.42</v>
      </c>
      <c r="J59" s="100">
        <v>55.92858333333333</v>
      </c>
      <c r="K59" s="100">
        <f t="shared" si="0"/>
        <v>161.008476426</v>
      </c>
    </row>
    <row r="60" spans="1:11" ht="12.75">
      <c r="A60" s="113" t="s">
        <v>1229</v>
      </c>
      <c r="B60" s="95">
        <v>38230</v>
      </c>
      <c r="C60" s="119">
        <v>0.8055555555555555</v>
      </c>
      <c r="D60" s="97">
        <v>630</v>
      </c>
      <c r="E60" s="99">
        <v>17.8396155</v>
      </c>
      <c r="F60" s="99">
        <v>10.3</v>
      </c>
      <c r="G60" s="99">
        <v>3.25</v>
      </c>
      <c r="H60" s="98">
        <v>0.02</v>
      </c>
      <c r="I60" s="99">
        <v>2.53</v>
      </c>
      <c r="J60" s="100">
        <v>59.74189583333334</v>
      </c>
      <c r="K60" s="100">
        <f t="shared" si="0"/>
        <v>183.74803965</v>
      </c>
    </row>
    <row r="61" spans="1:11" ht="12.75">
      <c r="A61" s="113" t="s">
        <v>1230</v>
      </c>
      <c r="B61" s="95">
        <v>38243</v>
      </c>
      <c r="C61" s="119">
        <v>0.3506944444444444</v>
      </c>
      <c r="D61" s="97">
        <v>666</v>
      </c>
      <c r="E61" s="99">
        <v>18.8590221</v>
      </c>
      <c r="F61" s="99">
        <v>10.6</v>
      </c>
      <c r="G61" s="99">
        <v>3.26</v>
      </c>
      <c r="H61" s="98">
        <v>0.02</v>
      </c>
      <c r="I61" s="99">
        <v>2.58</v>
      </c>
      <c r="J61" s="100">
        <v>61.01300000000001</v>
      </c>
      <c r="K61" s="100">
        <f t="shared" si="0"/>
        <v>199.90563426</v>
      </c>
    </row>
    <row r="62" spans="1:3" ht="12.75">
      <c r="A62" s="82" t="s">
        <v>973</v>
      </c>
      <c r="B62" s="95"/>
      <c r="C62" s="97" t="s">
        <v>771</v>
      </c>
    </row>
    <row r="63" spans="1:11" ht="15" customHeight="1">
      <c r="A63" s="113" t="s">
        <v>832</v>
      </c>
      <c r="B63" s="95" t="str">
        <f>MID(A63,4,2)&amp;"/"&amp;MID(A63,6,2)&amp;"/"&amp;MID(A63,8,2)</f>
        <v>03/12/05</v>
      </c>
      <c r="C63" s="96">
        <v>0.4930555555555556</v>
      </c>
      <c r="D63" s="97">
        <v>420</v>
      </c>
      <c r="E63" s="99">
        <f aca="true" t="shared" si="1" ref="E63:E126">D63*0.02831685</f>
        <v>11.893077</v>
      </c>
      <c r="F63" s="105">
        <v>14.8</v>
      </c>
      <c r="G63" s="99">
        <v>3.51</v>
      </c>
      <c r="H63" s="98">
        <v>0.03</v>
      </c>
      <c r="I63" s="99">
        <v>3.35</v>
      </c>
      <c r="J63" s="100">
        <v>80.23845052083334</v>
      </c>
      <c r="K63" s="100">
        <f t="shared" si="0"/>
        <v>176.01753960000002</v>
      </c>
    </row>
    <row r="64" spans="1:11" ht="15" customHeight="1">
      <c r="A64" s="113" t="s">
        <v>833</v>
      </c>
      <c r="B64" s="95" t="str">
        <f aca="true" t="shared" si="2" ref="B64:B94">MID(A64,4,2)&amp;"/"&amp;MID(A64,6,2)&amp;"/"&amp;MID(A64,8,2)</f>
        <v>03/22/05</v>
      </c>
      <c r="C64" s="96">
        <v>0.7916666666666666</v>
      </c>
      <c r="D64" s="97">
        <v>386</v>
      </c>
      <c r="E64" s="99">
        <f t="shared" si="1"/>
        <v>10.9303041</v>
      </c>
      <c r="F64" s="105">
        <v>14.8</v>
      </c>
      <c r="G64" s="99">
        <v>3.43</v>
      </c>
      <c r="H64" s="98">
        <v>0.03</v>
      </c>
      <c r="I64" s="99">
        <v>3.24</v>
      </c>
      <c r="J64" s="100">
        <v>80.23845052083334</v>
      </c>
      <c r="K64" s="100">
        <f t="shared" si="0"/>
        <v>161.76850068000002</v>
      </c>
    </row>
    <row r="65" spans="1:11" ht="15" customHeight="1">
      <c r="A65" s="113" t="s">
        <v>834</v>
      </c>
      <c r="B65" s="95" t="str">
        <f t="shared" si="2"/>
        <v>04/10/05</v>
      </c>
      <c r="C65" s="96">
        <v>0.5965277777777778</v>
      </c>
      <c r="D65" s="97">
        <v>461</v>
      </c>
      <c r="E65" s="99">
        <f t="shared" si="1"/>
        <v>13.054067850000001</v>
      </c>
      <c r="F65" s="105">
        <v>13.9</v>
      </c>
      <c r="G65" s="99">
        <v>3.15</v>
      </c>
      <c r="H65" s="98">
        <v>0.02</v>
      </c>
      <c r="I65" s="99">
        <v>3.2</v>
      </c>
      <c r="J65" s="100">
        <v>78.49068229166666</v>
      </c>
      <c r="K65" s="100">
        <f t="shared" si="0"/>
        <v>181.45154311500002</v>
      </c>
    </row>
    <row r="66" spans="1:11" ht="15" customHeight="1">
      <c r="A66" s="113" t="s">
        <v>835</v>
      </c>
      <c r="B66" s="95" t="str">
        <f t="shared" si="2"/>
        <v>04/28/05</v>
      </c>
      <c r="C66" s="96">
        <v>0.8402777777777778</v>
      </c>
      <c r="D66" s="97">
        <v>1430</v>
      </c>
      <c r="E66" s="99">
        <f t="shared" si="1"/>
        <v>40.4930955</v>
      </c>
      <c r="F66" s="105">
        <v>5.64</v>
      </c>
      <c r="G66" s="99">
        <v>1.29</v>
      </c>
      <c r="H66" s="98" t="s">
        <v>964</v>
      </c>
      <c r="I66" s="99">
        <v>1.69</v>
      </c>
      <c r="J66" s="100">
        <v>38.29201302083333</v>
      </c>
      <c r="K66" s="100">
        <f t="shared" si="0"/>
        <v>228.38105862</v>
      </c>
    </row>
    <row r="67" spans="1:11" s="25" customFormat="1" ht="15" customHeight="1">
      <c r="A67" s="113" t="s">
        <v>836</v>
      </c>
      <c r="B67" s="95" t="str">
        <f>MID(A67,4,2)&amp;"/"&amp;MID(A67,6,2)&amp;"/"&amp;MID(A67,8,2)</f>
        <v>05/02/05</v>
      </c>
      <c r="C67" s="96">
        <v>0.7465277777777778</v>
      </c>
      <c r="D67" s="97">
        <v>1230</v>
      </c>
      <c r="E67" s="99">
        <f t="shared" si="1"/>
        <v>34.8297255</v>
      </c>
      <c r="F67" s="105">
        <v>5.3</v>
      </c>
      <c r="G67" s="99">
        <v>1.27</v>
      </c>
      <c r="H67" s="98" t="s">
        <v>964</v>
      </c>
      <c r="I67" s="99">
        <v>1.74</v>
      </c>
      <c r="J67" s="100">
        <v>38.736899479166674</v>
      </c>
      <c r="K67" s="100">
        <f t="shared" si="0"/>
        <v>184.59754515</v>
      </c>
    </row>
    <row r="68" spans="1:11" ht="15" customHeight="1">
      <c r="A68" s="113" t="s">
        <v>837</v>
      </c>
      <c r="B68" s="95" t="str">
        <f t="shared" si="2"/>
        <v>05/09/05</v>
      </c>
      <c r="C68" s="96" t="s">
        <v>1549</v>
      </c>
      <c r="D68" s="97">
        <v>1700</v>
      </c>
      <c r="E68" s="99">
        <f t="shared" si="1"/>
        <v>48.138645000000004</v>
      </c>
      <c r="F68" s="105">
        <v>3.1</v>
      </c>
      <c r="G68" s="99">
        <v>0.87</v>
      </c>
      <c r="H68" s="98" t="s">
        <v>964</v>
      </c>
      <c r="I68" s="99">
        <v>1.34</v>
      </c>
      <c r="J68" s="100">
        <v>25.422083333333333</v>
      </c>
      <c r="K68" s="100">
        <f t="shared" si="0"/>
        <v>149.2297995</v>
      </c>
    </row>
    <row r="69" spans="1:11" ht="15" customHeight="1">
      <c r="A69" s="113" t="s">
        <v>838</v>
      </c>
      <c r="B69" s="95" t="str">
        <f t="shared" si="2"/>
        <v>05/16/05</v>
      </c>
      <c r="C69" s="96">
        <v>0.9270833333333334</v>
      </c>
      <c r="D69" s="97">
        <v>2280</v>
      </c>
      <c r="E69" s="99">
        <f t="shared" si="1"/>
        <v>64.56241800000001</v>
      </c>
      <c r="F69" s="105">
        <v>3.88</v>
      </c>
      <c r="G69" s="99">
        <v>1.12</v>
      </c>
      <c r="H69" s="98" t="s">
        <v>964</v>
      </c>
      <c r="I69" s="99">
        <v>1.47</v>
      </c>
      <c r="J69" s="100">
        <v>30.34761197916667</v>
      </c>
      <c r="K69" s="100">
        <f t="shared" si="0"/>
        <v>250.50218184000002</v>
      </c>
    </row>
    <row r="70" spans="1:11" ht="15" customHeight="1">
      <c r="A70" s="113" t="s">
        <v>525</v>
      </c>
      <c r="B70" s="95" t="str">
        <f t="shared" si="2"/>
        <v>05/23/05</v>
      </c>
      <c r="C70" s="96">
        <v>0.8263888888888888</v>
      </c>
      <c r="D70" s="97">
        <v>2700</v>
      </c>
      <c r="E70" s="99">
        <f t="shared" si="1"/>
        <v>76.455495</v>
      </c>
      <c r="F70" s="105">
        <v>4.98</v>
      </c>
      <c r="G70" s="99">
        <v>1.36</v>
      </c>
      <c r="H70" s="98" t="s">
        <v>964</v>
      </c>
      <c r="I70" s="99">
        <v>1.66</v>
      </c>
      <c r="J70" s="100">
        <v>36.6078</v>
      </c>
      <c r="K70" s="100">
        <f t="shared" si="0"/>
        <v>380.7483651</v>
      </c>
    </row>
    <row r="71" spans="1:11" ht="15" customHeight="1">
      <c r="A71" s="113" t="s">
        <v>839</v>
      </c>
      <c r="B71" s="95" t="str">
        <f t="shared" si="2"/>
        <v>06/01/05</v>
      </c>
      <c r="C71" s="96">
        <v>0.6597222222222222</v>
      </c>
      <c r="D71" s="97">
        <v>2420</v>
      </c>
      <c r="E71" s="99">
        <f t="shared" si="1"/>
        <v>68.526777</v>
      </c>
      <c r="F71" s="105">
        <v>3.54</v>
      </c>
      <c r="G71" s="99">
        <v>1.18</v>
      </c>
      <c r="H71" s="98" t="s">
        <v>964</v>
      </c>
      <c r="I71" s="99">
        <v>1.32</v>
      </c>
      <c r="J71" s="100">
        <v>28.059624479166665</v>
      </c>
      <c r="K71" s="100">
        <f aca="true" t="shared" si="3" ref="K71:K134">E71*F71</f>
        <v>242.58479057999998</v>
      </c>
    </row>
    <row r="72" spans="1:11" ht="15" customHeight="1">
      <c r="A72" s="113" t="s">
        <v>840</v>
      </c>
      <c r="B72" s="95" t="str">
        <f t="shared" si="2"/>
        <v>06/15/05</v>
      </c>
      <c r="C72" s="96">
        <v>0.875</v>
      </c>
      <c r="D72" s="97">
        <v>1640</v>
      </c>
      <c r="E72" s="99">
        <f t="shared" si="1"/>
        <v>46.439634000000005</v>
      </c>
      <c r="F72" s="105">
        <v>6.79</v>
      </c>
      <c r="G72" s="99">
        <v>1.96</v>
      </c>
      <c r="H72" s="98">
        <v>0.01</v>
      </c>
      <c r="I72" s="99">
        <v>1.86</v>
      </c>
      <c r="J72" s="100">
        <v>44.17086979166667</v>
      </c>
      <c r="K72" s="100">
        <f t="shared" si="3"/>
        <v>315.32511486000004</v>
      </c>
    </row>
    <row r="73" spans="1:11" ht="15" customHeight="1">
      <c r="A73" s="113" t="s">
        <v>841</v>
      </c>
      <c r="B73" s="95" t="str">
        <f t="shared" si="2"/>
        <v>06/30/05</v>
      </c>
      <c r="C73" s="96">
        <v>0.7222222222222222</v>
      </c>
      <c r="D73" s="97">
        <v>1310</v>
      </c>
      <c r="E73" s="99">
        <f t="shared" si="1"/>
        <v>37.0950735</v>
      </c>
      <c r="F73" s="105">
        <v>8.78</v>
      </c>
      <c r="G73" s="99">
        <v>2.83</v>
      </c>
      <c r="H73" s="98">
        <v>0.02</v>
      </c>
      <c r="I73" s="99">
        <v>2.33</v>
      </c>
      <c r="J73" s="100">
        <v>53.704151041666655</v>
      </c>
      <c r="K73" s="100">
        <f t="shared" si="3"/>
        <v>325.69474532999993</v>
      </c>
    </row>
    <row r="74" spans="1:11" ht="15" customHeight="1">
      <c r="A74" s="113" t="s">
        <v>842</v>
      </c>
      <c r="B74" s="95" t="str">
        <f t="shared" si="2"/>
        <v>07/08/05</v>
      </c>
      <c r="C74" s="96">
        <v>0.7604166666666666</v>
      </c>
      <c r="D74" s="97">
        <v>1040</v>
      </c>
      <c r="E74" s="99">
        <f t="shared" si="1"/>
        <v>29.449524</v>
      </c>
      <c r="F74" s="105">
        <v>8.83</v>
      </c>
      <c r="G74" s="99">
        <v>2.91</v>
      </c>
      <c r="H74" s="98">
        <v>0.02</v>
      </c>
      <c r="I74" s="99">
        <v>2.37</v>
      </c>
      <c r="J74" s="100">
        <v>55.7696953125</v>
      </c>
      <c r="K74" s="100">
        <f t="shared" si="3"/>
        <v>260.03929692</v>
      </c>
    </row>
    <row r="75" spans="1:11" ht="15" customHeight="1">
      <c r="A75" s="113" t="s">
        <v>843</v>
      </c>
      <c r="B75" s="95" t="str">
        <f t="shared" si="2"/>
        <v>07/17/05</v>
      </c>
      <c r="C75" s="96">
        <v>0.75</v>
      </c>
      <c r="D75" s="97">
        <v>766</v>
      </c>
      <c r="E75" s="99">
        <f t="shared" si="1"/>
        <v>21.6907071</v>
      </c>
      <c r="F75" s="105">
        <v>9.84</v>
      </c>
      <c r="G75" s="99">
        <v>3.18</v>
      </c>
      <c r="H75" s="98">
        <v>0.02</v>
      </c>
      <c r="I75" s="99">
        <v>2.46</v>
      </c>
      <c r="J75" s="100">
        <v>59.74189583333334</v>
      </c>
      <c r="K75" s="100">
        <f t="shared" si="3"/>
        <v>213.436557864</v>
      </c>
    </row>
    <row r="76" spans="1:11" ht="15" customHeight="1">
      <c r="A76" s="113" t="s">
        <v>844</v>
      </c>
      <c r="B76" s="95" t="str">
        <f t="shared" si="2"/>
        <v>07/27/05</v>
      </c>
      <c r="C76" s="96">
        <v>0.7611111111111111</v>
      </c>
      <c r="D76" s="97">
        <v>724</v>
      </c>
      <c r="E76" s="99">
        <f t="shared" si="1"/>
        <v>20.5013994</v>
      </c>
      <c r="F76" s="105">
        <v>10.4</v>
      </c>
      <c r="G76" s="99">
        <v>3.34</v>
      </c>
      <c r="H76" s="98">
        <v>0.02</v>
      </c>
      <c r="I76" s="99">
        <v>2.56</v>
      </c>
      <c r="J76" s="100">
        <v>62.06166093750001</v>
      </c>
      <c r="K76" s="100">
        <f t="shared" si="3"/>
        <v>213.21455376</v>
      </c>
    </row>
    <row r="77" spans="1:11" ht="15" customHeight="1">
      <c r="A77" s="113" t="s">
        <v>844</v>
      </c>
      <c r="B77" s="95" t="str">
        <f t="shared" si="2"/>
        <v>07/27/05</v>
      </c>
      <c r="C77" s="96">
        <v>0.7611111111111111</v>
      </c>
      <c r="D77" s="97">
        <v>724</v>
      </c>
      <c r="E77" s="99">
        <f t="shared" si="1"/>
        <v>20.5013994</v>
      </c>
      <c r="F77" s="105">
        <v>10.3</v>
      </c>
      <c r="G77" s="99">
        <v>3.32</v>
      </c>
      <c r="H77" s="98">
        <v>0.03</v>
      </c>
      <c r="I77" s="99">
        <v>2.55</v>
      </c>
      <c r="J77" s="100" t="s">
        <v>608</v>
      </c>
      <c r="K77" s="100">
        <f t="shared" si="3"/>
        <v>211.16441382000002</v>
      </c>
    </row>
    <row r="78" spans="1:11" ht="15" customHeight="1">
      <c r="A78" s="113" t="s">
        <v>845</v>
      </c>
      <c r="B78" s="95" t="str">
        <f t="shared" si="2"/>
        <v>08/13/05</v>
      </c>
      <c r="C78" s="96">
        <v>0.6527777777777778</v>
      </c>
      <c r="D78" s="97">
        <v>624</v>
      </c>
      <c r="E78" s="99">
        <f t="shared" si="1"/>
        <v>17.6697144</v>
      </c>
      <c r="F78" s="105">
        <v>10.6</v>
      </c>
      <c r="G78" s="99">
        <v>3.19</v>
      </c>
      <c r="H78" s="98">
        <v>0.01</v>
      </c>
      <c r="I78" s="99">
        <v>2.71</v>
      </c>
      <c r="J78" s="100">
        <v>61.4896640625</v>
      </c>
      <c r="K78" s="100">
        <f t="shared" si="3"/>
        <v>187.29897264</v>
      </c>
    </row>
    <row r="79" spans="1:11" ht="15" customHeight="1">
      <c r="A79" s="113" t="s">
        <v>846</v>
      </c>
      <c r="B79" s="95" t="str">
        <f t="shared" si="2"/>
        <v>08/14/05</v>
      </c>
      <c r="C79" s="96">
        <v>0.7083333333333334</v>
      </c>
      <c r="D79" s="97">
        <v>630</v>
      </c>
      <c r="E79" s="99">
        <f t="shared" si="1"/>
        <v>17.8396155</v>
      </c>
      <c r="F79" s="105">
        <v>10.8</v>
      </c>
      <c r="G79" s="99">
        <v>3.44</v>
      </c>
      <c r="H79" s="98">
        <v>0.02</v>
      </c>
      <c r="I79" s="99">
        <v>2.74</v>
      </c>
      <c r="J79" s="100">
        <v>65.30297656249999</v>
      </c>
      <c r="K79" s="100">
        <f t="shared" si="3"/>
        <v>192.66784740000003</v>
      </c>
    </row>
    <row r="80" spans="1:11" ht="15" customHeight="1">
      <c r="A80" s="113" t="s">
        <v>847</v>
      </c>
      <c r="B80" s="95" t="str">
        <f t="shared" si="2"/>
        <v>08/30/05</v>
      </c>
      <c r="C80" s="96">
        <v>0.7083333333333334</v>
      </c>
      <c r="D80" s="97">
        <v>567</v>
      </c>
      <c r="E80" s="99">
        <f t="shared" si="1"/>
        <v>16.05565395</v>
      </c>
      <c r="F80" s="105">
        <v>12.5</v>
      </c>
      <c r="G80" s="99">
        <v>3.26</v>
      </c>
      <c r="H80" s="98">
        <v>0.02</v>
      </c>
      <c r="I80" s="99">
        <v>3.29</v>
      </c>
      <c r="J80" s="100">
        <v>66.89185677083334</v>
      </c>
      <c r="K80" s="100">
        <f t="shared" si="3"/>
        <v>200.695674375</v>
      </c>
    </row>
    <row r="81" spans="1:11" ht="15" customHeight="1">
      <c r="A81" s="113" t="s">
        <v>848</v>
      </c>
      <c r="B81" s="95" t="str">
        <f t="shared" si="2"/>
        <v>09/14/05</v>
      </c>
      <c r="C81" s="96">
        <v>0.4930555555555556</v>
      </c>
      <c r="D81" s="97">
        <v>577</v>
      </c>
      <c r="E81" s="99">
        <f t="shared" si="1"/>
        <v>16.338822450000002</v>
      </c>
      <c r="F81" s="105">
        <v>12.1</v>
      </c>
      <c r="G81" s="99">
        <v>3.44</v>
      </c>
      <c r="H81" s="98">
        <v>0.02</v>
      </c>
      <c r="I81" s="99">
        <v>2.95</v>
      </c>
      <c r="J81" s="100">
        <v>70.0696171875</v>
      </c>
      <c r="K81" s="100">
        <f t="shared" si="3"/>
        <v>197.69975164500002</v>
      </c>
    </row>
    <row r="82" spans="1:10" ht="15" customHeight="1">
      <c r="A82" s="82" t="s">
        <v>1267</v>
      </c>
      <c r="B82" s="95"/>
      <c r="C82" s="59" t="s">
        <v>769</v>
      </c>
      <c r="E82" s="99"/>
      <c r="F82" s="105"/>
      <c r="J82" s="100"/>
    </row>
    <row r="83" spans="1:11" ht="15" customHeight="1">
      <c r="A83" s="113" t="s">
        <v>849</v>
      </c>
      <c r="B83" s="95" t="str">
        <f t="shared" si="2"/>
        <v>10/15/05</v>
      </c>
      <c r="C83" s="96">
        <v>0.7916666666666666</v>
      </c>
      <c r="D83" s="97">
        <v>562</v>
      </c>
      <c r="E83" s="99">
        <f t="shared" si="1"/>
        <v>15.9140697</v>
      </c>
      <c r="F83" s="105">
        <v>14</v>
      </c>
      <c r="G83" s="99">
        <v>3.54</v>
      </c>
      <c r="H83" s="98">
        <v>0.03</v>
      </c>
      <c r="I83" s="99">
        <v>3.27</v>
      </c>
      <c r="J83" s="100">
        <v>75.34469947916668</v>
      </c>
      <c r="K83" s="100">
        <f t="shared" si="3"/>
        <v>222.7969758</v>
      </c>
    </row>
    <row r="84" spans="1:11" ht="15" customHeight="1">
      <c r="A84" s="113" t="s">
        <v>850</v>
      </c>
      <c r="B84" s="95" t="str">
        <f t="shared" si="2"/>
        <v>11/12/05</v>
      </c>
      <c r="C84" s="96" t="s">
        <v>1549</v>
      </c>
      <c r="D84" s="97">
        <v>594</v>
      </c>
      <c r="E84" s="99">
        <f t="shared" si="1"/>
        <v>16.8202089</v>
      </c>
      <c r="F84" s="105">
        <v>13.9</v>
      </c>
      <c r="G84" s="99">
        <v>3.53</v>
      </c>
      <c r="H84" s="98">
        <v>0.03</v>
      </c>
      <c r="I84" s="99">
        <v>3.25</v>
      </c>
      <c r="J84" s="100">
        <v>76.58402604166666</v>
      </c>
      <c r="K84" s="100">
        <f t="shared" si="3"/>
        <v>233.80090371000003</v>
      </c>
    </row>
    <row r="85" spans="1:11" ht="15" customHeight="1">
      <c r="A85" s="113" t="s">
        <v>851</v>
      </c>
      <c r="B85" s="95" t="str">
        <f t="shared" si="2"/>
        <v>03/10/06</v>
      </c>
      <c r="C85" s="119">
        <v>0.7291666666666666</v>
      </c>
      <c r="D85" s="97">
        <v>394</v>
      </c>
      <c r="E85" s="99">
        <f t="shared" si="1"/>
        <v>11.1568389</v>
      </c>
      <c r="F85" s="105">
        <v>14.5</v>
      </c>
      <c r="G85" s="99">
        <v>3.42</v>
      </c>
      <c r="H85" s="98">
        <v>0.02</v>
      </c>
      <c r="I85" s="99">
        <v>4.16</v>
      </c>
      <c r="J85" s="100">
        <v>89.93061979166667</v>
      </c>
      <c r="K85" s="100">
        <f t="shared" si="3"/>
        <v>161.77416405</v>
      </c>
    </row>
    <row r="86" spans="1:11" ht="15" customHeight="1">
      <c r="A86" s="113" t="s">
        <v>852</v>
      </c>
      <c r="B86" s="95" t="str">
        <f t="shared" si="2"/>
        <v>04/02/06</v>
      </c>
      <c r="C86" s="119">
        <v>0.6354166666666666</v>
      </c>
      <c r="D86" s="97">
        <v>443</v>
      </c>
      <c r="E86" s="99">
        <f t="shared" si="1"/>
        <v>12.544364550000001</v>
      </c>
      <c r="F86" s="105">
        <v>14.1</v>
      </c>
      <c r="G86" s="99">
        <v>3.21</v>
      </c>
      <c r="H86" s="98">
        <v>0.02</v>
      </c>
      <c r="I86" s="99">
        <v>3.52</v>
      </c>
      <c r="J86" s="100">
        <v>80.39733854166667</v>
      </c>
      <c r="K86" s="100">
        <f t="shared" si="3"/>
        <v>176.875540155</v>
      </c>
    </row>
    <row r="87" spans="1:11" ht="15" customHeight="1">
      <c r="A87" s="113" t="s">
        <v>853</v>
      </c>
      <c r="B87" s="95" t="str">
        <f t="shared" si="2"/>
        <v>04/15/06</v>
      </c>
      <c r="C87" s="119">
        <v>0.5</v>
      </c>
      <c r="D87" s="97">
        <v>970</v>
      </c>
      <c r="E87" s="99">
        <f t="shared" si="1"/>
        <v>27.4673445</v>
      </c>
      <c r="F87" s="105">
        <v>10.1</v>
      </c>
      <c r="G87" s="99">
        <v>2.08</v>
      </c>
      <c r="H87" s="98" t="s">
        <v>964</v>
      </c>
      <c r="I87" s="99">
        <v>2.58</v>
      </c>
      <c r="J87" s="100">
        <v>63.23743229166667</v>
      </c>
      <c r="K87" s="100">
        <f t="shared" si="3"/>
        <v>277.42017945</v>
      </c>
    </row>
    <row r="88" spans="1:11" ht="15" customHeight="1">
      <c r="A88" s="113" t="s">
        <v>854</v>
      </c>
      <c r="B88" s="95" t="str">
        <f t="shared" si="2"/>
        <v>04/25/06</v>
      </c>
      <c r="C88" s="119">
        <v>0.3958333333333333</v>
      </c>
      <c r="D88" s="97">
        <v>1530</v>
      </c>
      <c r="E88" s="99">
        <f t="shared" si="1"/>
        <v>43.3247805</v>
      </c>
      <c r="F88" s="105">
        <v>6.59</v>
      </c>
      <c r="G88" s="99">
        <v>1.29</v>
      </c>
      <c r="H88" s="98" t="s">
        <v>964</v>
      </c>
      <c r="I88" s="99">
        <v>1.76</v>
      </c>
      <c r="J88" s="100">
        <v>45.12419791666667</v>
      </c>
      <c r="K88" s="100">
        <f t="shared" si="3"/>
        <v>285.510303495</v>
      </c>
    </row>
    <row r="89" spans="1:11" ht="15" customHeight="1">
      <c r="A89" s="113" t="s">
        <v>855</v>
      </c>
      <c r="B89" s="95" t="str">
        <f t="shared" si="2"/>
        <v>05/03/06</v>
      </c>
      <c r="C89" s="119">
        <v>0.4583333333333333</v>
      </c>
      <c r="D89" s="97">
        <v>2220</v>
      </c>
      <c r="E89" s="99">
        <f t="shared" si="1"/>
        <v>62.863407</v>
      </c>
      <c r="F89" s="105">
        <v>4.62</v>
      </c>
      <c r="G89" s="99">
        <v>0.97</v>
      </c>
      <c r="H89" s="98" t="s">
        <v>964</v>
      </c>
      <c r="I89" s="99">
        <v>1.45</v>
      </c>
      <c r="J89" s="100">
        <v>34.637588541666666</v>
      </c>
      <c r="K89" s="100">
        <f t="shared" si="3"/>
        <v>290.42894034</v>
      </c>
    </row>
    <row r="90" spans="1:11" ht="15" customHeight="1">
      <c r="A90" s="113" t="s">
        <v>856</v>
      </c>
      <c r="B90" s="95" t="str">
        <f t="shared" si="2"/>
        <v>05/09/06</v>
      </c>
      <c r="C90" s="119">
        <v>0.576388888888889</v>
      </c>
      <c r="D90" s="97">
        <v>2480</v>
      </c>
      <c r="E90" s="99">
        <f t="shared" si="1"/>
        <v>70.22578800000001</v>
      </c>
      <c r="F90" s="105">
        <v>3.67</v>
      </c>
      <c r="G90" s="99">
        <v>0.88</v>
      </c>
      <c r="H90" s="98" t="s">
        <v>964</v>
      </c>
      <c r="I90" s="99">
        <v>1.4</v>
      </c>
      <c r="J90" s="100">
        <v>30.506500000000006</v>
      </c>
      <c r="K90" s="100">
        <f t="shared" si="3"/>
        <v>257.72864196</v>
      </c>
    </row>
    <row r="91" spans="1:11" ht="15" customHeight="1">
      <c r="A91" s="113" t="s">
        <v>857</v>
      </c>
      <c r="B91" s="95" t="str">
        <f t="shared" si="2"/>
        <v>05/16/06</v>
      </c>
      <c r="C91" s="119">
        <v>0.4791666666666667</v>
      </c>
      <c r="D91" s="97">
        <v>3280</v>
      </c>
      <c r="E91" s="99">
        <f t="shared" si="1"/>
        <v>92.87926800000001</v>
      </c>
      <c r="F91" s="105">
        <v>2.62</v>
      </c>
      <c r="G91" s="99">
        <v>0.73</v>
      </c>
      <c r="H91" s="98" t="s">
        <v>964</v>
      </c>
      <c r="I91" s="99">
        <v>1.16</v>
      </c>
      <c r="J91" s="100">
        <v>24.15097916666667</v>
      </c>
      <c r="K91" s="100">
        <f t="shared" si="3"/>
        <v>243.34368216000004</v>
      </c>
    </row>
    <row r="92" spans="1:11" ht="15" customHeight="1">
      <c r="A92" s="113" t="s">
        <v>858</v>
      </c>
      <c r="B92" s="95" t="str">
        <f t="shared" si="2"/>
        <v>05/23/06</v>
      </c>
      <c r="C92" s="119">
        <v>0.7708333333333334</v>
      </c>
      <c r="D92" s="97">
        <v>3620</v>
      </c>
      <c r="E92" s="99">
        <f t="shared" si="1"/>
        <v>102.506997</v>
      </c>
      <c r="F92" s="105">
        <v>2.81</v>
      </c>
      <c r="G92" s="99">
        <v>0.83</v>
      </c>
      <c r="H92" s="98" t="s">
        <v>964</v>
      </c>
      <c r="I92" s="99">
        <v>1.25</v>
      </c>
      <c r="J92" s="100">
        <v>25.422083333333333</v>
      </c>
      <c r="K92" s="100">
        <f t="shared" si="3"/>
        <v>288.04466157</v>
      </c>
    </row>
    <row r="93" spans="1:11" ht="15" customHeight="1">
      <c r="A93" s="113" t="s">
        <v>859</v>
      </c>
      <c r="B93" s="95" t="str">
        <f t="shared" si="2"/>
        <v>05/31/06</v>
      </c>
      <c r="C93" s="119">
        <v>0.5416666666666666</v>
      </c>
      <c r="D93" s="97">
        <v>2060</v>
      </c>
      <c r="E93" s="99">
        <f t="shared" si="1"/>
        <v>58.332711</v>
      </c>
      <c r="F93" s="105">
        <v>4.79</v>
      </c>
      <c r="G93" s="99">
        <v>1.27</v>
      </c>
      <c r="H93" s="98">
        <v>0.05</v>
      </c>
      <c r="I93" s="99">
        <v>0.64</v>
      </c>
      <c r="J93" s="100">
        <v>47.98418229166666</v>
      </c>
      <c r="K93" s="100">
        <f t="shared" si="3"/>
        <v>279.41368569</v>
      </c>
    </row>
    <row r="94" spans="1:11" ht="15" customHeight="1">
      <c r="A94" s="113" t="s">
        <v>860</v>
      </c>
      <c r="B94" s="95" t="str">
        <f t="shared" si="2"/>
        <v>06/09/06</v>
      </c>
      <c r="C94" s="119">
        <v>0.5</v>
      </c>
      <c r="D94" s="97">
        <v>3610</v>
      </c>
      <c r="E94" s="99">
        <f t="shared" si="1"/>
        <v>102.22382850000001</v>
      </c>
      <c r="F94" s="105">
        <v>2.67</v>
      </c>
      <c r="G94" s="99">
        <v>0.85</v>
      </c>
      <c r="H94" s="98" t="s">
        <v>964</v>
      </c>
      <c r="I94" s="99">
        <v>1.18</v>
      </c>
      <c r="J94" s="100">
        <v>23.833203125</v>
      </c>
      <c r="K94" s="100">
        <f t="shared" si="3"/>
        <v>272.937622095</v>
      </c>
    </row>
    <row r="95" spans="1:11" ht="12.75">
      <c r="A95" s="113" t="s">
        <v>861</v>
      </c>
      <c r="B95" s="95" t="str">
        <f>MID(A95,5,2)&amp;"/"&amp;MID(A95,7,2)&amp;"/"&amp;MID(A95,9,2)</f>
        <v>06/14/06</v>
      </c>
      <c r="C95" s="119">
        <v>0.7708333333333334</v>
      </c>
      <c r="D95" s="97">
        <v>2800</v>
      </c>
      <c r="E95" s="99">
        <f t="shared" si="1"/>
        <v>79.28718</v>
      </c>
      <c r="F95" s="105">
        <v>2.66</v>
      </c>
      <c r="G95" s="99">
        <v>0.86</v>
      </c>
      <c r="H95" s="98" t="s">
        <v>964</v>
      </c>
      <c r="I95" s="99">
        <v>1.07</v>
      </c>
      <c r="J95" s="100">
        <v>23.515427083333336</v>
      </c>
      <c r="K95" s="100">
        <f t="shared" si="3"/>
        <v>210.90389880000004</v>
      </c>
    </row>
    <row r="96" spans="1:11" ht="12.75">
      <c r="A96" s="113" t="s">
        <v>862</v>
      </c>
      <c r="B96" s="95" t="str">
        <f aca="true" t="shared" si="4" ref="B96:B105">MID(A96,5,2)&amp;"/"&amp;MID(A96,7,2)&amp;"/"&amp;MID(A96,9,2)</f>
        <v>06/22/06</v>
      </c>
      <c r="C96" s="119">
        <v>0.75</v>
      </c>
      <c r="D96" s="97">
        <v>1750</v>
      </c>
      <c r="E96" s="99">
        <f t="shared" si="1"/>
        <v>49.5544875</v>
      </c>
      <c r="F96" s="105">
        <v>4.21</v>
      </c>
      <c r="G96" s="99">
        <v>1.45</v>
      </c>
      <c r="H96" s="98" t="s">
        <v>964</v>
      </c>
      <c r="I96" s="99">
        <v>1.41</v>
      </c>
      <c r="J96" s="100">
        <v>29.87094791666667</v>
      </c>
      <c r="K96" s="100">
        <f t="shared" si="3"/>
        <v>208.624392375</v>
      </c>
    </row>
    <row r="97" spans="1:11" ht="12.75">
      <c r="A97" s="113" t="s">
        <v>863</v>
      </c>
      <c r="B97" s="95" t="str">
        <f t="shared" si="4"/>
        <v>06/29/06</v>
      </c>
      <c r="C97" s="119">
        <v>0.5243055555555556</v>
      </c>
      <c r="D97" s="97">
        <v>1470</v>
      </c>
      <c r="E97" s="99">
        <f t="shared" si="1"/>
        <v>41.625769500000004</v>
      </c>
      <c r="F97" s="105">
        <v>5.32</v>
      </c>
      <c r="G97" s="99">
        <v>1.9</v>
      </c>
      <c r="H97" s="98" t="s">
        <v>964</v>
      </c>
      <c r="I97" s="99">
        <v>1.8</v>
      </c>
      <c r="J97" s="100">
        <v>37.49757291666666</v>
      </c>
      <c r="K97" s="100">
        <f t="shared" si="3"/>
        <v>221.44909374000002</v>
      </c>
    </row>
    <row r="98" spans="1:11" ht="12.75">
      <c r="A98" s="113" t="s">
        <v>864</v>
      </c>
      <c r="B98" s="95" t="str">
        <f t="shared" si="4"/>
        <v>07/05/06</v>
      </c>
      <c r="C98" s="119">
        <v>0.7291666666666666</v>
      </c>
      <c r="D98" s="97">
        <v>1160</v>
      </c>
      <c r="E98" s="99">
        <f t="shared" si="1"/>
        <v>32.847546</v>
      </c>
      <c r="F98" s="105">
        <v>6.95</v>
      </c>
      <c r="G98" s="99">
        <v>2.53</v>
      </c>
      <c r="H98" s="98">
        <v>0.01</v>
      </c>
      <c r="I98" s="99">
        <v>1.97</v>
      </c>
      <c r="J98" s="100">
        <v>46.077526041666665</v>
      </c>
      <c r="K98" s="100">
        <f t="shared" si="3"/>
        <v>228.29044470000002</v>
      </c>
    </row>
    <row r="99" spans="1:11" ht="12.75">
      <c r="A99" s="113" t="s">
        <v>865</v>
      </c>
      <c r="B99" s="95" t="str">
        <f t="shared" si="4"/>
        <v>07/14/06</v>
      </c>
      <c r="C99" s="119">
        <v>0.6875</v>
      </c>
      <c r="D99" s="97">
        <v>1170</v>
      </c>
      <c r="E99" s="99">
        <f t="shared" si="1"/>
        <v>33.1307145</v>
      </c>
      <c r="F99" s="105">
        <v>7.05</v>
      </c>
      <c r="G99" s="99">
        <v>2.54</v>
      </c>
      <c r="H99" s="98">
        <v>0.01</v>
      </c>
      <c r="I99" s="99">
        <v>2.01</v>
      </c>
      <c r="J99" s="100">
        <v>47.1897421875</v>
      </c>
      <c r="K99" s="100">
        <f t="shared" si="3"/>
        <v>233.57153722500001</v>
      </c>
    </row>
    <row r="100" spans="1:11" ht="12.75">
      <c r="A100" s="113" t="s">
        <v>866</v>
      </c>
      <c r="B100" s="95" t="str">
        <f t="shared" si="4"/>
        <v>07/25/06</v>
      </c>
      <c r="C100" s="119">
        <v>0.7083333333333334</v>
      </c>
      <c r="D100" s="97">
        <v>1090</v>
      </c>
      <c r="E100" s="99">
        <f t="shared" si="1"/>
        <v>30.8653665</v>
      </c>
      <c r="F100" s="105">
        <v>6.72</v>
      </c>
      <c r="G100" s="99">
        <v>2.51</v>
      </c>
      <c r="H100" s="98">
        <v>0.01</v>
      </c>
      <c r="I100" s="99">
        <v>1.99</v>
      </c>
      <c r="J100" s="100">
        <v>45.918638020833335</v>
      </c>
      <c r="K100" s="100">
        <f t="shared" si="3"/>
        <v>207.41526288</v>
      </c>
    </row>
    <row r="101" spans="1:11" ht="12.75">
      <c r="A101" s="113" t="s">
        <v>867</v>
      </c>
      <c r="B101" s="95" t="str">
        <f t="shared" si="4"/>
        <v>08/03/06</v>
      </c>
      <c r="C101" s="119">
        <v>0.7083333333333334</v>
      </c>
      <c r="D101" s="97">
        <v>1030</v>
      </c>
      <c r="E101" s="99">
        <f t="shared" si="1"/>
        <v>29.1663555</v>
      </c>
      <c r="F101" s="105">
        <v>7.64</v>
      </c>
      <c r="G101" s="99">
        <v>2.82</v>
      </c>
      <c r="H101" s="98">
        <v>0.02</v>
      </c>
      <c r="I101" s="99">
        <v>2.19</v>
      </c>
      <c r="J101" s="100">
        <v>49.73195052083334</v>
      </c>
      <c r="K101" s="100">
        <f t="shared" si="3"/>
        <v>222.83095602</v>
      </c>
    </row>
    <row r="102" spans="1:11" ht="12.75">
      <c r="A102" s="113" t="s">
        <v>868</v>
      </c>
      <c r="B102" s="95" t="str">
        <f t="shared" si="4"/>
        <v>08/14/06</v>
      </c>
      <c r="C102" s="119">
        <v>0.6041666666666666</v>
      </c>
      <c r="D102" s="97">
        <v>850</v>
      </c>
      <c r="E102" s="99">
        <f t="shared" si="1"/>
        <v>24.069322500000002</v>
      </c>
      <c r="F102" s="105">
        <v>8.57</v>
      </c>
      <c r="G102" s="99">
        <v>3.04</v>
      </c>
      <c r="H102" s="98">
        <v>0.02</v>
      </c>
      <c r="I102" s="99">
        <v>2.35</v>
      </c>
      <c r="J102" s="100">
        <v>52.433046875</v>
      </c>
      <c r="K102" s="100">
        <f t="shared" si="3"/>
        <v>206.27409382500002</v>
      </c>
    </row>
    <row r="103" spans="1:11" ht="12.75">
      <c r="A103" s="113" t="s">
        <v>869</v>
      </c>
      <c r="B103" s="95" t="str">
        <f t="shared" si="4"/>
        <v>08/30/06</v>
      </c>
      <c r="C103" s="119">
        <v>0.6666666666666666</v>
      </c>
      <c r="D103" s="97">
        <v>752</v>
      </c>
      <c r="E103" s="99">
        <f t="shared" si="1"/>
        <v>21.2942712</v>
      </c>
      <c r="F103" s="105">
        <v>9.18</v>
      </c>
      <c r="G103" s="99">
        <v>3.23</v>
      </c>
      <c r="H103" s="98">
        <v>0.02</v>
      </c>
      <c r="I103" s="99">
        <v>2.37</v>
      </c>
      <c r="J103" s="100">
        <v>56.246359375000004</v>
      </c>
      <c r="K103" s="100">
        <f t="shared" si="3"/>
        <v>195.481409616</v>
      </c>
    </row>
    <row r="104" spans="1:11" ht="12.75">
      <c r="A104" s="113" t="s">
        <v>1109</v>
      </c>
      <c r="B104" s="95" t="str">
        <f t="shared" si="4"/>
        <v>09/13/06</v>
      </c>
      <c r="C104" s="119">
        <v>0.6770833333333334</v>
      </c>
      <c r="D104" s="97">
        <v>704</v>
      </c>
      <c r="E104" s="99">
        <f t="shared" si="1"/>
        <v>19.9350624</v>
      </c>
      <c r="F104" s="105">
        <v>9.83</v>
      </c>
      <c r="G104" s="99">
        <v>3.27</v>
      </c>
      <c r="H104" s="98">
        <v>0.02</v>
      </c>
      <c r="I104" s="99">
        <v>2.49</v>
      </c>
      <c r="J104" s="100">
        <v>58.78856770833334</v>
      </c>
      <c r="K104" s="100">
        <f t="shared" si="3"/>
        <v>195.961663392</v>
      </c>
    </row>
    <row r="105" spans="1:11" ht="12.75">
      <c r="A105" s="113" t="s">
        <v>1110</v>
      </c>
      <c r="B105" s="95" t="str">
        <f t="shared" si="4"/>
        <v>09/27/06</v>
      </c>
      <c r="C105" s="119">
        <v>0.6666666666666666</v>
      </c>
      <c r="D105" s="97">
        <v>673</v>
      </c>
      <c r="E105" s="99">
        <f t="shared" si="1"/>
        <v>19.05724005</v>
      </c>
      <c r="F105" s="105">
        <v>10.7</v>
      </c>
      <c r="G105" s="99">
        <v>3.16</v>
      </c>
      <c r="H105" s="98">
        <v>0.02</v>
      </c>
      <c r="I105" s="99">
        <v>2.8</v>
      </c>
      <c r="J105" s="100">
        <v>61.171888020833336</v>
      </c>
      <c r="K105" s="100">
        <f t="shared" si="3"/>
        <v>203.912468535</v>
      </c>
    </row>
    <row r="106" spans="1:10" ht="12.75">
      <c r="A106" s="82" t="s">
        <v>1268</v>
      </c>
      <c r="B106" s="95"/>
      <c r="C106" s="119"/>
      <c r="E106" s="99"/>
      <c r="F106" s="105"/>
      <c r="J106" s="100"/>
    </row>
    <row r="107" spans="1:11" ht="12.75">
      <c r="A107" s="113" t="s">
        <v>1111</v>
      </c>
      <c r="B107" s="95">
        <v>39010.479166666664</v>
      </c>
      <c r="C107" s="96">
        <f>B107</f>
        <v>39010.479166666664</v>
      </c>
      <c r="D107" s="97">
        <v>836</v>
      </c>
      <c r="E107" s="99">
        <f t="shared" si="1"/>
        <v>23.672886600000002</v>
      </c>
      <c r="F107" s="105">
        <v>10.9</v>
      </c>
      <c r="G107" s="99">
        <v>2.87</v>
      </c>
      <c r="H107" s="98">
        <v>0.02</v>
      </c>
      <c r="I107" s="99">
        <v>2.97</v>
      </c>
      <c r="J107" s="100">
        <v>59.74189583333334</v>
      </c>
      <c r="K107" s="100">
        <f t="shared" si="3"/>
        <v>258.03446394</v>
      </c>
    </row>
    <row r="108" spans="1:11" ht="12.75">
      <c r="A108" s="113" t="s">
        <v>574</v>
      </c>
      <c r="B108" s="95">
        <v>39037.46875</v>
      </c>
      <c r="C108" s="96">
        <f aca="true" t="shared" si="5" ref="C108:C134">B108</f>
        <v>39037.46875</v>
      </c>
      <c r="D108" s="97">
        <v>673</v>
      </c>
      <c r="E108" s="99">
        <f t="shared" si="1"/>
        <v>19.05724005</v>
      </c>
      <c r="F108" s="99">
        <v>11.1</v>
      </c>
      <c r="G108" s="99">
        <v>3.01</v>
      </c>
      <c r="H108" s="98">
        <v>0.02</v>
      </c>
      <c r="I108" s="99">
        <v>2.96</v>
      </c>
      <c r="J108" s="100">
        <v>63.23743229166667</v>
      </c>
      <c r="K108" s="100">
        <f t="shared" si="3"/>
        <v>211.535364555</v>
      </c>
    </row>
    <row r="109" spans="1:11" ht="12.75">
      <c r="A109" s="113" t="s">
        <v>575</v>
      </c>
      <c r="B109" s="95">
        <v>39066.479166666664</v>
      </c>
      <c r="C109" s="96">
        <f t="shared" si="5"/>
        <v>39066.479166666664</v>
      </c>
      <c r="D109" s="97">
        <v>588</v>
      </c>
      <c r="E109" s="99">
        <f t="shared" si="1"/>
        <v>16.6503078</v>
      </c>
      <c r="F109" s="99">
        <v>12.6</v>
      </c>
      <c r="G109" s="99">
        <v>3.33</v>
      </c>
      <c r="H109" s="98">
        <v>0.02</v>
      </c>
      <c r="I109" s="99">
        <v>3.04</v>
      </c>
      <c r="J109" s="100">
        <v>71.49960937499999</v>
      </c>
      <c r="K109" s="100">
        <f t="shared" si="3"/>
        <v>209.79387828</v>
      </c>
    </row>
    <row r="110" spans="1:11" ht="12.75">
      <c r="A110" s="113" t="s">
        <v>658</v>
      </c>
      <c r="B110" s="95">
        <v>39093.625</v>
      </c>
      <c r="C110" s="96">
        <f t="shared" si="5"/>
        <v>39093.625</v>
      </c>
      <c r="D110" s="97">
        <v>551</v>
      </c>
      <c r="E110" s="99">
        <f t="shared" si="1"/>
        <v>15.60258435</v>
      </c>
      <c r="F110" s="99">
        <v>14</v>
      </c>
      <c r="G110" s="99">
        <v>3.52</v>
      </c>
      <c r="H110" s="98">
        <v>0.03</v>
      </c>
      <c r="I110" s="99">
        <v>3.65</v>
      </c>
      <c r="J110" s="100">
        <v>78.80845833333333</v>
      </c>
      <c r="K110" s="100">
        <f t="shared" si="3"/>
        <v>218.4361809</v>
      </c>
    </row>
    <row r="111" spans="1:11" ht="12.75">
      <c r="A111" s="113" t="s">
        <v>659</v>
      </c>
      <c r="B111" s="95">
        <v>39123.416666666664</v>
      </c>
      <c r="C111" s="96">
        <f t="shared" si="5"/>
        <v>39123.416666666664</v>
      </c>
      <c r="D111" s="97">
        <v>452</v>
      </c>
      <c r="E111" s="99">
        <f t="shared" si="1"/>
        <v>12.7992162</v>
      </c>
      <c r="F111" s="99">
        <v>14.1</v>
      </c>
      <c r="G111" s="99">
        <v>3.42</v>
      </c>
      <c r="H111" s="98">
        <v>0.03</v>
      </c>
      <c r="I111" s="99">
        <v>3.19</v>
      </c>
      <c r="J111" s="100">
        <v>78.80845833333333</v>
      </c>
      <c r="K111" s="100">
        <f t="shared" si="3"/>
        <v>180.46894842</v>
      </c>
    </row>
    <row r="112" spans="1:11" ht="12.75">
      <c r="A112" s="113" t="s">
        <v>660</v>
      </c>
      <c r="B112" s="95">
        <v>39149.520833333336</v>
      </c>
      <c r="C112" s="96">
        <f t="shared" si="5"/>
        <v>39149.520833333336</v>
      </c>
      <c r="D112" s="97">
        <v>447</v>
      </c>
      <c r="E112" s="99">
        <f t="shared" si="1"/>
        <v>12.65763195</v>
      </c>
      <c r="F112" s="99">
        <v>10.8</v>
      </c>
      <c r="G112" s="99">
        <v>2.37</v>
      </c>
      <c r="H112" s="98">
        <v>0.01</v>
      </c>
      <c r="I112" s="99">
        <v>2.58</v>
      </c>
      <c r="J112" s="100">
        <v>63.23743229166667</v>
      </c>
      <c r="K112" s="100">
        <f t="shared" si="3"/>
        <v>136.70242506000002</v>
      </c>
    </row>
    <row r="113" spans="1:11" ht="12.75">
      <c r="A113" s="113" t="s">
        <v>661</v>
      </c>
      <c r="B113" s="95">
        <v>39164.479166666664</v>
      </c>
      <c r="C113" s="96">
        <f t="shared" si="5"/>
        <v>39164.479166666664</v>
      </c>
      <c r="D113" s="97">
        <v>600</v>
      </c>
      <c r="E113" s="99">
        <f t="shared" si="1"/>
        <v>16.99011</v>
      </c>
      <c r="F113" s="99">
        <v>10.8</v>
      </c>
      <c r="G113" s="99">
        <v>2.38</v>
      </c>
      <c r="H113" s="98">
        <v>0.01</v>
      </c>
      <c r="I113" s="99">
        <v>2.63</v>
      </c>
      <c r="J113" s="100">
        <v>63.07854427083332</v>
      </c>
      <c r="K113" s="100">
        <f t="shared" si="3"/>
        <v>183.49318800000003</v>
      </c>
    </row>
    <row r="114" spans="1:11" ht="12.75">
      <c r="A114" s="113" t="s">
        <v>662</v>
      </c>
      <c r="B114" s="95">
        <v>39176.708333333336</v>
      </c>
      <c r="C114" s="96">
        <f t="shared" si="5"/>
        <v>39176.708333333336</v>
      </c>
      <c r="D114" s="97">
        <v>666</v>
      </c>
      <c r="E114" s="99">
        <f t="shared" si="1"/>
        <v>18.8590221</v>
      </c>
      <c r="F114" s="99">
        <v>11.6</v>
      </c>
      <c r="G114" s="99">
        <v>2.57</v>
      </c>
      <c r="H114" s="98">
        <v>0.01</v>
      </c>
      <c r="I114" s="99">
        <v>2.78</v>
      </c>
      <c r="J114" s="100">
        <v>67.686296875</v>
      </c>
      <c r="K114" s="100">
        <f t="shared" si="3"/>
        <v>218.76465636</v>
      </c>
    </row>
    <row r="115" spans="1:11" ht="12.75">
      <c r="A115" s="113" t="s">
        <v>311</v>
      </c>
      <c r="B115" s="95">
        <v>39191.53472222222</v>
      </c>
      <c r="C115" s="96">
        <f t="shared" si="5"/>
        <v>39191.53472222222</v>
      </c>
      <c r="D115" s="100">
        <v>1280</v>
      </c>
      <c r="E115" s="99">
        <f t="shared" si="1"/>
        <v>36.245568</v>
      </c>
      <c r="F115" s="99">
        <v>8.07</v>
      </c>
      <c r="G115" s="99">
        <v>1.77</v>
      </c>
      <c r="H115" s="98" t="s">
        <v>964</v>
      </c>
      <c r="I115" s="99">
        <v>2.13</v>
      </c>
      <c r="J115" s="100">
        <v>50.208614583333336</v>
      </c>
      <c r="K115" s="100">
        <f t="shared" si="3"/>
        <v>292.50173376</v>
      </c>
    </row>
    <row r="116" spans="1:11" ht="12.75">
      <c r="A116" s="113" t="s">
        <v>312</v>
      </c>
      <c r="B116" s="95">
        <v>39198.694444444445</v>
      </c>
      <c r="C116" s="96">
        <f t="shared" si="5"/>
        <v>39198.694444444445</v>
      </c>
      <c r="D116" s="100">
        <v>1550</v>
      </c>
      <c r="E116" s="99">
        <f t="shared" si="1"/>
        <v>43.8911175</v>
      </c>
      <c r="F116" s="99">
        <v>3.86</v>
      </c>
      <c r="G116" s="99">
        <v>1</v>
      </c>
      <c r="H116" s="98" t="s">
        <v>964</v>
      </c>
      <c r="I116" s="99">
        <v>1.34</v>
      </c>
      <c r="J116" s="100">
        <v>30.34761197916667</v>
      </c>
      <c r="K116" s="100">
        <f t="shared" si="3"/>
        <v>169.41971354999998</v>
      </c>
    </row>
    <row r="117" spans="1:11" ht="12.75">
      <c r="A117" s="113" t="s">
        <v>313</v>
      </c>
      <c r="B117" s="95">
        <v>39205.541666666664</v>
      </c>
      <c r="C117" s="96">
        <f t="shared" si="5"/>
        <v>39205.541666666664</v>
      </c>
      <c r="D117" s="100">
        <v>2350</v>
      </c>
      <c r="E117" s="99">
        <f t="shared" si="1"/>
        <v>66.54459750000001</v>
      </c>
      <c r="F117" s="99">
        <v>3.52</v>
      </c>
      <c r="G117" s="99">
        <v>0.98</v>
      </c>
      <c r="H117" s="98" t="s">
        <v>964</v>
      </c>
      <c r="I117" s="99">
        <v>1.51</v>
      </c>
      <c r="J117" s="100">
        <v>29.87094791666667</v>
      </c>
      <c r="K117" s="100">
        <f t="shared" si="3"/>
        <v>234.23698320000003</v>
      </c>
    </row>
    <row r="118" spans="1:11" ht="12.75">
      <c r="A118" s="113" t="s">
        <v>314</v>
      </c>
      <c r="B118" s="95">
        <v>39212.666666666664</v>
      </c>
      <c r="C118" s="96">
        <f t="shared" si="5"/>
        <v>39212.666666666664</v>
      </c>
      <c r="D118" s="100">
        <v>1770</v>
      </c>
      <c r="E118" s="99">
        <f t="shared" si="1"/>
        <v>50.120824500000005</v>
      </c>
      <c r="F118" s="99">
        <v>3.56</v>
      </c>
      <c r="G118" s="99">
        <v>1.08</v>
      </c>
      <c r="H118" s="98" t="s">
        <v>964</v>
      </c>
      <c r="I118" s="99">
        <v>1.41</v>
      </c>
      <c r="J118" s="100">
        <v>29.39428385416667</v>
      </c>
      <c r="K118" s="100">
        <f t="shared" si="3"/>
        <v>178.43013522</v>
      </c>
    </row>
    <row r="119" spans="1:11" ht="12.75">
      <c r="A119" s="113" t="s">
        <v>315</v>
      </c>
      <c r="B119" s="95">
        <v>39219.63888888889</v>
      </c>
      <c r="C119" s="96">
        <f t="shared" si="5"/>
        <v>39219.63888888889</v>
      </c>
      <c r="D119" s="100">
        <v>2230</v>
      </c>
      <c r="E119" s="99">
        <f t="shared" si="1"/>
        <v>63.146575500000004</v>
      </c>
      <c r="F119" s="99">
        <v>3.6</v>
      </c>
      <c r="G119" s="99">
        <v>1.08</v>
      </c>
      <c r="H119" s="98" t="s">
        <v>964</v>
      </c>
      <c r="I119" s="99">
        <v>1.4</v>
      </c>
      <c r="J119" s="100">
        <v>29.235395833333335</v>
      </c>
      <c r="K119" s="100">
        <f t="shared" si="3"/>
        <v>227.32767180000002</v>
      </c>
    </row>
    <row r="120" spans="1:11" ht="12.75">
      <c r="A120" s="113" t="s">
        <v>316</v>
      </c>
      <c r="B120" s="95">
        <v>39225.625</v>
      </c>
      <c r="C120" s="96">
        <f t="shared" si="5"/>
        <v>39225.625</v>
      </c>
      <c r="D120" s="100">
        <v>1680</v>
      </c>
      <c r="E120" s="99">
        <f t="shared" si="1"/>
        <v>47.572308</v>
      </c>
      <c r="F120" s="99">
        <v>5.28</v>
      </c>
      <c r="G120" s="99">
        <v>1.56</v>
      </c>
      <c r="H120" s="98" t="s">
        <v>964</v>
      </c>
      <c r="I120" s="99">
        <v>1.63</v>
      </c>
      <c r="J120" s="100">
        <v>37.02090885416667</v>
      </c>
      <c r="K120" s="100">
        <f t="shared" si="3"/>
        <v>251.18178624</v>
      </c>
    </row>
    <row r="121" spans="1:11" ht="12.75">
      <c r="A121" s="113" t="s">
        <v>317</v>
      </c>
      <c r="B121" s="95">
        <v>39232.604166666664</v>
      </c>
      <c r="C121" s="96">
        <f t="shared" si="5"/>
        <v>39232.604166666664</v>
      </c>
      <c r="D121" s="100">
        <v>1520</v>
      </c>
      <c r="E121" s="99">
        <f t="shared" si="1"/>
        <v>43.041612</v>
      </c>
      <c r="F121" s="99">
        <v>5.27</v>
      </c>
      <c r="G121" s="99">
        <v>1.56</v>
      </c>
      <c r="H121" s="98" t="s">
        <v>964</v>
      </c>
      <c r="I121" s="99">
        <v>1.64</v>
      </c>
      <c r="J121" s="100">
        <v>36.7031328125</v>
      </c>
      <c r="K121" s="100">
        <f t="shared" si="3"/>
        <v>226.82929524</v>
      </c>
    </row>
    <row r="122" spans="1:11" ht="12.75">
      <c r="A122" s="113" t="s">
        <v>318</v>
      </c>
      <c r="B122" s="95">
        <v>39241.520833333336</v>
      </c>
      <c r="C122" s="96">
        <f t="shared" si="5"/>
        <v>39241.520833333336</v>
      </c>
      <c r="D122" s="100">
        <v>1310</v>
      </c>
      <c r="E122" s="99">
        <f t="shared" si="1"/>
        <v>37.0950735</v>
      </c>
      <c r="F122" s="99">
        <v>7.69</v>
      </c>
      <c r="G122" s="99">
        <v>2.31</v>
      </c>
      <c r="H122" s="98">
        <v>0.01</v>
      </c>
      <c r="I122" s="99">
        <v>2.1</v>
      </c>
      <c r="J122" s="100">
        <v>54.18081510416667</v>
      </c>
      <c r="K122" s="100">
        <f t="shared" si="3"/>
        <v>285.261115215</v>
      </c>
    </row>
    <row r="123" spans="1:11" ht="12.75">
      <c r="A123" s="113" t="s">
        <v>356</v>
      </c>
      <c r="B123" s="95">
        <v>39247.458333333336</v>
      </c>
      <c r="C123" s="96">
        <f t="shared" si="5"/>
        <v>39247.458333333336</v>
      </c>
      <c r="D123" s="100">
        <v>1120</v>
      </c>
      <c r="E123" s="99">
        <f t="shared" si="1"/>
        <v>31.714872</v>
      </c>
      <c r="F123" s="99">
        <v>7.67</v>
      </c>
      <c r="G123" s="99">
        <v>2.32</v>
      </c>
      <c r="H123" s="98">
        <v>0.01</v>
      </c>
      <c r="I123" s="99">
        <v>2.08</v>
      </c>
      <c r="J123" s="100">
        <v>50.0497265625</v>
      </c>
      <c r="K123" s="100">
        <f t="shared" si="3"/>
        <v>243.25306824</v>
      </c>
    </row>
    <row r="124" spans="1:11" ht="12.75">
      <c r="A124" s="113" t="s">
        <v>357</v>
      </c>
      <c r="B124" s="95">
        <v>39256.5</v>
      </c>
      <c r="C124" s="96">
        <f t="shared" si="5"/>
        <v>39256.5</v>
      </c>
      <c r="D124" s="100">
        <v>850</v>
      </c>
      <c r="E124" s="99">
        <f t="shared" si="1"/>
        <v>24.069322500000002</v>
      </c>
      <c r="F124" s="99">
        <v>8.88</v>
      </c>
      <c r="G124" s="99">
        <v>2.67</v>
      </c>
      <c r="H124" s="98">
        <v>0.02</v>
      </c>
      <c r="I124" s="99">
        <v>2.29</v>
      </c>
      <c r="J124" s="100">
        <v>54.33970312500001</v>
      </c>
      <c r="K124" s="100">
        <f t="shared" si="3"/>
        <v>213.73558380000003</v>
      </c>
    </row>
    <row r="125" spans="1:11" ht="12.75">
      <c r="A125" s="113" t="s">
        <v>358</v>
      </c>
      <c r="B125" s="95">
        <v>39262.322916666664</v>
      </c>
      <c r="C125" s="96">
        <f t="shared" si="5"/>
        <v>39262.322916666664</v>
      </c>
      <c r="D125" s="100">
        <v>630</v>
      </c>
      <c r="E125" s="99">
        <f t="shared" si="1"/>
        <v>17.8396155</v>
      </c>
      <c r="F125" s="99">
        <v>9.13</v>
      </c>
      <c r="G125" s="99">
        <v>2.82</v>
      </c>
      <c r="H125" s="98">
        <v>0.02</v>
      </c>
      <c r="I125" s="99">
        <v>2.34</v>
      </c>
      <c r="J125" s="100">
        <v>57.1996875</v>
      </c>
      <c r="K125" s="100">
        <f t="shared" si="3"/>
        <v>162.87568951500003</v>
      </c>
    </row>
    <row r="126" spans="1:11" ht="12.75">
      <c r="A126" s="113" t="s">
        <v>359</v>
      </c>
      <c r="B126" s="95">
        <v>39269.6875</v>
      </c>
      <c r="C126" s="96">
        <f t="shared" si="5"/>
        <v>39269.6875</v>
      </c>
      <c r="D126" s="100">
        <v>679</v>
      </c>
      <c r="E126" s="99">
        <f t="shared" si="1"/>
        <v>19.22714115</v>
      </c>
      <c r="F126" s="99">
        <v>10.1</v>
      </c>
      <c r="G126" s="99">
        <v>2.93</v>
      </c>
      <c r="H126" s="98">
        <v>0.01</v>
      </c>
      <c r="I126" s="99">
        <v>2.5</v>
      </c>
      <c r="J126" s="100">
        <v>54.97525520833333</v>
      </c>
      <c r="K126" s="100">
        <f t="shared" si="3"/>
        <v>194.19412561500002</v>
      </c>
    </row>
    <row r="127" spans="1:11" ht="12.75">
      <c r="A127" s="113" t="s">
        <v>360</v>
      </c>
      <c r="B127" s="95">
        <v>39276.75</v>
      </c>
      <c r="C127" s="96">
        <f t="shared" si="5"/>
        <v>39276.75</v>
      </c>
      <c r="D127" s="100">
        <v>630</v>
      </c>
      <c r="E127" s="99">
        <f aca="true" t="shared" si="6" ref="E127:E134">D127*0.02831685</f>
        <v>17.8396155</v>
      </c>
      <c r="F127" s="99">
        <v>11.1</v>
      </c>
      <c r="G127" s="99">
        <v>3.28</v>
      </c>
      <c r="H127" s="98">
        <v>0.02</v>
      </c>
      <c r="I127" s="99">
        <v>3.19</v>
      </c>
      <c r="J127" s="100">
        <v>67.36852083333333</v>
      </c>
      <c r="K127" s="100">
        <f t="shared" si="3"/>
        <v>198.01973205000002</v>
      </c>
    </row>
    <row r="128" spans="1:11" ht="12.75">
      <c r="A128" s="113" t="s">
        <v>361</v>
      </c>
      <c r="B128" s="95">
        <v>39289.729166666664</v>
      </c>
      <c r="C128" s="96">
        <f t="shared" si="5"/>
        <v>39289.729166666664</v>
      </c>
      <c r="D128" s="100">
        <v>648</v>
      </c>
      <c r="E128" s="99">
        <f t="shared" si="6"/>
        <v>18.3493188</v>
      </c>
      <c r="F128" s="99">
        <v>11</v>
      </c>
      <c r="G128" s="99">
        <v>3.35</v>
      </c>
      <c r="H128" s="98">
        <v>0.02</v>
      </c>
      <c r="I128" s="99">
        <v>2.63</v>
      </c>
      <c r="J128" s="100">
        <v>66.09741666666667</v>
      </c>
      <c r="K128" s="100">
        <f t="shared" si="3"/>
        <v>201.8425068</v>
      </c>
    </row>
    <row r="129" spans="1:11" ht="12.75">
      <c r="A129" s="113" t="s">
        <v>362</v>
      </c>
      <c r="B129" s="95">
        <v>39297.458333333336</v>
      </c>
      <c r="C129" s="96">
        <f t="shared" si="5"/>
        <v>39297.458333333336</v>
      </c>
      <c r="D129" s="97">
        <v>624</v>
      </c>
      <c r="E129" s="99">
        <f t="shared" si="6"/>
        <v>17.6697144</v>
      </c>
      <c r="F129" s="99">
        <v>10.9</v>
      </c>
      <c r="G129" s="99">
        <v>3.35</v>
      </c>
      <c r="H129" s="98">
        <v>0.02</v>
      </c>
      <c r="I129" s="99">
        <v>2.63</v>
      </c>
      <c r="J129" s="100">
        <v>65.93852864583333</v>
      </c>
      <c r="K129" s="100">
        <f t="shared" si="3"/>
        <v>192.59988696000002</v>
      </c>
    </row>
    <row r="130" spans="1:11" ht="12.75">
      <c r="A130" s="113" t="s">
        <v>363</v>
      </c>
      <c r="B130" s="95">
        <v>39311.4375</v>
      </c>
      <c r="C130" s="96">
        <f t="shared" si="5"/>
        <v>39311.4375</v>
      </c>
      <c r="D130" s="100">
        <v>525</v>
      </c>
      <c r="E130" s="99">
        <f t="shared" si="6"/>
        <v>14.866346250000001</v>
      </c>
      <c r="F130" s="99">
        <v>10.9</v>
      </c>
      <c r="G130" s="99">
        <v>3.35</v>
      </c>
      <c r="H130" s="98">
        <v>0.02</v>
      </c>
      <c r="I130" s="99">
        <v>2.63</v>
      </c>
      <c r="J130" s="100">
        <v>65.62075260416667</v>
      </c>
      <c r="K130" s="100">
        <f t="shared" si="3"/>
        <v>162.043174125</v>
      </c>
    </row>
    <row r="131" spans="1:11" ht="12.75">
      <c r="A131" s="113" t="s">
        <v>364</v>
      </c>
      <c r="B131" s="95">
        <v>39318.510416666664</v>
      </c>
      <c r="C131" s="96">
        <f t="shared" si="5"/>
        <v>39318.510416666664</v>
      </c>
      <c r="D131" s="100">
        <v>505</v>
      </c>
      <c r="E131" s="99">
        <f t="shared" si="6"/>
        <v>14.30000925</v>
      </c>
      <c r="F131" s="99">
        <v>11.3</v>
      </c>
      <c r="G131" s="99">
        <v>3.45</v>
      </c>
      <c r="H131" s="98">
        <v>0.02</v>
      </c>
      <c r="I131" s="99">
        <v>2.64</v>
      </c>
      <c r="J131" s="100">
        <v>67.05074479166667</v>
      </c>
      <c r="K131" s="100">
        <f t="shared" si="3"/>
        <v>161.59010452500002</v>
      </c>
    </row>
    <row r="132" spans="1:11" ht="12.75">
      <c r="A132" s="113" t="s">
        <v>365</v>
      </c>
      <c r="B132" s="95">
        <v>39331.541666666664</v>
      </c>
      <c r="C132" s="96">
        <f t="shared" si="5"/>
        <v>39331.541666666664</v>
      </c>
      <c r="D132" s="100">
        <v>499</v>
      </c>
      <c r="E132" s="99">
        <f t="shared" si="6"/>
        <v>14.13010815</v>
      </c>
      <c r="F132" s="99">
        <v>12.2</v>
      </c>
      <c r="G132" s="99">
        <v>3.57</v>
      </c>
      <c r="H132" s="98">
        <v>0.02</v>
      </c>
      <c r="I132" s="99">
        <v>2.77</v>
      </c>
      <c r="J132" s="100">
        <v>71.65849739583334</v>
      </c>
      <c r="K132" s="100">
        <f t="shared" si="3"/>
        <v>172.38731943</v>
      </c>
    </row>
    <row r="133" spans="1:11" ht="12.75">
      <c r="A133" s="113" t="s">
        <v>366</v>
      </c>
      <c r="B133" s="95">
        <v>39346.520833333336</v>
      </c>
      <c r="C133" s="96">
        <f t="shared" si="5"/>
        <v>39346.520833333336</v>
      </c>
      <c r="D133" s="100">
        <v>475</v>
      </c>
      <c r="E133" s="99">
        <f t="shared" si="6"/>
        <v>13.450503750000001</v>
      </c>
      <c r="F133" s="99">
        <v>12.2</v>
      </c>
      <c r="G133" s="99">
        <v>3.58</v>
      </c>
      <c r="H133" s="98">
        <v>0.02</v>
      </c>
      <c r="I133" s="99">
        <v>2.77</v>
      </c>
      <c r="J133" s="100">
        <v>71.65849739583334</v>
      </c>
      <c r="K133" s="100">
        <f t="shared" si="3"/>
        <v>164.09614575</v>
      </c>
    </row>
    <row r="134" spans="1:11" ht="12.75">
      <c r="A134" s="113" t="s">
        <v>367</v>
      </c>
      <c r="B134" s="95">
        <v>39353.375</v>
      </c>
      <c r="C134" s="96">
        <f t="shared" si="5"/>
        <v>39353.375</v>
      </c>
      <c r="D134" s="100">
        <v>479</v>
      </c>
      <c r="E134" s="99">
        <f t="shared" si="6"/>
        <v>13.56377115</v>
      </c>
      <c r="F134" s="99">
        <v>12.4</v>
      </c>
      <c r="G134" s="99">
        <v>3.5</v>
      </c>
      <c r="H134" s="98">
        <v>0.02</v>
      </c>
      <c r="I134" s="99">
        <v>2.84</v>
      </c>
      <c r="J134" s="100">
        <v>71.18183333333333</v>
      </c>
      <c r="K134" s="100">
        <f t="shared" si="3"/>
        <v>168.19076226</v>
      </c>
    </row>
    <row r="135" spans="1:2" ht="12.75">
      <c r="A135" s="82" t="s">
        <v>384</v>
      </c>
      <c r="B135" s="95"/>
    </row>
    <row r="136" spans="1:11" ht="12.75">
      <c r="A136" s="93" t="s">
        <v>176</v>
      </c>
      <c r="B136" s="95">
        <v>39374.520833333336</v>
      </c>
      <c r="C136" s="96">
        <f>B136</f>
        <v>39374.520833333336</v>
      </c>
      <c r="D136" s="97">
        <v>576</v>
      </c>
      <c r="E136" s="99">
        <f aca="true" t="shared" si="7" ref="E136:E161">D136*0.02831685</f>
        <v>16.3105056</v>
      </c>
      <c r="F136" s="99">
        <v>12.4</v>
      </c>
      <c r="G136" s="99">
        <v>3.25</v>
      </c>
      <c r="H136" s="98">
        <v>0.02</v>
      </c>
      <c r="I136" s="99">
        <v>2.95</v>
      </c>
      <c r="J136" s="100">
        <v>70</v>
      </c>
      <c r="K136" s="100">
        <f aca="true" t="shared" si="8" ref="K136:K161">E136*F136</f>
        <v>202.25026943999998</v>
      </c>
    </row>
    <row r="137" spans="1:11" ht="12.75">
      <c r="A137" s="93" t="s">
        <v>0</v>
      </c>
      <c r="B137" s="95">
        <v>39395.572916666664</v>
      </c>
      <c r="C137" s="96">
        <f>B137</f>
        <v>39395.572916666664</v>
      </c>
      <c r="D137" s="97">
        <v>510</v>
      </c>
      <c r="E137" s="99">
        <f t="shared" si="7"/>
        <v>14.4415935</v>
      </c>
      <c r="F137" s="99">
        <v>12.2</v>
      </c>
      <c r="G137" s="99">
        <v>3.14</v>
      </c>
      <c r="H137" s="98">
        <v>0.02</v>
      </c>
      <c r="I137" s="99">
        <v>2.99</v>
      </c>
      <c r="J137" s="100">
        <v>67</v>
      </c>
      <c r="K137" s="100">
        <f t="shared" si="8"/>
        <v>176.1874407</v>
      </c>
    </row>
    <row r="138" spans="1:11" ht="12.75">
      <c r="A138" s="93" t="s">
        <v>1</v>
      </c>
      <c r="B138" s="95">
        <v>39422</v>
      </c>
      <c r="D138" s="97">
        <v>506</v>
      </c>
      <c r="E138" s="99">
        <f t="shared" si="7"/>
        <v>14.3283261</v>
      </c>
      <c r="F138" s="99">
        <v>12.7</v>
      </c>
      <c r="G138" s="99">
        <v>3.14</v>
      </c>
      <c r="H138" s="98">
        <v>0.03</v>
      </c>
      <c r="I138" s="99">
        <v>3.07</v>
      </c>
      <c r="J138" s="100">
        <v>70</v>
      </c>
      <c r="K138" s="100">
        <f t="shared" si="8"/>
        <v>181.96974147</v>
      </c>
    </row>
    <row r="139" spans="1:11" ht="12.75">
      <c r="A139" s="93" t="s">
        <v>2</v>
      </c>
      <c r="B139" s="95">
        <v>39456.6875</v>
      </c>
      <c r="C139" s="96">
        <f aca="true" t="shared" si="9" ref="C139:C161">B139</f>
        <v>39456.6875</v>
      </c>
      <c r="D139" s="97">
        <v>420</v>
      </c>
      <c r="E139" s="99">
        <f t="shared" si="7"/>
        <v>11.893077</v>
      </c>
      <c r="F139" s="99">
        <v>14.7</v>
      </c>
      <c r="G139" s="99">
        <v>3.54</v>
      </c>
      <c r="H139" s="98">
        <v>0.03</v>
      </c>
      <c r="I139" s="99">
        <v>3.38</v>
      </c>
      <c r="J139" s="100">
        <v>85.16397916666668</v>
      </c>
      <c r="K139" s="100">
        <f t="shared" si="8"/>
        <v>174.8282319</v>
      </c>
    </row>
    <row r="140" spans="1:11" ht="12.75">
      <c r="A140" s="93" t="s">
        <v>3</v>
      </c>
      <c r="B140" s="95">
        <v>39486.708333333336</v>
      </c>
      <c r="C140" s="96">
        <f t="shared" si="9"/>
        <v>39486.708333333336</v>
      </c>
      <c r="D140" s="97">
        <v>380</v>
      </c>
      <c r="E140" s="99">
        <f t="shared" si="7"/>
        <v>10.760403</v>
      </c>
      <c r="F140" s="99">
        <v>14.6</v>
      </c>
      <c r="G140" s="99">
        <v>3.47</v>
      </c>
      <c r="H140" s="98">
        <v>0.03</v>
      </c>
      <c r="I140" s="99">
        <v>3.35</v>
      </c>
      <c r="J140" s="100">
        <v>85.16397916666668</v>
      </c>
      <c r="K140" s="100">
        <f t="shared" si="8"/>
        <v>157.1018838</v>
      </c>
    </row>
    <row r="141" spans="1:11" ht="12.75">
      <c r="A141" s="93" t="s">
        <v>4</v>
      </c>
      <c r="B141" s="95">
        <v>39515.708333333336</v>
      </c>
      <c r="C141" s="96">
        <f t="shared" si="9"/>
        <v>39515.708333333336</v>
      </c>
      <c r="D141" s="97">
        <v>380</v>
      </c>
      <c r="E141" s="99">
        <f t="shared" si="7"/>
        <v>10.760403</v>
      </c>
      <c r="F141" s="99">
        <v>14.9</v>
      </c>
      <c r="G141" s="99">
        <v>3.52</v>
      </c>
      <c r="H141" s="98">
        <v>0.03</v>
      </c>
      <c r="I141" s="99">
        <v>6.92</v>
      </c>
      <c r="J141" s="100">
        <v>83.89287500000002</v>
      </c>
      <c r="K141" s="100">
        <f t="shared" si="8"/>
        <v>160.33000470000002</v>
      </c>
    </row>
    <row r="142" spans="1:11" ht="12.75">
      <c r="A142" s="93" t="s">
        <v>5</v>
      </c>
      <c r="B142" s="95">
        <v>39527.53125</v>
      </c>
      <c r="C142" s="96">
        <f t="shared" si="9"/>
        <v>39527.53125</v>
      </c>
      <c r="D142" s="97">
        <v>408</v>
      </c>
      <c r="E142" s="99">
        <f t="shared" si="7"/>
        <v>11.5532748</v>
      </c>
      <c r="F142" s="99">
        <v>15.3</v>
      </c>
      <c r="G142" s="99">
        <v>3.28</v>
      </c>
      <c r="H142" s="98">
        <v>0.05</v>
      </c>
      <c r="I142" s="99">
        <v>4.19</v>
      </c>
      <c r="J142" s="100">
        <v>78.33179427083334</v>
      </c>
      <c r="K142" s="100">
        <f t="shared" si="8"/>
        <v>176.76510444000002</v>
      </c>
    </row>
    <row r="143" spans="1:11" ht="12.75">
      <c r="A143" s="93" t="s">
        <v>6</v>
      </c>
      <c r="B143" s="95">
        <v>39541.65277777778</v>
      </c>
      <c r="C143" s="96">
        <f t="shared" si="9"/>
        <v>39541.65277777778</v>
      </c>
      <c r="D143" s="97">
        <v>370</v>
      </c>
      <c r="E143" s="99">
        <f t="shared" si="7"/>
        <v>10.4772345</v>
      </c>
      <c r="F143" s="99">
        <v>15.5</v>
      </c>
      <c r="G143" s="99">
        <v>3.57</v>
      </c>
      <c r="H143" s="98">
        <v>0.03</v>
      </c>
      <c r="I143" s="99">
        <v>3.3</v>
      </c>
      <c r="J143" s="100">
        <v>86.11730729166666</v>
      </c>
      <c r="K143" s="100">
        <f t="shared" si="8"/>
        <v>162.39713475</v>
      </c>
    </row>
    <row r="144" spans="1:11" ht="12.75">
      <c r="A144" s="93" t="s">
        <v>7</v>
      </c>
      <c r="B144" s="95">
        <v>39556.71875</v>
      </c>
      <c r="C144" s="96">
        <f t="shared" si="9"/>
        <v>39556.71875</v>
      </c>
      <c r="D144" s="97">
        <v>462</v>
      </c>
      <c r="E144" s="99">
        <f t="shared" si="7"/>
        <v>13.0823847</v>
      </c>
      <c r="F144" s="99">
        <v>13.6</v>
      </c>
      <c r="G144" s="99">
        <v>2.94</v>
      </c>
      <c r="H144" s="98">
        <v>0.02</v>
      </c>
      <c r="I144" s="99">
        <v>3.24</v>
      </c>
      <c r="J144" s="100">
        <v>76</v>
      </c>
      <c r="K144" s="100">
        <f t="shared" si="8"/>
        <v>177.92043192</v>
      </c>
    </row>
    <row r="145" spans="1:11" ht="12">
      <c r="A145" s="93" t="s">
        <v>8</v>
      </c>
      <c r="B145" s="95">
        <v>39568.5</v>
      </c>
      <c r="C145" s="96">
        <f t="shared" si="9"/>
        <v>39568.5</v>
      </c>
      <c r="D145" s="97">
        <v>786</v>
      </c>
      <c r="E145" s="99">
        <f t="shared" si="7"/>
        <v>22.2570441</v>
      </c>
      <c r="F145" s="99">
        <v>11.3</v>
      </c>
      <c r="G145" s="99">
        <v>2.34</v>
      </c>
      <c r="H145" s="98">
        <v>0.02</v>
      </c>
      <c r="I145" s="99">
        <v>2.85</v>
      </c>
      <c r="J145" s="100">
        <v>65</v>
      </c>
      <c r="K145" s="100">
        <f t="shared" si="8"/>
        <v>251.50459833000002</v>
      </c>
    </row>
    <row r="146" spans="1:11" ht="12">
      <c r="A146" s="93" t="s">
        <v>9</v>
      </c>
      <c r="B146" s="95">
        <v>39575.854166666664</v>
      </c>
      <c r="C146" s="96">
        <f t="shared" si="9"/>
        <v>39575.854166666664</v>
      </c>
      <c r="D146" s="97">
        <v>1500</v>
      </c>
      <c r="E146" s="99">
        <f t="shared" si="7"/>
        <v>42.475275</v>
      </c>
      <c r="F146" s="99">
        <v>6.54</v>
      </c>
      <c r="G146" s="99">
        <v>1.21</v>
      </c>
      <c r="H146" s="98" t="s">
        <v>964</v>
      </c>
      <c r="I146" s="99">
        <v>1.79</v>
      </c>
      <c r="J146" s="100">
        <v>43</v>
      </c>
      <c r="K146" s="100">
        <f t="shared" si="8"/>
        <v>277.7882985</v>
      </c>
    </row>
    <row r="147" spans="1:11" ht="12">
      <c r="A147" s="93" t="s">
        <v>10</v>
      </c>
      <c r="B147" s="95">
        <v>39583.604166666664</v>
      </c>
      <c r="C147" s="96">
        <f t="shared" si="9"/>
        <v>39583.604166666664</v>
      </c>
      <c r="D147" s="97">
        <v>1800</v>
      </c>
      <c r="E147" s="99">
        <f t="shared" si="7"/>
        <v>50.970330000000004</v>
      </c>
      <c r="F147" s="99">
        <v>5.04</v>
      </c>
      <c r="G147" s="99">
        <v>0.99</v>
      </c>
      <c r="H147" s="98" t="s">
        <v>964</v>
      </c>
      <c r="I147" s="99">
        <v>1.53</v>
      </c>
      <c r="J147" s="100">
        <v>36</v>
      </c>
      <c r="K147" s="100">
        <f t="shared" si="8"/>
        <v>256.8904632</v>
      </c>
    </row>
    <row r="148" spans="1:11" ht="12">
      <c r="A148" s="114" t="s">
        <v>11</v>
      </c>
      <c r="B148" s="95">
        <v>39590.666666666664</v>
      </c>
      <c r="C148" s="96">
        <f t="shared" si="9"/>
        <v>39590.666666666664</v>
      </c>
      <c r="D148" s="97">
        <v>3340</v>
      </c>
      <c r="E148" s="99">
        <f t="shared" si="7"/>
        <v>94.57827900000001</v>
      </c>
      <c r="F148" s="99">
        <v>2.98</v>
      </c>
      <c r="G148" s="99">
        <v>0.83</v>
      </c>
      <c r="H148" s="98" t="s">
        <v>964</v>
      </c>
      <c r="I148" s="99">
        <v>1.3</v>
      </c>
      <c r="J148" s="100">
        <v>28</v>
      </c>
      <c r="K148" s="100">
        <f t="shared" si="8"/>
        <v>281.84327142</v>
      </c>
    </row>
    <row r="149" spans="1:11" ht="12">
      <c r="A149" s="114" t="s">
        <v>12</v>
      </c>
      <c r="B149" s="95">
        <v>39597.65625</v>
      </c>
      <c r="C149" s="96">
        <f t="shared" si="9"/>
        <v>39597.65625</v>
      </c>
      <c r="D149" s="97">
        <v>2090</v>
      </c>
      <c r="E149" s="99">
        <f t="shared" si="7"/>
        <v>59.1822165</v>
      </c>
      <c r="F149" s="99">
        <v>3</v>
      </c>
      <c r="G149" s="99">
        <v>0.82</v>
      </c>
      <c r="H149" s="98" t="s">
        <v>964</v>
      </c>
      <c r="I149" s="99">
        <v>1.29</v>
      </c>
      <c r="J149" s="100">
        <v>29</v>
      </c>
      <c r="K149" s="100">
        <f t="shared" si="8"/>
        <v>177.5466495</v>
      </c>
    </row>
    <row r="150" spans="1:11" ht="12">
      <c r="A150" s="114" t="s">
        <v>13</v>
      </c>
      <c r="B150" s="95">
        <v>39604.447916666664</v>
      </c>
      <c r="C150" s="96">
        <f t="shared" si="9"/>
        <v>39604.447916666664</v>
      </c>
      <c r="D150" s="97">
        <v>2970</v>
      </c>
      <c r="E150" s="99">
        <f t="shared" si="7"/>
        <v>84.1010445</v>
      </c>
      <c r="F150" s="99">
        <v>1.97</v>
      </c>
      <c r="G150" s="99">
        <v>1.29</v>
      </c>
      <c r="H150" s="98" t="s">
        <v>964</v>
      </c>
      <c r="I150" s="99">
        <v>2.32</v>
      </c>
      <c r="J150" s="100">
        <v>51</v>
      </c>
      <c r="K150" s="100">
        <f t="shared" si="8"/>
        <v>165.679057665</v>
      </c>
    </row>
    <row r="151" spans="1:11" ht="12">
      <c r="A151" s="114" t="s">
        <v>14</v>
      </c>
      <c r="B151" s="95">
        <v>39609.375</v>
      </c>
      <c r="C151" s="96">
        <f t="shared" si="9"/>
        <v>39609.375</v>
      </c>
      <c r="D151" s="97">
        <v>2160</v>
      </c>
      <c r="E151" s="99">
        <f t="shared" si="7"/>
        <v>61.164396</v>
      </c>
      <c r="F151" s="99">
        <v>4.5</v>
      </c>
      <c r="G151" s="99">
        <v>1.18</v>
      </c>
      <c r="H151" s="98" t="s">
        <v>964</v>
      </c>
      <c r="I151" s="99">
        <v>1.63</v>
      </c>
      <c r="J151" s="100">
        <v>36</v>
      </c>
      <c r="K151" s="100">
        <f t="shared" si="8"/>
        <v>275.239782</v>
      </c>
    </row>
    <row r="152" spans="1:11" ht="12">
      <c r="A152" s="93" t="s">
        <v>15</v>
      </c>
      <c r="B152" s="95">
        <v>39624.75</v>
      </c>
      <c r="C152" s="96">
        <f t="shared" si="9"/>
        <v>39624.75</v>
      </c>
      <c r="D152" s="97">
        <v>3120</v>
      </c>
      <c r="E152" s="99">
        <f t="shared" si="7"/>
        <v>88.348572</v>
      </c>
      <c r="F152" s="99">
        <v>2.92</v>
      </c>
      <c r="G152" s="99">
        <v>0.99</v>
      </c>
      <c r="H152" s="98" t="s">
        <v>964</v>
      </c>
      <c r="I152" s="99">
        <v>1.12</v>
      </c>
      <c r="J152" s="97">
        <v>25</v>
      </c>
      <c r="K152" s="100">
        <f t="shared" si="8"/>
        <v>257.97783024</v>
      </c>
    </row>
    <row r="153" spans="1:11" ht="12">
      <c r="A153" s="93" t="s">
        <v>16</v>
      </c>
      <c r="B153" s="95">
        <v>39630.625</v>
      </c>
      <c r="C153" s="96">
        <f t="shared" si="9"/>
        <v>39630.625</v>
      </c>
      <c r="D153" s="97">
        <v>2520</v>
      </c>
      <c r="E153" s="99">
        <f t="shared" si="7"/>
        <v>71.358462</v>
      </c>
      <c r="F153" s="99">
        <v>2.92</v>
      </c>
      <c r="G153" s="99">
        <v>0.97</v>
      </c>
      <c r="H153" s="98" t="s">
        <v>964</v>
      </c>
      <c r="I153" s="99">
        <v>1.13</v>
      </c>
      <c r="J153" s="97">
        <v>23</v>
      </c>
      <c r="K153" s="100">
        <f t="shared" si="8"/>
        <v>208.36670904000002</v>
      </c>
    </row>
    <row r="154" spans="1:11" ht="12">
      <c r="A154" s="93" t="s">
        <v>17</v>
      </c>
      <c r="B154" s="95">
        <v>39636.708333333336</v>
      </c>
      <c r="C154" s="96">
        <f t="shared" si="9"/>
        <v>39636.708333333336</v>
      </c>
      <c r="D154" s="97">
        <v>2270</v>
      </c>
      <c r="E154" s="99">
        <f t="shared" si="7"/>
        <v>64.2792495</v>
      </c>
      <c r="F154" s="99">
        <v>2.46</v>
      </c>
      <c r="G154" s="99">
        <v>0.86</v>
      </c>
      <c r="H154" s="98" t="s">
        <v>964</v>
      </c>
      <c r="I154" s="99">
        <v>1.12</v>
      </c>
      <c r="J154" s="97">
        <v>24</v>
      </c>
      <c r="K154" s="100">
        <f t="shared" si="8"/>
        <v>158.12695377</v>
      </c>
    </row>
    <row r="155" spans="1:11" ht="12">
      <c r="A155" s="93" t="s">
        <v>18</v>
      </c>
      <c r="B155" s="95">
        <v>39645.520833333336</v>
      </c>
      <c r="C155" s="96">
        <f t="shared" si="9"/>
        <v>39645.520833333336</v>
      </c>
      <c r="D155" s="97">
        <v>1410</v>
      </c>
      <c r="E155" s="99">
        <f t="shared" si="7"/>
        <v>39.9267585</v>
      </c>
      <c r="F155" s="99">
        <v>5.9</v>
      </c>
      <c r="G155" s="99">
        <v>2.12</v>
      </c>
      <c r="H155" s="98">
        <v>0.01</v>
      </c>
      <c r="I155" s="99">
        <v>1.78</v>
      </c>
      <c r="J155" s="97">
        <v>40</v>
      </c>
      <c r="K155" s="100">
        <f t="shared" si="8"/>
        <v>235.56787515</v>
      </c>
    </row>
    <row r="156" spans="1:11" ht="12">
      <c r="A156" s="93" t="s">
        <v>19</v>
      </c>
      <c r="B156" s="95">
        <v>39650.541666666664</v>
      </c>
      <c r="C156" s="96">
        <f t="shared" si="9"/>
        <v>39650.541666666664</v>
      </c>
      <c r="D156" s="97">
        <v>1260</v>
      </c>
      <c r="E156" s="99">
        <f t="shared" si="7"/>
        <v>35.679231</v>
      </c>
      <c r="F156" s="99">
        <v>5.91</v>
      </c>
      <c r="G156" s="99">
        <v>2.11</v>
      </c>
      <c r="H156" s="98">
        <v>0.01</v>
      </c>
      <c r="I156" s="99">
        <v>1.8</v>
      </c>
      <c r="J156" s="97">
        <v>40</v>
      </c>
      <c r="K156" s="100">
        <f t="shared" si="8"/>
        <v>210.86425521</v>
      </c>
    </row>
    <row r="157" spans="1:11" ht="12">
      <c r="A157" s="93" t="s">
        <v>20</v>
      </c>
      <c r="B157" s="95">
        <v>39665.416666666664</v>
      </c>
      <c r="C157" s="96">
        <f t="shared" si="9"/>
        <v>39665.416666666664</v>
      </c>
      <c r="D157" s="97">
        <v>839</v>
      </c>
      <c r="E157" s="99">
        <f t="shared" si="7"/>
        <v>23.75783715</v>
      </c>
      <c r="F157" s="99">
        <v>8.56</v>
      </c>
      <c r="G157" s="99">
        <v>2.95</v>
      </c>
      <c r="H157" s="98">
        <v>0.01</v>
      </c>
      <c r="I157" s="99">
        <v>2.3</v>
      </c>
      <c r="J157" s="97">
        <v>53</v>
      </c>
      <c r="K157" s="100">
        <f t="shared" si="8"/>
        <v>203.36708600400002</v>
      </c>
    </row>
    <row r="158" spans="1:11" ht="12">
      <c r="A158" s="93" t="s">
        <v>21</v>
      </c>
      <c r="B158" s="95">
        <v>39679.458333333336</v>
      </c>
      <c r="C158" s="96">
        <f t="shared" si="9"/>
        <v>39679.458333333336</v>
      </c>
      <c r="D158" s="97">
        <v>795</v>
      </c>
      <c r="E158" s="99">
        <f t="shared" si="7"/>
        <v>22.51189575</v>
      </c>
      <c r="F158" s="99">
        <v>8.64</v>
      </c>
      <c r="G158" s="99">
        <v>2.95</v>
      </c>
      <c r="H158" s="98">
        <v>0.01</v>
      </c>
      <c r="I158" s="99">
        <v>2.27</v>
      </c>
      <c r="J158" s="97">
        <v>52</v>
      </c>
      <c r="K158" s="100">
        <f t="shared" si="8"/>
        <v>194.50277928000003</v>
      </c>
    </row>
    <row r="159" spans="1:11" ht="12">
      <c r="A159" s="93" t="s">
        <v>22</v>
      </c>
      <c r="B159" s="95">
        <v>39694.4375</v>
      </c>
      <c r="C159" s="96">
        <f t="shared" si="9"/>
        <v>39694.4375</v>
      </c>
      <c r="D159" s="97">
        <v>814</v>
      </c>
      <c r="E159" s="99">
        <f t="shared" si="7"/>
        <v>23.049915900000002</v>
      </c>
      <c r="F159" s="99">
        <v>10.4</v>
      </c>
      <c r="G159" s="99">
        <v>3.22</v>
      </c>
      <c r="H159" s="98">
        <v>0.02</v>
      </c>
      <c r="I159" s="99">
        <v>2.6</v>
      </c>
      <c r="J159" s="97">
        <v>60</v>
      </c>
      <c r="K159" s="100">
        <f t="shared" si="8"/>
        <v>239.71912536000002</v>
      </c>
    </row>
    <row r="160" spans="1:11" ht="12">
      <c r="A160" s="93" t="s">
        <v>23</v>
      </c>
      <c r="B160" s="95">
        <v>39709.479166666664</v>
      </c>
      <c r="C160" s="96">
        <f t="shared" si="9"/>
        <v>39709.479166666664</v>
      </c>
      <c r="D160" s="97">
        <v>702</v>
      </c>
      <c r="E160" s="99">
        <f t="shared" si="7"/>
        <v>19.8784287</v>
      </c>
      <c r="F160" s="99">
        <v>10.4</v>
      </c>
      <c r="G160" s="99">
        <v>3.21</v>
      </c>
      <c r="H160" s="98">
        <v>0.02</v>
      </c>
      <c r="I160" s="99">
        <v>2.58</v>
      </c>
      <c r="J160" s="97">
        <v>60</v>
      </c>
      <c r="K160" s="100">
        <f t="shared" si="8"/>
        <v>206.73565848</v>
      </c>
    </row>
    <row r="161" spans="1:11" ht="12">
      <c r="A161" s="93" t="s">
        <v>24</v>
      </c>
      <c r="B161" s="95">
        <v>39721.791666666664</v>
      </c>
      <c r="C161" s="96">
        <f t="shared" si="9"/>
        <v>39721.791666666664</v>
      </c>
      <c r="D161" s="97">
        <v>652</v>
      </c>
      <c r="E161" s="99">
        <f t="shared" si="7"/>
        <v>18.4625862</v>
      </c>
      <c r="F161" s="99">
        <v>10.9</v>
      </c>
      <c r="G161" s="99">
        <v>3.31</v>
      </c>
      <c r="H161" s="98">
        <v>0.02</v>
      </c>
      <c r="I161" s="99">
        <v>2.77</v>
      </c>
      <c r="J161" s="97">
        <v>65</v>
      </c>
      <c r="K161" s="100">
        <f t="shared" si="8"/>
        <v>201.24218958</v>
      </c>
    </row>
    <row r="162" spans="1:11" ht="12">
      <c r="A162" s="14" t="s">
        <v>1685</v>
      </c>
      <c r="B162" s="77"/>
      <c r="C162" s="178"/>
      <c r="D162" s="57"/>
      <c r="E162" s="21"/>
      <c r="F162" s="159"/>
      <c r="G162" s="21"/>
      <c r="H162" s="18"/>
      <c r="I162" s="21"/>
      <c r="J162" s="22"/>
      <c r="K162" s="22"/>
    </row>
    <row r="163" spans="1:11" ht="13.5">
      <c r="A163" t="s">
        <v>2145</v>
      </c>
      <c r="B163" s="8">
        <v>39867.541666666664</v>
      </c>
      <c r="C163" s="138">
        <v>39867.541666666664</v>
      </c>
      <c r="D163" s="141">
        <v>446</v>
      </c>
      <c r="E163" s="21">
        <f>D163*0.02831685</f>
        <v>12.629315100000001</v>
      </c>
      <c r="F163" s="9">
        <v>14.3</v>
      </c>
      <c r="G163" s="9">
        <v>2.25</v>
      </c>
      <c r="H163" s="12">
        <v>0.06</v>
      </c>
      <c r="I163" s="9">
        <v>2.97</v>
      </c>
      <c r="J163" s="22">
        <v>71.34072135416667</v>
      </c>
      <c r="K163" s="22">
        <f>E163*F163</f>
        <v>180.59920593000004</v>
      </c>
    </row>
    <row r="164" spans="1:11" ht="13.5">
      <c r="A164" t="s">
        <v>2146</v>
      </c>
      <c r="B164" s="8">
        <v>39876.5625</v>
      </c>
      <c r="C164" s="138">
        <v>39876.5625</v>
      </c>
      <c r="D164" s="141">
        <v>488</v>
      </c>
      <c r="E164" s="21">
        <f>D164*0.02831685</f>
        <v>13.8186228</v>
      </c>
      <c r="F164" s="9">
        <v>16.7</v>
      </c>
      <c r="G164" s="9">
        <v>2.46</v>
      </c>
      <c r="H164" s="12">
        <v>0.03</v>
      </c>
      <c r="I164" s="9">
        <v>3.62</v>
      </c>
      <c r="J164" s="22">
        <v>85.00509114583332</v>
      </c>
      <c r="K164" s="22">
        <f>E164*F164</f>
        <v>230.77100076</v>
      </c>
    </row>
    <row r="165" spans="1:11" ht="13.5">
      <c r="A165" t="s">
        <v>2147</v>
      </c>
      <c r="B165" s="8">
        <v>39891.625</v>
      </c>
      <c r="C165" s="138">
        <v>39891.625</v>
      </c>
      <c r="D165" s="141">
        <v>446</v>
      </c>
      <c r="E165" s="21">
        <f>D165*0.02831685</f>
        <v>12.629315100000001</v>
      </c>
      <c r="F165" s="9">
        <v>14.3</v>
      </c>
      <c r="G165" s="9">
        <v>3.36</v>
      </c>
      <c r="H165" s="12">
        <v>0.02</v>
      </c>
      <c r="I165" s="9">
        <v>3.35</v>
      </c>
      <c r="J165" s="22">
        <v>77.85513020833334</v>
      </c>
      <c r="K165" s="22">
        <f>E165*F165</f>
        <v>180.59920593000004</v>
      </c>
    </row>
    <row r="166" spans="1:11" ht="13.5">
      <c r="A166" t="s">
        <v>2148</v>
      </c>
      <c r="B166" s="8">
        <v>40082.5625</v>
      </c>
      <c r="C166" s="138">
        <v>40082.5625</v>
      </c>
      <c r="D166" s="141">
        <v>605</v>
      </c>
      <c r="E166" s="21">
        <f>D166*0.02831685</f>
        <v>17.13169425</v>
      </c>
      <c r="F166" s="135">
        <v>10.2</v>
      </c>
      <c r="G166" s="135">
        <v>3.32</v>
      </c>
      <c r="H166" s="139">
        <v>0.02</v>
      </c>
      <c r="I166" s="135">
        <v>2.54</v>
      </c>
      <c r="J166" s="22">
        <v>65.14408854166666</v>
      </c>
      <c r="K166" s="22">
        <f>E166*F166</f>
        <v>174.74328135</v>
      </c>
    </row>
    <row r="167" spans="1:11" ht="12">
      <c r="A167" s="14" t="s">
        <v>1713</v>
      </c>
      <c r="B167" s="77"/>
      <c r="C167" s="178"/>
      <c r="D167" s="57"/>
      <c r="E167" s="21"/>
      <c r="F167" s="159"/>
      <c r="G167" s="21"/>
      <c r="H167" s="18"/>
      <c r="I167" s="21"/>
      <c r="J167" s="22"/>
      <c r="K167" s="22"/>
    </row>
    <row r="168" spans="1:11" ht="13.5">
      <c r="A168" s="180" t="s">
        <v>2149</v>
      </c>
      <c r="B168" s="166">
        <v>40091.65625</v>
      </c>
      <c r="C168" s="158">
        <v>40091.65625</v>
      </c>
      <c r="D168" s="165">
        <v>593</v>
      </c>
      <c r="E168" s="159">
        <f aca="true" t="shared" si="10" ref="E168:E182">D168*0.02831685</f>
        <v>16.79189205</v>
      </c>
      <c r="F168" s="135">
        <f>5.07*2</f>
        <v>10.14</v>
      </c>
      <c r="G168" s="135">
        <f>1.58*2</f>
        <v>3.16</v>
      </c>
      <c r="H168" s="170" t="s">
        <v>964</v>
      </c>
      <c r="I168" s="135">
        <f>1.67*2</f>
        <v>3.34</v>
      </c>
      <c r="J168" s="164" t="s">
        <v>608</v>
      </c>
      <c r="K168" s="160">
        <f aca="true" t="shared" si="11" ref="K168:K182">E168*F168</f>
        <v>170.269785387</v>
      </c>
    </row>
    <row r="169" spans="1:11" ht="13.5">
      <c r="A169" s="161" t="s">
        <v>2150</v>
      </c>
      <c r="B169" s="166">
        <v>40109.645833333336</v>
      </c>
      <c r="C169" s="158">
        <v>40109.645833333336</v>
      </c>
      <c r="D169" s="165">
        <v>575</v>
      </c>
      <c r="E169" s="159">
        <f t="shared" si="10"/>
        <v>16.28218875</v>
      </c>
      <c r="F169" s="135">
        <f>5.42*2</f>
        <v>10.84</v>
      </c>
      <c r="G169" s="135">
        <f>1.59*2</f>
        <v>3.18</v>
      </c>
      <c r="H169" s="170" t="s">
        <v>964</v>
      </c>
      <c r="I169" s="135">
        <f>1.7*2</f>
        <v>3.4</v>
      </c>
      <c r="J169" s="164" t="s">
        <v>608</v>
      </c>
      <c r="K169" s="160">
        <f t="shared" si="11"/>
        <v>176.49892605</v>
      </c>
    </row>
    <row r="170" spans="1:11" ht="13.5">
      <c r="A170" s="161" t="s">
        <v>2151</v>
      </c>
      <c r="B170" s="166">
        <v>40121.666666666664</v>
      </c>
      <c r="C170" s="158">
        <v>40121.666666666664</v>
      </c>
      <c r="D170" s="165">
        <v>542</v>
      </c>
      <c r="E170" s="159">
        <f t="shared" si="10"/>
        <v>15.3477327</v>
      </c>
      <c r="F170" s="135">
        <f>5.69*2</f>
        <v>11.38</v>
      </c>
      <c r="G170" s="135">
        <f>1.6*2</f>
        <v>3.2</v>
      </c>
      <c r="H170" s="170" t="s">
        <v>964</v>
      </c>
      <c r="I170" s="135">
        <f>1.83*2</f>
        <v>3.66</v>
      </c>
      <c r="J170" s="164" t="s">
        <v>608</v>
      </c>
      <c r="K170" s="160">
        <f t="shared" si="11"/>
        <v>174.657198126</v>
      </c>
    </row>
    <row r="171" spans="1:11" ht="13.5">
      <c r="A171" s="161" t="s">
        <v>2152</v>
      </c>
      <c r="B171" s="166">
        <v>40144.625</v>
      </c>
      <c r="C171" s="158">
        <v>40144.625</v>
      </c>
      <c r="D171" s="165">
        <v>462</v>
      </c>
      <c r="E171" s="159">
        <f t="shared" si="10"/>
        <v>13.0823847</v>
      </c>
      <c r="F171" s="135">
        <f>6.01*2</f>
        <v>12.02</v>
      </c>
      <c r="G171" s="135">
        <f>1.66*2</f>
        <v>3.32</v>
      </c>
      <c r="H171" s="170" t="s">
        <v>964</v>
      </c>
      <c r="I171" s="135">
        <f>1.89*2</f>
        <v>3.78</v>
      </c>
      <c r="J171" s="164" t="s">
        <v>608</v>
      </c>
      <c r="K171" s="160">
        <f t="shared" si="11"/>
        <v>157.250264094</v>
      </c>
    </row>
    <row r="172" spans="1:11" ht="13.5">
      <c r="A172" s="179" t="s">
        <v>2153</v>
      </c>
      <c r="B172" s="166">
        <v>40177.680555555555</v>
      </c>
      <c r="C172" s="158">
        <v>40177.680555555555</v>
      </c>
      <c r="D172" s="165">
        <v>457</v>
      </c>
      <c r="E172" s="159">
        <f t="shared" si="10"/>
        <v>12.940800450000001</v>
      </c>
      <c r="F172" s="21">
        <v>12.5</v>
      </c>
      <c r="G172" s="21">
        <v>3.34</v>
      </c>
      <c r="H172" s="18" t="s">
        <v>964</v>
      </c>
      <c r="I172" s="21">
        <v>3.49</v>
      </c>
      <c r="J172" s="164" t="s">
        <v>608</v>
      </c>
      <c r="K172" s="160">
        <f t="shared" si="11"/>
        <v>161.76000562500002</v>
      </c>
    </row>
    <row r="173" spans="1:11" ht="13.5">
      <c r="A173" t="s">
        <v>2154</v>
      </c>
      <c r="B173" s="8">
        <v>40214.649305555555</v>
      </c>
      <c r="C173" s="138">
        <v>40214.649305555555</v>
      </c>
      <c r="D173" s="165">
        <v>394</v>
      </c>
      <c r="E173" s="159">
        <f t="shared" si="10"/>
        <v>11.1568389</v>
      </c>
      <c r="F173" s="21">
        <v>13.4</v>
      </c>
      <c r="G173" s="21">
        <v>3.4</v>
      </c>
      <c r="H173" s="18" t="s">
        <v>964</v>
      </c>
      <c r="I173" s="21">
        <v>3.57</v>
      </c>
      <c r="J173" s="164" t="s">
        <v>608</v>
      </c>
      <c r="K173" s="160">
        <f t="shared" si="11"/>
        <v>149.50164126</v>
      </c>
    </row>
    <row r="174" spans="1:11" ht="13.5">
      <c r="A174" s="161" t="s">
        <v>2155</v>
      </c>
      <c r="B174" s="166">
        <v>40255.56041666667</v>
      </c>
      <c r="C174" s="158">
        <v>40255.56041666667</v>
      </c>
      <c r="D174" s="165">
        <v>415</v>
      </c>
      <c r="E174" s="159">
        <f t="shared" si="10"/>
        <v>11.75149275</v>
      </c>
      <c r="F174" s="135">
        <f>7.12*2</f>
        <v>14.24</v>
      </c>
      <c r="G174" s="135">
        <f>1.73*2</f>
        <v>3.46</v>
      </c>
      <c r="H174" s="170" t="s">
        <v>964</v>
      </c>
      <c r="I174" s="135">
        <f>2.03*2</f>
        <v>4.06</v>
      </c>
      <c r="J174" s="164" t="s">
        <v>608</v>
      </c>
      <c r="K174" s="160">
        <f t="shared" si="11"/>
        <v>167.34125676000002</v>
      </c>
    </row>
    <row r="175" spans="1:11" ht="13.5">
      <c r="A175" s="161" t="s">
        <v>2156</v>
      </c>
      <c r="B175" s="166">
        <v>40307.604166666664</v>
      </c>
      <c r="C175" s="158">
        <v>40307.604166666664</v>
      </c>
      <c r="D175" s="165">
        <v>752</v>
      </c>
      <c r="E175" s="159">
        <f t="shared" si="10"/>
        <v>21.2942712</v>
      </c>
      <c r="F175" s="135">
        <f>5.74*2</f>
        <v>11.48</v>
      </c>
      <c r="G175" s="135">
        <f>1.14*2</f>
        <v>2.28</v>
      </c>
      <c r="H175" s="170" t="s">
        <v>964</v>
      </c>
      <c r="I175" s="135">
        <f>1.68*2</f>
        <v>3.36</v>
      </c>
      <c r="J175" s="164" t="s">
        <v>608</v>
      </c>
      <c r="K175" s="160">
        <f t="shared" si="11"/>
        <v>244.458233376</v>
      </c>
    </row>
    <row r="176" spans="1:11" ht="13.5">
      <c r="A176" s="161" t="s">
        <v>2157</v>
      </c>
      <c r="B176" s="166">
        <v>40337.46597222222</v>
      </c>
      <c r="C176" s="158">
        <v>40337.46597222222</v>
      </c>
      <c r="D176" s="165">
        <v>5300</v>
      </c>
      <c r="E176" s="159">
        <f t="shared" si="10"/>
        <v>150.079305</v>
      </c>
      <c r="F176" s="135">
        <f>0.93*2</f>
        <v>1.86</v>
      </c>
      <c r="G176" s="135">
        <f>0.28*2</f>
        <v>0.56</v>
      </c>
      <c r="H176" s="170" t="s">
        <v>964</v>
      </c>
      <c r="I176" s="135">
        <f>0.71*2</f>
        <v>1.42</v>
      </c>
      <c r="J176" s="164" t="s">
        <v>608</v>
      </c>
      <c r="K176" s="160">
        <f t="shared" si="11"/>
        <v>279.14750730000003</v>
      </c>
    </row>
    <row r="177" spans="1:11" ht="13.5">
      <c r="A177" t="s">
        <v>2158</v>
      </c>
      <c r="B177" s="8">
        <v>40350.55486111111</v>
      </c>
      <c r="C177" s="138">
        <v>40350.55486111111</v>
      </c>
      <c r="D177" s="141">
        <v>1910</v>
      </c>
      <c r="E177" s="21">
        <f t="shared" si="10"/>
        <v>54.0851835</v>
      </c>
      <c r="F177" s="21">
        <v>3.38</v>
      </c>
      <c r="G177" s="21">
        <v>1.09</v>
      </c>
      <c r="H177" s="18" t="s">
        <v>964</v>
      </c>
      <c r="I177" s="21">
        <v>1.53</v>
      </c>
      <c r="J177" s="164" t="s">
        <v>608</v>
      </c>
      <c r="K177" s="22">
        <f t="shared" si="11"/>
        <v>182.80792022999998</v>
      </c>
    </row>
    <row r="178" spans="1:11" ht="13.5">
      <c r="A178" s="180" t="s">
        <v>2159</v>
      </c>
      <c r="B178" s="166">
        <v>40388.375</v>
      </c>
      <c r="C178" s="158">
        <v>40388.375</v>
      </c>
      <c r="D178" s="165">
        <v>779</v>
      </c>
      <c r="E178" s="159">
        <f>D178*0.02831685</f>
        <v>22.05882615</v>
      </c>
      <c r="F178" s="135">
        <f>1.88*4</f>
        <v>7.52</v>
      </c>
      <c r="G178" s="135">
        <f>0.58*4</f>
        <v>2.32</v>
      </c>
      <c r="H178" s="170" t="s">
        <v>964</v>
      </c>
      <c r="I178" s="135">
        <f>0.81*4</f>
        <v>3.24</v>
      </c>
      <c r="J178" s="164" t="s">
        <v>608</v>
      </c>
      <c r="K178" s="160">
        <f t="shared" si="11"/>
        <v>165.882372648</v>
      </c>
    </row>
    <row r="179" spans="1:11" ht="13.5">
      <c r="A179" t="s">
        <v>2160</v>
      </c>
      <c r="B179" s="8">
        <v>40396.385416666664</v>
      </c>
      <c r="C179" s="138">
        <v>40396.385416666664</v>
      </c>
      <c r="D179" s="141">
        <v>618</v>
      </c>
      <c r="E179" s="21">
        <f t="shared" si="10"/>
        <v>17.4998133</v>
      </c>
      <c r="F179" s="21">
        <v>8.74</v>
      </c>
      <c r="G179" s="21">
        <v>2.76</v>
      </c>
      <c r="H179" s="18" t="s">
        <v>964</v>
      </c>
      <c r="I179" s="21">
        <v>2.61</v>
      </c>
      <c r="J179" s="164" t="s">
        <v>608</v>
      </c>
      <c r="K179" s="22">
        <f t="shared" si="11"/>
        <v>152.948368242</v>
      </c>
    </row>
    <row r="180" spans="1:11" ht="13.5">
      <c r="A180" t="s">
        <v>2161</v>
      </c>
      <c r="B180" s="8">
        <v>40416.614583333336</v>
      </c>
      <c r="C180" s="138">
        <v>40416.614583333336</v>
      </c>
      <c r="D180" s="141">
        <v>530</v>
      </c>
      <c r="E180" s="21">
        <f t="shared" si="10"/>
        <v>15.0079305</v>
      </c>
      <c r="F180" s="21">
        <v>10</v>
      </c>
      <c r="G180" s="21">
        <v>3.13</v>
      </c>
      <c r="H180" s="18">
        <v>0.02</v>
      </c>
      <c r="I180" s="21">
        <v>3.14</v>
      </c>
      <c r="J180" s="22">
        <v>76.42513802083333</v>
      </c>
      <c r="K180" s="22">
        <f t="shared" si="11"/>
        <v>150.079305</v>
      </c>
    </row>
    <row r="181" spans="1:11" ht="13.5">
      <c r="A181" t="s">
        <v>2162</v>
      </c>
      <c r="B181" s="8">
        <v>40431.645833333336</v>
      </c>
      <c r="C181" s="138">
        <v>40431.645833333336</v>
      </c>
      <c r="D181" s="141">
        <v>643</v>
      </c>
      <c r="E181" s="21">
        <f t="shared" si="10"/>
        <v>18.20773455</v>
      </c>
      <c r="F181" s="21">
        <v>10.4</v>
      </c>
      <c r="G181" s="21">
        <v>3.1</v>
      </c>
      <c r="H181" s="18">
        <v>0.02</v>
      </c>
      <c r="I181" s="21">
        <v>2.63</v>
      </c>
      <c r="J181" s="22">
        <v>64.03187239583333</v>
      </c>
      <c r="K181" s="22">
        <f t="shared" si="11"/>
        <v>189.36043932</v>
      </c>
    </row>
    <row r="182" spans="1:11" ht="13.5">
      <c r="A182" t="s">
        <v>2163</v>
      </c>
      <c r="B182" s="8">
        <v>40439.54513888889</v>
      </c>
      <c r="C182" s="138">
        <v>40439.54513888889</v>
      </c>
      <c r="D182" s="141">
        <v>494</v>
      </c>
      <c r="E182" s="21">
        <f t="shared" si="10"/>
        <v>13.9885239</v>
      </c>
      <c r="F182" s="21">
        <v>11.2</v>
      </c>
      <c r="G182" s="21">
        <v>3.38</v>
      </c>
      <c r="H182" s="18">
        <v>0.02</v>
      </c>
      <c r="I182" s="21">
        <v>2.77</v>
      </c>
      <c r="J182" s="22">
        <v>71.02294531250001</v>
      </c>
      <c r="K182" s="22">
        <f t="shared" si="11"/>
        <v>156.67146768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5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20.28125" style="93" customWidth="1"/>
    <col min="2" max="2" width="15.28125" style="108" customWidth="1"/>
    <col min="3" max="3" width="11.421875" style="86" bestFit="1" customWidth="1"/>
    <col min="4" max="4" width="11.421875" style="97" customWidth="1"/>
    <col min="5" max="7" width="9.140625" style="99" customWidth="1"/>
    <col min="8" max="8" width="11.421875" style="98" customWidth="1"/>
    <col min="9" max="9" width="9.140625" style="99" customWidth="1"/>
    <col min="10" max="10" width="11.421875" style="97" customWidth="1"/>
    <col min="11" max="11" width="9.140625" style="100" customWidth="1"/>
  </cols>
  <sheetData>
    <row r="1" spans="1:8" ht="12.75">
      <c r="A1" s="14" t="s">
        <v>58</v>
      </c>
      <c r="H1" s="171"/>
    </row>
    <row r="2" ht="12.75">
      <c r="A2" s="93" t="s">
        <v>767</v>
      </c>
    </row>
    <row r="3" spans="1:11" ht="15.75">
      <c r="A3" s="14" t="s">
        <v>524</v>
      </c>
      <c r="B3" s="84" t="s">
        <v>1644</v>
      </c>
      <c r="C3" s="78" t="s">
        <v>1540</v>
      </c>
      <c r="D3" s="78" t="s">
        <v>970</v>
      </c>
      <c r="E3" s="79" t="s">
        <v>970</v>
      </c>
      <c r="F3" s="79" t="s">
        <v>324</v>
      </c>
      <c r="G3" s="79" t="s">
        <v>325</v>
      </c>
      <c r="H3" s="80" t="s">
        <v>326</v>
      </c>
      <c r="I3" s="79" t="s">
        <v>327</v>
      </c>
      <c r="J3" s="58" t="s">
        <v>971</v>
      </c>
      <c r="K3" s="79" t="s">
        <v>328</v>
      </c>
    </row>
    <row r="4" spans="1:11" ht="14.25">
      <c r="A4" s="93" t="s">
        <v>604</v>
      </c>
      <c r="B4" s="95"/>
      <c r="C4" s="97" t="s">
        <v>735</v>
      </c>
      <c r="D4" s="97" t="s">
        <v>968</v>
      </c>
      <c r="E4" s="99" t="s">
        <v>271</v>
      </c>
      <c r="F4" s="99" t="s">
        <v>969</v>
      </c>
      <c r="G4" s="99" t="s">
        <v>969</v>
      </c>
      <c r="H4" s="98" t="s">
        <v>969</v>
      </c>
      <c r="I4" s="99" t="s">
        <v>969</v>
      </c>
      <c r="J4" s="100" t="s">
        <v>969</v>
      </c>
      <c r="K4" s="100" t="s">
        <v>783</v>
      </c>
    </row>
    <row r="5" spans="1:10" ht="12.75">
      <c r="A5" s="14" t="s">
        <v>967</v>
      </c>
      <c r="B5" s="95"/>
      <c r="C5" s="97"/>
      <c r="J5" s="100"/>
    </row>
    <row r="6" spans="1:10" ht="12.75">
      <c r="A6" s="14" t="s">
        <v>960</v>
      </c>
      <c r="B6" s="95"/>
      <c r="C6" s="97"/>
      <c r="J6" s="100"/>
    </row>
    <row r="7" spans="1:11" ht="12.75">
      <c r="A7" s="93" t="s">
        <v>1541</v>
      </c>
      <c r="B7" s="95">
        <v>37162</v>
      </c>
      <c r="C7" s="96">
        <v>0.5</v>
      </c>
      <c r="D7" s="97">
        <v>919</v>
      </c>
      <c r="E7" s="99">
        <v>26.02318515</v>
      </c>
      <c r="F7" s="99">
        <v>3.7</v>
      </c>
      <c r="G7" s="99">
        <v>2</v>
      </c>
      <c r="H7" s="98" t="s">
        <v>964</v>
      </c>
      <c r="I7" s="99">
        <v>3.2</v>
      </c>
      <c r="J7" s="100">
        <v>64.98520052083332</v>
      </c>
      <c r="K7" s="100">
        <v>96.285785055</v>
      </c>
    </row>
    <row r="8" spans="1:11" ht="12.75">
      <c r="A8" s="93" t="s">
        <v>1598</v>
      </c>
      <c r="B8" s="95">
        <v>37183</v>
      </c>
      <c r="C8" s="96">
        <v>0.541666666666667</v>
      </c>
      <c r="D8" s="97">
        <v>867</v>
      </c>
      <c r="E8" s="99">
        <v>24.55070895</v>
      </c>
      <c r="F8" s="99">
        <v>3.8</v>
      </c>
      <c r="G8" s="99">
        <v>2</v>
      </c>
      <c r="H8" s="98" t="s">
        <v>964</v>
      </c>
      <c r="I8" s="99">
        <v>3.1</v>
      </c>
      <c r="J8" s="100">
        <v>72.29404947916666</v>
      </c>
      <c r="K8" s="100">
        <v>93.29269400999999</v>
      </c>
    </row>
    <row r="9" spans="1:11" ht="12.75">
      <c r="A9" s="93" t="s">
        <v>1599</v>
      </c>
      <c r="B9" s="95">
        <v>37210</v>
      </c>
      <c r="C9" s="96">
        <v>0.5833333333333334</v>
      </c>
      <c r="D9" s="97">
        <v>804</v>
      </c>
      <c r="E9" s="99">
        <v>22.7667474</v>
      </c>
      <c r="F9" s="99">
        <v>3.9</v>
      </c>
      <c r="G9" s="99">
        <v>2</v>
      </c>
      <c r="H9" s="98" t="s">
        <v>964</v>
      </c>
      <c r="I9" s="99">
        <v>3.2</v>
      </c>
      <c r="J9" s="100">
        <v>68.48073697916668</v>
      </c>
      <c r="K9" s="100">
        <v>88.79031486</v>
      </c>
    </row>
    <row r="10" spans="1:12" ht="12.75">
      <c r="A10" s="93" t="s">
        <v>1600</v>
      </c>
      <c r="B10" s="95">
        <v>37237</v>
      </c>
      <c r="C10" s="96">
        <v>0.5833333333333334</v>
      </c>
      <c r="D10" s="97">
        <v>959</v>
      </c>
      <c r="E10" s="99">
        <v>27.15585915</v>
      </c>
      <c r="F10" s="99">
        <v>3.9</v>
      </c>
      <c r="G10" s="99">
        <v>2.1</v>
      </c>
      <c r="H10" s="98" t="s">
        <v>964</v>
      </c>
      <c r="I10" s="99">
        <v>3.2</v>
      </c>
      <c r="J10" s="100">
        <v>72.92960156250001</v>
      </c>
      <c r="K10" s="100">
        <v>105.907850685</v>
      </c>
      <c r="L10" s="69"/>
    </row>
    <row r="11" spans="1:11" ht="12.75">
      <c r="A11" s="93" t="s">
        <v>1601</v>
      </c>
      <c r="B11" s="95">
        <v>37272</v>
      </c>
      <c r="C11" s="96">
        <v>0.6041666666666666</v>
      </c>
      <c r="D11" s="97">
        <v>812</v>
      </c>
      <c r="E11" s="99">
        <v>22.9932822</v>
      </c>
      <c r="F11" s="99">
        <v>3.9</v>
      </c>
      <c r="G11" s="99">
        <v>2</v>
      </c>
      <c r="H11" s="98" t="s">
        <v>964</v>
      </c>
      <c r="I11" s="99">
        <v>4</v>
      </c>
      <c r="J11" s="100">
        <v>76.58402604166666</v>
      </c>
      <c r="K11" s="100">
        <v>89.67380057999999</v>
      </c>
    </row>
    <row r="12" spans="1:11" ht="12.75">
      <c r="A12" s="93" t="s">
        <v>1515</v>
      </c>
      <c r="B12" s="95">
        <v>37301</v>
      </c>
      <c r="C12" s="96">
        <v>0.4479166666666667</v>
      </c>
      <c r="D12" s="97">
        <v>725</v>
      </c>
      <c r="E12" s="99">
        <v>20.52971625</v>
      </c>
      <c r="F12" s="99">
        <v>3.9</v>
      </c>
      <c r="G12" s="99">
        <v>2</v>
      </c>
      <c r="H12" s="98" t="s">
        <v>964</v>
      </c>
      <c r="I12" s="99">
        <v>3.7</v>
      </c>
      <c r="J12" s="100">
        <v>74.51848177083333</v>
      </c>
      <c r="K12" s="100">
        <v>80.065893375</v>
      </c>
    </row>
    <row r="13" spans="1:11" ht="12.75">
      <c r="A13" s="93" t="s">
        <v>1516</v>
      </c>
      <c r="B13" s="95">
        <v>37323</v>
      </c>
      <c r="C13" s="96">
        <v>0.6145833333333334</v>
      </c>
      <c r="D13" s="97">
        <v>795</v>
      </c>
      <c r="E13" s="99">
        <v>22.51189575</v>
      </c>
      <c r="F13" s="99">
        <v>3.7</v>
      </c>
      <c r="G13" s="99">
        <v>2</v>
      </c>
      <c r="H13" s="98" t="s">
        <v>964</v>
      </c>
      <c r="I13" s="99">
        <v>3.5</v>
      </c>
      <c r="J13" s="100">
        <v>73.406265625</v>
      </c>
      <c r="K13" s="100">
        <v>83.29401427500001</v>
      </c>
    </row>
    <row r="14" spans="1:11" ht="12.75">
      <c r="A14" s="93" t="s">
        <v>1517</v>
      </c>
      <c r="B14" s="95">
        <v>37363</v>
      </c>
      <c r="C14" s="96">
        <v>0.3541666666666667</v>
      </c>
      <c r="D14" s="97">
        <v>1380</v>
      </c>
      <c r="E14" s="99">
        <v>39.077253</v>
      </c>
      <c r="F14" s="99">
        <v>2.8</v>
      </c>
      <c r="G14" s="99">
        <v>1.3</v>
      </c>
      <c r="H14" s="98" t="s">
        <v>964</v>
      </c>
      <c r="I14" s="99">
        <v>3</v>
      </c>
      <c r="J14" s="100">
        <v>56.08747135416667</v>
      </c>
      <c r="K14" s="100">
        <v>109.41630839999999</v>
      </c>
    </row>
    <row r="15" spans="1:11" ht="12.75">
      <c r="A15" s="93" t="s">
        <v>1518</v>
      </c>
      <c r="B15" s="95">
        <v>37370</v>
      </c>
      <c r="C15" s="96">
        <v>0.4166666666666667</v>
      </c>
      <c r="D15" s="97">
        <v>1390</v>
      </c>
      <c r="E15" s="99">
        <v>39.3604215</v>
      </c>
      <c r="F15" s="99">
        <v>3.2</v>
      </c>
      <c r="G15" s="99">
        <v>1.6</v>
      </c>
      <c r="H15" s="98" t="s">
        <v>964</v>
      </c>
      <c r="I15" s="99">
        <v>3.2</v>
      </c>
      <c r="J15" s="100">
        <v>67.36852083333333</v>
      </c>
      <c r="K15" s="100">
        <v>125.95334880000001</v>
      </c>
    </row>
    <row r="16" spans="1:11" ht="12.75">
      <c r="A16" s="93" t="s">
        <v>1519</v>
      </c>
      <c r="B16" s="95">
        <v>37377</v>
      </c>
      <c r="C16" s="96">
        <v>0.6145833333333334</v>
      </c>
      <c r="D16" s="97">
        <v>2220</v>
      </c>
      <c r="E16" s="99">
        <v>62.863407</v>
      </c>
      <c r="F16" s="99">
        <v>2.2</v>
      </c>
      <c r="G16" s="99">
        <v>1.4</v>
      </c>
      <c r="H16" s="98" t="s">
        <v>964</v>
      </c>
      <c r="I16" s="99">
        <v>4.2</v>
      </c>
      <c r="J16" s="100">
        <v>62.76076822916666</v>
      </c>
      <c r="K16" s="100">
        <v>138.2994954</v>
      </c>
    </row>
    <row r="17" spans="1:11" ht="12.75">
      <c r="A17" s="93" t="s">
        <v>1520</v>
      </c>
      <c r="B17" s="95">
        <v>37381</v>
      </c>
      <c r="C17" s="96">
        <v>0.3541666666666667</v>
      </c>
      <c r="D17" s="97">
        <v>2290</v>
      </c>
      <c r="E17" s="99">
        <v>64.8455865</v>
      </c>
      <c r="F17" s="99">
        <v>2.5</v>
      </c>
      <c r="G17" s="99">
        <v>1.6</v>
      </c>
      <c r="H17" s="98" t="s">
        <v>964</v>
      </c>
      <c r="I17" s="99">
        <v>3.5</v>
      </c>
      <c r="J17" s="100">
        <v>63.61876354166667</v>
      </c>
      <c r="K17" s="100">
        <v>162.11396624999998</v>
      </c>
    </row>
    <row r="18" spans="1:11" ht="12.75">
      <c r="A18" s="93" t="s">
        <v>1521</v>
      </c>
      <c r="B18" s="95">
        <v>37385</v>
      </c>
      <c r="C18" s="96">
        <v>0.34375</v>
      </c>
      <c r="D18" s="97">
        <v>2120</v>
      </c>
      <c r="E18" s="99">
        <v>60.031722</v>
      </c>
      <c r="F18" s="99">
        <v>2.3</v>
      </c>
      <c r="G18" s="99">
        <v>1.6</v>
      </c>
      <c r="H18" s="98" t="s">
        <v>964</v>
      </c>
      <c r="I18" s="99">
        <v>3.2</v>
      </c>
      <c r="J18" s="100">
        <v>58.94745572916668</v>
      </c>
      <c r="K18" s="100">
        <v>138.0729606</v>
      </c>
    </row>
    <row r="19" spans="1:11" ht="12.75">
      <c r="A19" s="93" t="s">
        <v>1522</v>
      </c>
      <c r="B19" s="95">
        <v>37391</v>
      </c>
      <c r="C19" s="96">
        <v>0.3541666666666667</v>
      </c>
      <c r="D19" s="97">
        <v>2210</v>
      </c>
      <c r="E19" s="99">
        <v>62.5802385</v>
      </c>
      <c r="F19" s="99">
        <v>2.4</v>
      </c>
      <c r="G19" s="99">
        <v>1.5</v>
      </c>
      <c r="H19" s="98" t="s">
        <v>964</v>
      </c>
      <c r="I19" s="99">
        <v>3.2</v>
      </c>
      <c r="J19" s="100">
        <v>57.676351562499995</v>
      </c>
      <c r="K19" s="100">
        <v>150.1925724</v>
      </c>
    </row>
    <row r="20" spans="1:11" ht="12.75">
      <c r="A20" s="93" t="s">
        <v>1523</v>
      </c>
      <c r="B20" s="95">
        <v>37397</v>
      </c>
      <c r="C20" s="96">
        <v>0.4166666666666667</v>
      </c>
      <c r="D20" s="97">
        <v>1990</v>
      </c>
      <c r="E20" s="99">
        <v>56.3505315</v>
      </c>
      <c r="F20" s="99">
        <v>3.8</v>
      </c>
      <c r="G20" s="99">
        <v>2</v>
      </c>
      <c r="H20" s="98" t="s">
        <v>964</v>
      </c>
      <c r="I20" s="99">
        <v>3.6</v>
      </c>
      <c r="J20" s="100">
        <v>78.17290625</v>
      </c>
      <c r="K20" s="100">
        <v>214.1320197</v>
      </c>
    </row>
    <row r="21" spans="1:11" ht="12.75">
      <c r="A21" s="93" t="s">
        <v>1524</v>
      </c>
      <c r="B21" s="95">
        <v>37398</v>
      </c>
      <c r="C21" s="96">
        <v>0.5208333333333334</v>
      </c>
      <c r="D21" s="97">
        <v>2240</v>
      </c>
      <c r="E21" s="99">
        <v>63.429744</v>
      </c>
      <c r="F21" s="99">
        <v>2.4</v>
      </c>
      <c r="G21" s="99">
        <v>1.6</v>
      </c>
      <c r="H21" s="98" t="s">
        <v>964</v>
      </c>
      <c r="I21" s="99">
        <v>3.2</v>
      </c>
      <c r="J21" s="100">
        <v>60.854111979166674</v>
      </c>
      <c r="K21" s="100">
        <v>152.23138559999998</v>
      </c>
    </row>
    <row r="22" spans="1:11" ht="12.75">
      <c r="A22" s="93" t="s">
        <v>1525</v>
      </c>
      <c r="B22" s="95">
        <v>37405</v>
      </c>
      <c r="C22" s="96">
        <v>0.6</v>
      </c>
      <c r="D22" s="97">
        <v>1860</v>
      </c>
      <c r="E22" s="99">
        <v>52.669341</v>
      </c>
      <c r="F22" s="99">
        <v>2.3</v>
      </c>
      <c r="G22" s="99">
        <v>1.6</v>
      </c>
      <c r="H22" s="98" t="s">
        <v>964</v>
      </c>
      <c r="I22" s="99">
        <v>3.6</v>
      </c>
      <c r="J22" s="100">
        <v>62.76076822916666</v>
      </c>
      <c r="K22" s="100">
        <v>121.13948429999999</v>
      </c>
    </row>
    <row r="23" spans="1:11" ht="12.75">
      <c r="A23" s="93" t="s">
        <v>1526</v>
      </c>
      <c r="B23" s="95">
        <v>37419</v>
      </c>
      <c r="C23" s="96">
        <v>0.3333333333333333</v>
      </c>
      <c r="D23" s="97">
        <v>1600</v>
      </c>
      <c r="E23" s="99">
        <v>45.306960000000004</v>
      </c>
      <c r="F23" s="99">
        <v>2.5</v>
      </c>
      <c r="G23" s="99">
        <v>1.7</v>
      </c>
      <c r="H23" s="98" t="s">
        <v>964</v>
      </c>
      <c r="I23" s="99">
        <v>3.6</v>
      </c>
      <c r="J23" s="100">
        <v>65.62075260416667</v>
      </c>
      <c r="K23" s="100">
        <v>113.26740000000001</v>
      </c>
    </row>
    <row r="24" spans="1:11" ht="12.75">
      <c r="A24" s="93" t="s">
        <v>1527</v>
      </c>
      <c r="B24" s="95">
        <v>37426</v>
      </c>
      <c r="C24" s="96">
        <v>0.5902777777777778</v>
      </c>
      <c r="D24" s="97">
        <v>1570</v>
      </c>
      <c r="E24" s="99">
        <v>44.457454500000004</v>
      </c>
      <c r="F24" s="99">
        <v>2.6</v>
      </c>
      <c r="G24" s="99">
        <v>1.7</v>
      </c>
      <c r="H24" s="98" t="s">
        <v>964</v>
      </c>
      <c r="I24" s="99">
        <v>3.3</v>
      </c>
      <c r="J24" s="100">
        <v>67.36852083333333</v>
      </c>
      <c r="K24" s="100">
        <v>115.58938170000002</v>
      </c>
    </row>
    <row r="25" spans="1:11" ht="12">
      <c r="A25" s="93" t="s">
        <v>1528</v>
      </c>
      <c r="B25" s="95">
        <v>37433</v>
      </c>
      <c r="C25" s="96">
        <v>0.34375</v>
      </c>
      <c r="D25" s="97">
        <v>1480</v>
      </c>
      <c r="E25" s="99">
        <v>41.908938</v>
      </c>
      <c r="F25" s="99">
        <v>2.6</v>
      </c>
      <c r="G25" s="99">
        <v>1.8</v>
      </c>
      <c r="H25" s="98" t="s">
        <v>964</v>
      </c>
      <c r="I25" s="99">
        <v>3.9</v>
      </c>
      <c r="J25" s="100">
        <v>69.11628906250002</v>
      </c>
      <c r="K25" s="100">
        <v>108.9632388</v>
      </c>
    </row>
    <row r="26" spans="1:11" ht="12">
      <c r="A26" s="93" t="s">
        <v>1529</v>
      </c>
      <c r="B26" s="95">
        <v>37440</v>
      </c>
      <c r="C26" s="96">
        <v>0.5833333333333334</v>
      </c>
      <c r="D26" s="97">
        <v>1740</v>
      </c>
      <c r="E26" s="99">
        <v>49.271319</v>
      </c>
      <c r="F26" s="99">
        <v>2.5</v>
      </c>
      <c r="G26" s="99">
        <v>1.8</v>
      </c>
      <c r="H26" s="98" t="s">
        <v>964</v>
      </c>
      <c r="I26" s="99">
        <v>4</v>
      </c>
      <c r="J26" s="100">
        <v>73.56515364583333</v>
      </c>
      <c r="K26" s="100">
        <v>123.1782975</v>
      </c>
    </row>
    <row r="27" spans="1:11" ht="12">
      <c r="A27" s="93" t="s">
        <v>1530</v>
      </c>
      <c r="B27" s="95">
        <v>37447</v>
      </c>
      <c r="C27" s="96">
        <v>0.4583333333333333</v>
      </c>
      <c r="D27" s="97">
        <v>1890</v>
      </c>
      <c r="E27" s="99">
        <v>53.5188465</v>
      </c>
      <c r="F27" s="99">
        <v>2.5</v>
      </c>
      <c r="G27" s="99">
        <v>1.8</v>
      </c>
      <c r="H27" s="98" t="s">
        <v>964</v>
      </c>
      <c r="I27" s="99">
        <v>3.6</v>
      </c>
      <c r="J27" s="100">
        <v>72.13516145833333</v>
      </c>
      <c r="K27" s="100">
        <v>133.79711625000002</v>
      </c>
    </row>
    <row r="28" spans="1:11" ht="12">
      <c r="A28" s="93" t="s">
        <v>1531</v>
      </c>
      <c r="B28" s="95">
        <v>37454</v>
      </c>
      <c r="C28" s="96">
        <v>0.576388888888889</v>
      </c>
      <c r="D28" s="97">
        <v>1960</v>
      </c>
      <c r="E28" s="99">
        <v>55.501026</v>
      </c>
      <c r="F28" s="99">
        <v>2.4</v>
      </c>
      <c r="G28" s="99">
        <v>1.8</v>
      </c>
      <c r="H28" s="98" t="s">
        <v>964</v>
      </c>
      <c r="I28" s="99">
        <v>3.7</v>
      </c>
      <c r="J28" s="100">
        <v>74.20070572916666</v>
      </c>
      <c r="K28" s="100">
        <v>133.2024624</v>
      </c>
    </row>
    <row r="29" spans="1:11" ht="12">
      <c r="A29" s="93" t="s">
        <v>1532</v>
      </c>
      <c r="B29" s="95">
        <v>37462</v>
      </c>
      <c r="C29" s="96">
        <v>0.5520833333333334</v>
      </c>
      <c r="D29" s="97">
        <v>1700</v>
      </c>
      <c r="E29" s="99">
        <v>48.138645000000004</v>
      </c>
      <c r="F29" s="99">
        <v>2.5</v>
      </c>
      <c r="G29" s="99">
        <v>2</v>
      </c>
      <c r="H29" s="98" t="s">
        <v>964</v>
      </c>
      <c r="I29" s="99">
        <v>4.1</v>
      </c>
      <c r="J29" s="100">
        <v>78.33179427083334</v>
      </c>
      <c r="K29" s="100">
        <v>120.3466125</v>
      </c>
    </row>
    <row r="30" spans="1:11" ht="12">
      <c r="A30" s="93" t="s">
        <v>1533</v>
      </c>
      <c r="B30" s="95">
        <v>37482</v>
      </c>
      <c r="C30" s="96">
        <v>0.5416666666666666</v>
      </c>
      <c r="D30" s="97">
        <v>1700</v>
      </c>
      <c r="E30" s="99">
        <v>48.138645000000004</v>
      </c>
      <c r="F30" s="99">
        <v>2.6</v>
      </c>
      <c r="G30" s="99">
        <v>1.9</v>
      </c>
      <c r="H30" s="98" t="s">
        <v>964</v>
      </c>
      <c r="I30" s="99">
        <v>4.1</v>
      </c>
      <c r="J30" s="100">
        <v>72.29404947916666</v>
      </c>
      <c r="K30" s="100">
        <v>125.16047700000001</v>
      </c>
    </row>
    <row r="31" spans="1:11" ht="12">
      <c r="A31" s="93" t="s">
        <v>1534</v>
      </c>
      <c r="B31" s="95">
        <v>37496</v>
      </c>
      <c r="C31" s="96">
        <v>0.4583333333333333</v>
      </c>
      <c r="D31" s="97">
        <v>2010</v>
      </c>
      <c r="E31" s="99">
        <v>56.9168685</v>
      </c>
      <c r="F31" s="99">
        <v>2.6</v>
      </c>
      <c r="G31" s="99">
        <v>1.8</v>
      </c>
      <c r="H31" s="98" t="s">
        <v>964</v>
      </c>
      <c r="I31" s="99">
        <v>3.4</v>
      </c>
      <c r="J31" s="100">
        <v>74.51848177083333</v>
      </c>
      <c r="K31" s="100">
        <v>147.9838581</v>
      </c>
    </row>
    <row r="32" spans="1:11" ht="12">
      <c r="A32" s="93" t="s">
        <v>1535</v>
      </c>
      <c r="B32" s="95">
        <v>37510</v>
      </c>
      <c r="C32" s="96">
        <v>0.5833333333333334</v>
      </c>
      <c r="D32" s="97">
        <v>1770</v>
      </c>
      <c r="E32" s="99">
        <v>50.120824500000005</v>
      </c>
      <c r="F32" s="99">
        <v>2.7</v>
      </c>
      <c r="G32" s="99">
        <v>1.8</v>
      </c>
      <c r="H32" s="98" t="s">
        <v>964</v>
      </c>
      <c r="I32" s="99">
        <v>3.8</v>
      </c>
      <c r="J32" s="100">
        <v>77.06069010416667</v>
      </c>
      <c r="K32" s="100">
        <v>135.32622615000002</v>
      </c>
    </row>
    <row r="33" spans="1:11" ht="12">
      <c r="A33" s="93" t="s">
        <v>1536</v>
      </c>
      <c r="B33" s="95">
        <v>37529</v>
      </c>
      <c r="C33" s="96">
        <v>0.40972222222222227</v>
      </c>
      <c r="D33" s="97">
        <v>1140</v>
      </c>
      <c r="E33" s="99">
        <v>32.281209000000004</v>
      </c>
      <c r="F33" s="99">
        <v>3.2</v>
      </c>
      <c r="G33" s="99">
        <v>1.9</v>
      </c>
      <c r="H33" s="98" t="s">
        <v>964</v>
      </c>
      <c r="I33" s="99">
        <v>3.5</v>
      </c>
      <c r="J33" s="100">
        <v>74.8362578125</v>
      </c>
      <c r="K33" s="100">
        <v>103.29986880000001</v>
      </c>
    </row>
    <row r="34" spans="1:10" ht="12">
      <c r="A34" s="14" t="s">
        <v>522</v>
      </c>
      <c r="B34" s="95"/>
      <c r="C34" s="96"/>
      <c r="J34" s="100"/>
    </row>
    <row r="35" spans="1:10" ht="12">
      <c r="A35" s="14" t="s">
        <v>963</v>
      </c>
      <c r="B35" s="95"/>
      <c r="C35" s="96"/>
      <c r="J35" s="100"/>
    </row>
    <row r="36" spans="1:10" ht="12">
      <c r="A36" s="14" t="s">
        <v>973</v>
      </c>
      <c r="B36" s="95"/>
      <c r="C36" s="96"/>
      <c r="J36" s="100"/>
    </row>
    <row r="37" spans="1:11" ht="14.25" customHeight="1">
      <c r="A37" s="93" t="s">
        <v>706</v>
      </c>
      <c r="B37" s="95">
        <v>38280</v>
      </c>
      <c r="C37" s="96">
        <v>0.576388888888889</v>
      </c>
      <c r="D37" s="97">
        <v>859</v>
      </c>
      <c r="E37" s="99">
        <f aca="true" t="shared" si="0" ref="E37:E90">D37*0.02831685</f>
        <v>24.32417415</v>
      </c>
      <c r="F37" s="105">
        <v>3.27</v>
      </c>
      <c r="G37" s="99">
        <v>1.88</v>
      </c>
      <c r="H37" s="98" t="s">
        <v>964</v>
      </c>
      <c r="I37" s="99">
        <v>3.46</v>
      </c>
      <c r="J37" s="100">
        <v>77.219578125</v>
      </c>
      <c r="K37" s="100">
        <v>79.54004947050001</v>
      </c>
    </row>
    <row r="38" spans="1:11" ht="14.25" customHeight="1">
      <c r="A38" s="93" t="s">
        <v>708</v>
      </c>
      <c r="B38" s="95">
        <v>38333</v>
      </c>
      <c r="C38" s="96">
        <v>0.5625</v>
      </c>
      <c r="D38" s="97">
        <v>567</v>
      </c>
      <c r="E38" s="99">
        <f>D38*0.02831685</f>
        <v>16.05565395</v>
      </c>
      <c r="F38" s="105">
        <v>4.08</v>
      </c>
      <c r="G38" s="99">
        <v>2.12</v>
      </c>
      <c r="H38" s="98" t="s">
        <v>964</v>
      </c>
      <c r="I38" s="99">
        <v>3.17</v>
      </c>
      <c r="J38" s="100">
        <v>62.28410416666666</v>
      </c>
      <c r="K38" s="100">
        <v>65.507068116</v>
      </c>
    </row>
    <row r="39" spans="1:11" ht="14.25" customHeight="1">
      <c r="A39" s="93" t="s">
        <v>707</v>
      </c>
      <c r="B39" s="95" t="str">
        <f>MID(A39,4,2)&amp;"/"&amp;MID(A39,6,2)&amp;"/"&amp;MID(A39,8,2)</f>
        <v>01/18/05</v>
      </c>
      <c r="C39" s="96">
        <v>0.5590277777777778</v>
      </c>
      <c r="D39" s="97">
        <v>959</v>
      </c>
      <c r="E39" s="99">
        <f t="shared" si="0"/>
        <v>27.15585915</v>
      </c>
      <c r="F39" s="105">
        <v>3.57</v>
      </c>
      <c r="G39" s="99">
        <v>1.97</v>
      </c>
      <c r="H39" s="98" t="s">
        <v>964</v>
      </c>
      <c r="I39" s="99">
        <v>3.4</v>
      </c>
      <c r="J39" s="100">
        <v>77.37846614583333</v>
      </c>
      <c r="K39" s="100">
        <v>96.9464171655</v>
      </c>
    </row>
    <row r="40" spans="1:11" ht="14.25" customHeight="1">
      <c r="A40" s="93" t="s">
        <v>709</v>
      </c>
      <c r="B40" s="95" t="str">
        <f aca="true" t="shared" si="1" ref="B40:B79">MID(A40,4,2)&amp;"/"&amp;MID(A40,6,2)&amp;"/"&amp;MID(A40,8,2)</f>
        <v>02/22/05</v>
      </c>
      <c r="C40" s="96">
        <v>0.7291666666666666</v>
      </c>
      <c r="D40" s="97">
        <v>900</v>
      </c>
      <c r="E40" s="99">
        <f t="shared" si="0"/>
        <v>25.485165000000002</v>
      </c>
      <c r="F40" s="105">
        <v>3.64</v>
      </c>
      <c r="G40" s="99">
        <v>2.02</v>
      </c>
      <c r="H40" s="98" t="s">
        <v>964</v>
      </c>
      <c r="I40" s="99">
        <v>3.39</v>
      </c>
      <c r="J40" s="100">
        <v>81.03289062500001</v>
      </c>
      <c r="K40" s="100">
        <v>92.76600060000001</v>
      </c>
    </row>
    <row r="41" spans="1:11" ht="14.25" customHeight="1">
      <c r="A41" s="93" t="s">
        <v>710</v>
      </c>
      <c r="B41" s="95" t="str">
        <f t="shared" si="1"/>
        <v>03/16/05</v>
      </c>
      <c r="C41" s="96">
        <v>0.5659722222222222</v>
      </c>
      <c r="D41" s="97">
        <v>900</v>
      </c>
      <c r="E41" s="99">
        <f t="shared" si="0"/>
        <v>25.485165000000002</v>
      </c>
      <c r="F41" s="105">
        <v>3.73</v>
      </c>
      <c r="G41" s="99">
        <v>1.95</v>
      </c>
      <c r="H41" s="98" t="s">
        <v>964</v>
      </c>
      <c r="I41" s="99">
        <v>3.35</v>
      </c>
      <c r="J41" s="100">
        <v>79.82534166666666</v>
      </c>
      <c r="K41" s="100">
        <v>95.05966545000001</v>
      </c>
    </row>
    <row r="42" spans="1:11" ht="14.25" customHeight="1">
      <c r="A42" s="93" t="s">
        <v>711</v>
      </c>
      <c r="B42" s="95" t="str">
        <f t="shared" si="1"/>
        <v>03/29/05</v>
      </c>
      <c r="C42" s="96">
        <v>0.6284722222222222</v>
      </c>
      <c r="D42" s="97">
        <v>1070</v>
      </c>
      <c r="E42" s="99">
        <f t="shared" si="0"/>
        <v>30.2990295</v>
      </c>
      <c r="F42" s="105">
        <v>3.49</v>
      </c>
      <c r="G42" s="99">
        <v>1.89</v>
      </c>
      <c r="H42" s="98" t="s">
        <v>964</v>
      </c>
      <c r="I42" s="99">
        <v>3.17</v>
      </c>
      <c r="J42" s="100">
        <v>75.53536510416667</v>
      </c>
      <c r="K42" s="100">
        <v>105.743612955</v>
      </c>
    </row>
    <row r="43" spans="1:11" ht="14.25" customHeight="1">
      <c r="A43" s="93" t="s">
        <v>712</v>
      </c>
      <c r="B43" s="95" t="str">
        <f t="shared" si="1"/>
        <v>04/12/05</v>
      </c>
      <c r="C43" s="96" t="s">
        <v>1549</v>
      </c>
      <c r="D43" s="97">
        <v>1050</v>
      </c>
      <c r="E43" s="99">
        <f t="shared" si="0"/>
        <v>29.732692500000002</v>
      </c>
      <c r="F43" s="105">
        <v>3.04</v>
      </c>
      <c r="G43" s="99">
        <v>1.67</v>
      </c>
      <c r="H43" s="98" t="s">
        <v>964</v>
      </c>
      <c r="I43" s="99">
        <v>2.82</v>
      </c>
      <c r="J43" s="100">
        <v>68.32184895833335</v>
      </c>
      <c r="K43" s="100">
        <v>90.38738520000001</v>
      </c>
    </row>
    <row r="44" spans="1:11" ht="14.25" customHeight="1">
      <c r="A44" s="93" t="s">
        <v>713</v>
      </c>
      <c r="B44" s="95" t="str">
        <f t="shared" si="1"/>
        <v>04/27/05</v>
      </c>
      <c r="C44" s="96" t="s">
        <v>1549</v>
      </c>
      <c r="D44" s="97">
        <v>2380</v>
      </c>
      <c r="E44" s="99">
        <f t="shared" si="0"/>
        <v>67.394103</v>
      </c>
      <c r="F44" s="105">
        <v>2.59</v>
      </c>
      <c r="G44" s="99">
        <v>1.51</v>
      </c>
      <c r="H44" s="98" t="s">
        <v>964</v>
      </c>
      <c r="I44" s="99">
        <v>2.25</v>
      </c>
      <c r="J44" s="100">
        <v>56.246359375000004</v>
      </c>
      <c r="K44" s="100">
        <v>174.55072676999998</v>
      </c>
    </row>
    <row r="45" spans="1:11" ht="14.25" customHeight="1">
      <c r="A45" s="93" t="s">
        <v>714</v>
      </c>
      <c r="B45" s="95" t="str">
        <f t="shared" si="1"/>
        <v>05/03/05</v>
      </c>
      <c r="C45" s="96">
        <v>0.5888888888888889</v>
      </c>
      <c r="D45" s="97">
        <v>1540</v>
      </c>
      <c r="E45" s="99">
        <f t="shared" si="0"/>
        <v>43.607949000000005</v>
      </c>
      <c r="F45" s="105">
        <v>2.47</v>
      </c>
      <c r="G45" s="99">
        <v>1.54</v>
      </c>
      <c r="H45" s="98" t="s">
        <v>964</v>
      </c>
      <c r="I45" s="99">
        <v>2.26</v>
      </c>
      <c r="J45" s="100">
        <v>54.33970312500001</v>
      </c>
      <c r="K45" s="100">
        <v>107.71163403000003</v>
      </c>
    </row>
    <row r="46" spans="1:11" ht="14.25" customHeight="1">
      <c r="A46" s="93" t="s">
        <v>715</v>
      </c>
      <c r="B46" s="95" t="str">
        <f t="shared" si="1"/>
        <v>05/08/05</v>
      </c>
      <c r="C46" s="96">
        <v>0.5381944444444444</v>
      </c>
      <c r="D46" s="97">
        <v>1720</v>
      </c>
      <c r="E46" s="99">
        <f t="shared" si="0"/>
        <v>48.704982</v>
      </c>
      <c r="F46" s="105">
        <v>2.14</v>
      </c>
      <c r="G46" s="99">
        <v>1.43</v>
      </c>
      <c r="H46" s="98" t="s">
        <v>964</v>
      </c>
      <c r="I46" s="99">
        <v>2.3</v>
      </c>
      <c r="J46" s="100">
        <v>54.49859114583333</v>
      </c>
      <c r="K46" s="100">
        <v>104.22866148000001</v>
      </c>
    </row>
    <row r="47" spans="1:11" ht="14.25" customHeight="1">
      <c r="A47" s="93" t="s">
        <v>716</v>
      </c>
      <c r="B47" s="95" t="str">
        <f t="shared" si="1"/>
        <v>05/15/05</v>
      </c>
      <c r="C47" s="96">
        <v>0.5381944444444444</v>
      </c>
      <c r="D47" s="97">
        <v>1840</v>
      </c>
      <c r="E47" s="99">
        <f t="shared" si="0"/>
        <v>52.103004</v>
      </c>
      <c r="F47" s="105">
        <v>2.45</v>
      </c>
      <c r="G47" s="99">
        <v>1.6</v>
      </c>
      <c r="H47" s="98" t="s">
        <v>964</v>
      </c>
      <c r="I47" s="99">
        <v>2.58</v>
      </c>
      <c r="J47" s="100">
        <v>60.5363359375</v>
      </c>
      <c r="K47" s="100">
        <v>127.6523598</v>
      </c>
    </row>
    <row r="48" spans="1:11" ht="14.25" customHeight="1">
      <c r="A48" s="93" t="s">
        <v>717</v>
      </c>
      <c r="B48" s="95" t="str">
        <f t="shared" si="1"/>
        <v>05/22/05</v>
      </c>
      <c r="C48" s="96">
        <v>0.5347222222222222</v>
      </c>
      <c r="D48" s="97">
        <v>2320</v>
      </c>
      <c r="E48" s="99">
        <f t="shared" si="0"/>
        <v>65.695092</v>
      </c>
      <c r="F48" s="105">
        <v>2.41</v>
      </c>
      <c r="G48" s="99">
        <v>1.59</v>
      </c>
      <c r="H48" s="98" t="s">
        <v>964</v>
      </c>
      <c r="I48" s="99">
        <v>2.59</v>
      </c>
      <c r="J48" s="100">
        <v>60.59989114583333</v>
      </c>
      <c r="K48" s="100">
        <v>158.32517172000001</v>
      </c>
    </row>
    <row r="49" spans="1:11" ht="14.25" customHeight="1">
      <c r="A49" s="93" t="s">
        <v>718</v>
      </c>
      <c r="B49" s="95" t="str">
        <f t="shared" si="1"/>
        <v>05/26/05</v>
      </c>
      <c r="C49" s="96">
        <v>0.7604166666666666</v>
      </c>
      <c r="D49" s="97">
        <v>2510</v>
      </c>
      <c r="E49" s="99">
        <f t="shared" si="0"/>
        <v>71.0752935</v>
      </c>
      <c r="F49" s="105">
        <v>2.49</v>
      </c>
      <c r="G49" s="99">
        <v>1.59</v>
      </c>
      <c r="H49" s="98" t="s">
        <v>964</v>
      </c>
      <c r="I49" s="99">
        <v>2.6</v>
      </c>
      <c r="J49" s="100">
        <v>61.4896640625</v>
      </c>
      <c r="K49" s="100">
        <v>176.977480815</v>
      </c>
    </row>
    <row r="50" spans="1:11" ht="14.25" customHeight="1">
      <c r="A50" s="93" t="s">
        <v>719</v>
      </c>
      <c r="B50" s="95" t="str">
        <f t="shared" si="1"/>
        <v>06/03/05</v>
      </c>
      <c r="C50" s="96">
        <v>0.513888888888889</v>
      </c>
      <c r="D50" s="97">
        <v>2100</v>
      </c>
      <c r="E50" s="99">
        <f t="shared" si="0"/>
        <v>59.465385000000005</v>
      </c>
      <c r="F50" s="105">
        <v>2.41</v>
      </c>
      <c r="G50" s="99">
        <v>1.53</v>
      </c>
      <c r="H50" s="98" t="s">
        <v>964</v>
      </c>
      <c r="I50" s="99">
        <v>2.36</v>
      </c>
      <c r="J50" s="100">
        <v>58.62967968750001</v>
      </c>
      <c r="K50" s="100">
        <v>143.31157785000002</v>
      </c>
    </row>
    <row r="51" spans="1:11" ht="14.25" customHeight="1">
      <c r="A51" s="93" t="s">
        <v>720</v>
      </c>
      <c r="B51" s="95" t="str">
        <f t="shared" si="1"/>
        <v>06/10/05</v>
      </c>
      <c r="C51" s="96">
        <v>0.5625</v>
      </c>
      <c r="D51" s="97">
        <v>2180</v>
      </c>
      <c r="E51" s="99">
        <f t="shared" si="0"/>
        <v>61.730733</v>
      </c>
      <c r="F51" s="105">
        <v>2.48</v>
      </c>
      <c r="G51" s="99">
        <v>1.61</v>
      </c>
      <c r="H51" s="98" t="s">
        <v>964</v>
      </c>
      <c r="I51" s="99">
        <v>2.58</v>
      </c>
      <c r="J51" s="100">
        <v>59.900783854166676</v>
      </c>
      <c r="K51" s="100">
        <v>153.09221784</v>
      </c>
    </row>
    <row r="52" spans="1:11" ht="14.25" customHeight="1">
      <c r="A52" s="93" t="s">
        <v>721</v>
      </c>
      <c r="B52" s="95" t="str">
        <f t="shared" si="1"/>
        <v>06/19/05</v>
      </c>
      <c r="C52" s="96">
        <v>0.5069444444444444</v>
      </c>
      <c r="D52" s="97">
        <v>1990</v>
      </c>
      <c r="E52" s="99">
        <f t="shared" si="0"/>
        <v>56.3505315</v>
      </c>
      <c r="F52" s="105">
        <v>2.46</v>
      </c>
      <c r="G52" s="99">
        <v>1.62</v>
      </c>
      <c r="H52" s="98" t="s">
        <v>964</v>
      </c>
      <c r="I52" s="99">
        <v>2.65</v>
      </c>
      <c r="J52" s="100">
        <v>62.601880208333334</v>
      </c>
      <c r="K52" s="100">
        <v>138.62230749</v>
      </c>
    </row>
    <row r="53" spans="1:11" ht="14.25" customHeight="1">
      <c r="A53" s="93" t="s">
        <v>722</v>
      </c>
      <c r="B53" s="95" t="str">
        <f t="shared" si="1"/>
        <v>06/30/05</v>
      </c>
      <c r="C53" s="96" t="s">
        <v>1549</v>
      </c>
      <c r="D53" s="97">
        <v>1840</v>
      </c>
      <c r="E53" s="99">
        <f t="shared" si="0"/>
        <v>52.103004</v>
      </c>
      <c r="F53" s="105">
        <v>2.58</v>
      </c>
      <c r="G53" s="99">
        <v>1.74</v>
      </c>
      <c r="H53" s="98" t="s">
        <v>964</v>
      </c>
      <c r="I53" s="99">
        <v>2.54</v>
      </c>
      <c r="J53" s="100">
        <v>62.601880208333334</v>
      </c>
      <c r="K53" s="100">
        <v>134.42575032</v>
      </c>
    </row>
    <row r="54" spans="1:11" ht="14.25" customHeight="1">
      <c r="A54" s="93" t="s">
        <v>723</v>
      </c>
      <c r="B54" s="95" t="str">
        <f t="shared" si="1"/>
        <v>07/19/05</v>
      </c>
      <c r="C54" s="96">
        <v>0.6333333333333333</v>
      </c>
      <c r="D54" s="97">
        <v>2290</v>
      </c>
      <c r="E54" s="99">
        <f t="shared" si="0"/>
        <v>64.8455865</v>
      </c>
      <c r="F54" s="105">
        <v>2.47</v>
      </c>
      <c r="G54" s="99">
        <v>1.69</v>
      </c>
      <c r="H54" s="98" t="s">
        <v>964</v>
      </c>
      <c r="I54" s="99">
        <v>3.1</v>
      </c>
      <c r="J54" s="100">
        <v>74.51848177083333</v>
      </c>
      <c r="K54" s="100">
        <v>160.168598655</v>
      </c>
    </row>
    <row r="55" spans="1:11" ht="14.25" customHeight="1">
      <c r="A55" s="93" t="s">
        <v>724</v>
      </c>
      <c r="B55" s="95" t="str">
        <f t="shared" si="1"/>
        <v>07/27/05</v>
      </c>
      <c r="C55" s="96">
        <v>0.5243055555555556</v>
      </c>
      <c r="D55" s="97">
        <v>2260</v>
      </c>
      <c r="E55" s="99">
        <f t="shared" si="0"/>
        <v>63.996081000000004</v>
      </c>
      <c r="F55" s="105">
        <v>2.65</v>
      </c>
      <c r="G55" s="99">
        <v>1.73</v>
      </c>
      <c r="H55" s="98" t="s">
        <v>964</v>
      </c>
      <c r="I55" s="99">
        <v>3</v>
      </c>
      <c r="J55" s="100">
        <v>75.312921875</v>
      </c>
      <c r="K55" s="100">
        <v>169.58961465000002</v>
      </c>
    </row>
    <row r="56" spans="1:11" ht="14.25" customHeight="1">
      <c r="A56" s="93" t="s">
        <v>725</v>
      </c>
      <c r="B56" s="95" t="str">
        <f t="shared" si="1"/>
        <v>08/03/05</v>
      </c>
      <c r="C56" s="96">
        <v>0.4388888888888889</v>
      </c>
      <c r="D56" s="97">
        <v>1880</v>
      </c>
      <c r="E56" s="99">
        <f t="shared" si="0"/>
        <v>53.235678</v>
      </c>
      <c r="F56" s="105">
        <v>2.76</v>
      </c>
      <c r="G56" s="99">
        <v>1.79</v>
      </c>
      <c r="H56" s="98" t="s">
        <v>964</v>
      </c>
      <c r="I56" s="99">
        <v>2.85</v>
      </c>
      <c r="J56" s="100">
        <v>73.75581927083334</v>
      </c>
      <c r="K56" s="100">
        <v>146.93047127999998</v>
      </c>
    </row>
    <row r="57" spans="1:11" ht="14.25" customHeight="1">
      <c r="A57" s="93" t="s">
        <v>726</v>
      </c>
      <c r="B57" s="95" t="str">
        <f t="shared" si="1"/>
        <v>08/06/05</v>
      </c>
      <c r="C57" s="96">
        <v>0.6666666666666666</v>
      </c>
      <c r="D57" s="97">
        <v>1710</v>
      </c>
      <c r="E57" s="99">
        <f t="shared" si="0"/>
        <v>48.4218135</v>
      </c>
      <c r="F57" s="105">
        <v>2.89</v>
      </c>
      <c r="G57" s="99">
        <v>1.87</v>
      </c>
      <c r="H57" s="98" t="s">
        <v>964</v>
      </c>
      <c r="I57" s="99">
        <v>2.69</v>
      </c>
      <c r="J57" s="100">
        <v>72.4529375</v>
      </c>
      <c r="K57" s="100">
        <v>139.93904101500002</v>
      </c>
    </row>
    <row r="58" spans="1:11" ht="14.25" customHeight="1">
      <c r="A58" s="93" t="s">
        <v>727</v>
      </c>
      <c r="B58" s="95" t="str">
        <f t="shared" si="1"/>
        <v>08/15/05</v>
      </c>
      <c r="C58" s="96">
        <v>0.5208333333333334</v>
      </c>
      <c r="D58" s="97">
        <v>1750</v>
      </c>
      <c r="E58" s="99">
        <f t="shared" si="0"/>
        <v>49.5544875</v>
      </c>
      <c r="F58" s="105">
        <v>3.05</v>
      </c>
      <c r="G58" s="99">
        <v>1.89</v>
      </c>
      <c r="H58" s="98" t="s">
        <v>964</v>
      </c>
      <c r="I58" s="99">
        <v>2.79</v>
      </c>
      <c r="J58" s="100">
        <v>73.8829296875</v>
      </c>
      <c r="K58" s="100">
        <v>151.141186875</v>
      </c>
    </row>
    <row r="59" spans="1:11" ht="14.25" customHeight="1">
      <c r="A59" s="93" t="s">
        <v>728</v>
      </c>
      <c r="B59" s="95" t="str">
        <f t="shared" si="1"/>
        <v>08/21/05</v>
      </c>
      <c r="C59" s="96">
        <v>0.5069444444444444</v>
      </c>
      <c r="D59" s="97">
        <v>1640</v>
      </c>
      <c r="E59" s="99">
        <f t="shared" si="0"/>
        <v>46.439634000000005</v>
      </c>
      <c r="F59" s="105">
        <v>2.97</v>
      </c>
      <c r="G59" s="99">
        <v>1.91</v>
      </c>
      <c r="H59" s="98" t="s">
        <v>964</v>
      </c>
      <c r="I59" s="99">
        <v>2.77</v>
      </c>
      <c r="J59" s="100">
        <v>72.13516145833333</v>
      </c>
      <c r="K59" s="100">
        <v>137.92571298000001</v>
      </c>
    </row>
    <row r="60" spans="1:11" ht="14.25" customHeight="1">
      <c r="A60" s="93" t="s">
        <v>729</v>
      </c>
      <c r="B60" s="95" t="str">
        <f t="shared" si="1"/>
        <v>08/31/05</v>
      </c>
      <c r="C60" s="96">
        <v>0.4895833333333333</v>
      </c>
      <c r="D60" s="97">
        <v>1500</v>
      </c>
      <c r="E60" s="99">
        <f t="shared" si="0"/>
        <v>42.475275</v>
      </c>
      <c r="F60" s="105">
        <v>2.97</v>
      </c>
      <c r="G60" s="99">
        <v>1.93</v>
      </c>
      <c r="H60" s="98" t="s">
        <v>964</v>
      </c>
      <c r="I60" s="99">
        <v>2.67</v>
      </c>
      <c r="J60" s="100">
        <v>71.81738541666667</v>
      </c>
      <c r="K60" s="100">
        <v>126.15156675000001</v>
      </c>
    </row>
    <row r="61" spans="1:11" ht="14.25" customHeight="1">
      <c r="A61" s="93" t="s">
        <v>495</v>
      </c>
      <c r="B61" s="95" t="str">
        <f t="shared" si="1"/>
        <v>09/04/05</v>
      </c>
      <c r="C61" s="96">
        <v>0.6576388888888889</v>
      </c>
      <c r="D61" s="97">
        <v>1700</v>
      </c>
      <c r="E61" s="99">
        <f t="shared" si="0"/>
        <v>48.138645000000004</v>
      </c>
      <c r="F61" s="105">
        <v>2.33</v>
      </c>
      <c r="G61" s="99">
        <v>1.64</v>
      </c>
      <c r="H61" s="98" t="s">
        <v>964</v>
      </c>
      <c r="I61" s="99">
        <v>3.07</v>
      </c>
      <c r="J61" s="100">
        <v>71.9762734375</v>
      </c>
      <c r="K61" s="100">
        <v>112.16304285000001</v>
      </c>
    </row>
    <row r="62" spans="1:11" ht="14.25" customHeight="1">
      <c r="A62" s="93" t="s">
        <v>496</v>
      </c>
      <c r="B62" s="95" t="str">
        <f t="shared" si="1"/>
        <v>09/12/05</v>
      </c>
      <c r="C62" s="96">
        <v>0.5881944444444445</v>
      </c>
      <c r="D62" s="97">
        <v>1560</v>
      </c>
      <c r="E62" s="99">
        <f t="shared" si="0"/>
        <v>44.174286</v>
      </c>
      <c r="F62" s="105">
        <v>2.33</v>
      </c>
      <c r="G62" s="99">
        <v>1.68</v>
      </c>
      <c r="H62" s="98" t="s">
        <v>964</v>
      </c>
      <c r="I62" s="99">
        <v>3.09</v>
      </c>
      <c r="J62" s="100">
        <v>73.56515364583333</v>
      </c>
      <c r="K62" s="100">
        <v>102.92608638000002</v>
      </c>
    </row>
    <row r="63" spans="1:11" ht="14.25" customHeight="1">
      <c r="A63" s="93" t="s">
        <v>497</v>
      </c>
      <c r="B63" s="95" t="str">
        <f t="shared" si="1"/>
        <v>09/30/05</v>
      </c>
      <c r="C63" s="96">
        <v>0.5152777777777778</v>
      </c>
      <c r="D63" s="97">
        <v>1350</v>
      </c>
      <c r="E63" s="99">
        <f t="shared" si="0"/>
        <v>38.2277475</v>
      </c>
      <c r="F63" s="105">
        <v>3.56</v>
      </c>
      <c r="G63" s="99">
        <v>2.05</v>
      </c>
      <c r="H63" s="98" t="s">
        <v>964</v>
      </c>
      <c r="I63" s="99">
        <v>2.75</v>
      </c>
      <c r="J63" s="100">
        <v>70.54628125</v>
      </c>
      <c r="K63" s="100">
        <v>136.0907811</v>
      </c>
    </row>
    <row r="64" spans="1:11" ht="14.25" customHeight="1">
      <c r="A64" s="14" t="s">
        <v>1267</v>
      </c>
      <c r="B64" s="95"/>
      <c r="C64" s="96"/>
      <c r="F64" s="105"/>
      <c r="J64" s="100"/>
      <c r="K64" s="100">
        <v>0</v>
      </c>
    </row>
    <row r="65" spans="1:11" ht="14.25" customHeight="1">
      <c r="A65" s="93" t="s">
        <v>498</v>
      </c>
      <c r="B65" s="95" t="str">
        <f t="shared" si="1"/>
        <v>10/15/05</v>
      </c>
      <c r="C65" s="96">
        <v>0.47222222222222227</v>
      </c>
      <c r="D65" s="97">
        <v>900</v>
      </c>
      <c r="E65" s="99">
        <f t="shared" si="0"/>
        <v>25.485165000000002</v>
      </c>
      <c r="F65" s="105">
        <v>3.48</v>
      </c>
      <c r="G65" s="99">
        <v>1.98</v>
      </c>
      <c r="H65" s="98" t="s">
        <v>964</v>
      </c>
      <c r="I65" s="99">
        <v>2.78</v>
      </c>
      <c r="J65" s="100">
        <v>66.31985989583335</v>
      </c>
      <c r="K65" s="100">
        <v>88.68837420000001</v>
      </c>
    </row>
    <row r="66" spans="1:11" ht="14.25" customHeight="1">
      <c r="A66" s="93" t="s">
        <v>770</v>
      </c>
      <c r="B66" s="95" t="str">
        <f t="shared" si="1"/>
        <v>11/01/05</v>
      </c>
      <c r="C66" s="96">
        <v>0.3611111111111111</v>
      </c>
      <c r="D66" s="97">
        <v>1040</v>
      </c>
      <c r="E66" s="99">
        <f t="shared" si="0"/>
        <v>29.449524</v>
      </c>
      <c r="F66" s="105">
        <v>3.39</v>
      </c>
      <c r="G66" s="99">
        <v>1.97</v>
      </c>
      <c r="H66" s="98" t="s">
        <v>964</v>
      </c>
      <c r="I66" s="99">
        <v>2.62</v>
      </c>
      <c r="J66" s="100">
        <v>70.38739322916668</v>
      </c>
      <c r="K66" s="100">
        <v>99.83388636000001</v>
      </c>
    </row>
    <row r="67" spans="1:11" ht="14.25" customHeight="1">
      <c r="A67" s="93" t="s">
        <v>523</v>
      </c>
      <c r="B67" s="95" t="str">
        <f t="shared" si="1"/>
        <v>12/20/05</v>
      </c>
      <c r="C67" s="96" t="s">
        <v>1549</v>
      </c>
      <c r="D67" s="97">
        <v>1160</v>
      </c>
      <c r="E67" s="99">
        <f t="shared" si="0"/>
        <v>32.847546</v>
      </c>
      <c r="F67" s="105">
        <v>3.29</v>
      </c>
      <c r="G67" s="99">
        <v>2.02</v>
      </c>
      <c r="H67" s="98" t="s">
        <v>964</v>
      </c>
      <c r="I67" s="99">
        <v>2.71</v>
      </c>
      <c r="J67" s="100">
        <v>70.54628125</v>
      </c>
      <c r="K67" s="100">
        <v>108.06842634</v>
      </c>
    </row>
    <row r="68" spans="1:11" ht="14.25" customHeight="1">
      <c r="A68" s="93" t="s">
        <v>499</v>
      </c>
      <c r="B68" s="95" t="str">
        <f t="shared" si="1"/>
        <v>01/18/06</v>
      </c>
      <c r="C68" s="96">
        <v>0.5833333333333334</v>
      </c>
      <c r="D68" s="97">
        <v>1160</v>
      </c>
      <c r="E68" s="99">
        <f t="shared" si="0"/>
        <v>32.847546</v>
      </c>
      <c r="F68" s="105">
        <v>3.48</v>
      </c>
      <c r="G68" s="99">
        <v>1.86</v>
      </c>
      <c r="H68" s="98" t="s">
        <v>964</v>
      </c>
      <c r="I68" s="99">
        <v>3.63</v>
      </c>
      <c r="J68" s="100">
        <v>79.76178645833333</v>
      </c>
      <c r="K68" s="100">
        <v>114.30946008000001</v>
      </c>
    </row>
    <row r="69" spans="1:11" ht="14.25" customHeight="1">
      <c r="A69" s="93" t="s">
        <v>500</v>
      </c>
      <c r="B69" s="95" t="str">
        <f t="shared" si="1"/>
        <v>02/20/06</v>
      </c>
      <c r="C69" s="96">
        <v>0.625</v>
      </c>
      <c r="D69" s="97">
        <v>1020</v>
      </c>
      <c r="E69" s="99">
        <f t="shared" si="0"/>
        <v>28.883187</v>
      </c>
      <c r="F69" s="105">
        <v>3.4</v>
      </c>
      <c r="G69" s="99">
        <v>1.88</v>
      </c>
      <c r="H69" s="98" t="s">
        <v>964</v>
      </c>
      <c r="I69" s="99">
        <v>3.41</v>
      </c>
      <c r="J69" s="100">
        <v>80.39733854166667</v>
      </c>
      <c r="K69" s="100">
        <v>98.2028358</v>
      </c>
    </row>
    <row r="70" spans="1:11" ht="14.25" customHeight="1">
      <c r="A70" s="93" t="s">
        <v>501</v>
      </c>
      <c r="B70" s="95" t="str">
        <f t="shared" si="1"/>
        <v>03/10/06</v>
      </c>
      <c r="C70" s="96">
        <v>0.6979166666666666</v>
      </c>
      <c r="D70" s="97">
        <v>979</v>
      </c>
      <c r="E70" s="99">
        <f t="shared" si="0"/>
        <v>27.722196150000002</v>
      </c>
      <c r="F70" s="105">
        <v>3.46</v>
      </c>
      <c r="G70" s="99">
        <v>1.7</v>
      </c>
      <c r="H70" s="98" t="s">
        <v>964</v>
      </c>
      <c r="I70" s="99">
        <v>3.34</v>
      </c>
      <c r="J70" s="100">
        <v>81.35066666666667</v>
      </c>
      <c r="K70" s="100">
        <v>95.918798679</v>
      </c>
    </row>
    <row r="71" spans="1:11" ht="14.25" customHeight="1">
      <c r="A71" s="93" t="s">
        <v>502</v>
      </c>
      <c r="B71" s="95" t="str">
        <f t="shared" si="1"/>
        <v>04/02/06</v>
      </c>
      <c r="C71" s="96">
        <v>0.6666666666666666</v>
      </c>
      <c r="D71" s="97">
        <v>1210</v>
      </c>
      <c r="E71" s="99">
        <f t="shared" si="0"/>
        <v>34.2633885</v>
      </c>
      <c r="F71" s="105">
        <v>4.24</v>
      </c>
      <c r="G71" s="99">
        <v>0.44</v>
      </c>
      <c r="H71" s="98" t="s">
        <v>964</v>
      </c>
      <c r="I71" s="99">
        <v>16</v>
      </c>
      <c r="J71" s="100">
        <v>112.17494270833333</v>
      </c>
      <c r="K71" s="100">
        <v>145.27676724</v>
      </c>
    </row>
    <row r="72" spans="1:11" ht="14.25" customHeight="1">
      <c r="A72" s="93" t="s">
        <v>503</v>
      </c>
      <c r="B72" s="95" t="str">
        <f t="shared" si="1"/>
        <v>04/15/06</v>
      </c>
      <c r="C72" s="96">
        <v>0.375</v>
      </c>
      <c r="D72" s="97">
        <v>2300</v>
      </c>
      <c r="E72" s="99">
        <f t="shared" si="0"/>
        <v>65.128755</v>
      </c>
      <c r="F72" s="105">
        <v>2.27</v>
      </c>
      <c r="G72" s="99">
        <v>1.24</v>
      </c>
      <c r="H72" s="98" t="s">
        <v>964</v>
      </c>
      <c r="I72" s="99">
        <v>2.7</v>
      </c>
      <c r="J72" s="100">
        <v>59.74189583333334</v>
      </c>
      <c r="K72" s="100">
        <v>147.84227385</v>
      </c>
    </row>
    <row r="73" spans="1:11" ht="14.25" customHeight="1">
      <c r="A73" s="93" t="s">
        <v>504</v>
      </c>
      <c r="B73" s="95" t="str">
        <f t="shared" si="1"/>
        <v>04/27/06</v>
      </c>
      <c r="C73" s="96">
        <v>0.3923611111111111</v>
      </c>
      <c r="D73" s="97">
        <v>2900</v>
      </c>
      <c r="E73" s="99">
        <f t="shared" si="0"/>
        <v>82.118865</v>
      </c>
      <c r="F73" s="105">
        <v>1.66</v>
      </c>
      <c r="G73" s="99">
        <v>0.98</v>
      </c>
      <c r="H73" s="98" t="s">
        <v>964</v>
      </c>
      <c r="I73" s="99">
        <v>2.11</v>
      </c>
      <c r="J73" s="100">
        <v>49.5730625</v>
      </c>
      <c r="K73" s="100">
        <v>136.31731589999998</v>
      </c>
    </row>
    <row r="74" spans="1:11" ht="14.25" customHeight="1">
      <c r="A74" s="93" t="s">
        <v>505</v>
      </c>
      <c r="B74" s="95" t="str">
        <f t="shared" si="1"/>
        <v>05/03/06</v>
      </c>
      <c r="C74" s="96">
        <v>0.5416666666666666</v>
      </c>
      <c r="D74" s="97">
        <v>3860</v>
      </c>
      <c r="E74" s="99">
        <f t="shared" si="0"/>
        <v>109.30304100000001</v>
      </c>
      <c r="F74" s="105">
        <v>1.7</v>
      </c>
      <c r="G74" s="99">
        <v>0.99</v>
      </c>
      <c r="H74" s="98" t="s">
        <v>964</v>
      </c>
      <c r="I74" s="99">
        <v>2.38</v>
      </c>
      <c r="J74" s="100">
        <v>49.5730625</v>
      </c>
      <c r="K74" s="100">
        <v>185.8151697</v>
      </c>
    </row>
    <row r="75" spans="1:11" ht="14.25" customHeight="1">
      <c r="A75" s="93" t="s">
        <v>506</v>
      </c>
      <c r="B75" s="95" t="str">
        <f t="shared" si="1"/>
        <v>05/07/06</v>
      </c>
      <c r="C75" s="96">
        <v>0.5625</v>
      </c>
      <c r="D75" s="97">
        <v>4470</v>
      </c>
      <c r="E75" s="99">
        <f t="shared" si="0"/>
        <v>126.57631950000001</v>
      </c>
      <c r="F75" s="105">
        <v>1.74</v>
      </c>
      <c r="G75" s="99">
        <v>1.13</v>
      </c>
      <c r="H75" s="98" t="s">
        <v>964</v>
      </c>
      <c r="I75" s="99">
        <v>2.19</v>
      </c>
      <c r="J75" s="100">
        <v>53.06859895833333</v>
      </c>
      <c r="K75" s="100">
        <v>220.24279593000003</v>
      </c>
    </row>
    <row r="76" spans="1:11" ht="14.25" customHeight="1">
      <c r="A76" s="93" t="s">
        <v>507</v>
      </c>
      <c r="B76" s="95" t="str">
        <f t="shared" si="1"/>
        <v>05/14/06</v>
      </c>
      <c r="C76" s="96">
        <v>0.5555555555555556</v>
      </c>
      <c r="D76" s="97">
        <v>4430</v>
      </c>
      <c r="E76" s="99">
        <f t="shared" si="0"/>
        <v>125.4436455</v>
      </c>
      <c r="F76" s="105">
        <v>2.49</v>
      </c>
      <c r="G76" s="99">
        <v>1.14</v>
      </c>
      <c r="H76" s="98" t="s">
        <v>964</v>
      </c>
      <c r="I76" s="99">
        <v>2.13</v>
      </c>
      <c r="J76" s="100">
        <v>55.29303124999999</v>
      </c>
      <c r="K76" s="100">
        <v>312.35467729500004</v>
      </c>
    </row>
    <row r="77" spans="1:11" ht="14.25" customHeight="1">
      <c r="A77" s="93" t="s">
        <v>508</v>
      </c>
      <c r="B77" s="95" t="str">
        <f t="shared" si="1"/>
        <v>05/21/06</v>
      </c>
      <c r="C77" s="96">
        <v>0.5625</v>
      </c>
      <c r="D77" s="97">
        <v>4040</v>
      </c>
      <c r="E77" s="99">
        <f t="shared" si="0"/>
        <v>114.400074</v>
      </c>
      <c r="F77" s="105">
        <v>1.83</v>
      </c>
      <c r="G77" s="99">
        <v>1.14</v>
      </c>
      <c r="H77" s="98" t="s">
        <v>964</v>
      </c>
      <c r="I77" s="99">
        <v>2.25</v>
      </c>
      <c r="J77" s="100">
        <v>57.1996875</v>
      </c>
      <c r="K77" s="100">
        <v>209.35213542000002</v>
      </c>
    </row>
    <row r="78" spans="1:11" ht="14.25" customHeight="1">
      <c r="A78" s="93" t="s">
        <v>509</v>
      </c>
      <c r="B78" s="95" t="str">
        <f t="shared" si="1"/>
        <v>05/31/06</v>
      </c>
      <c r="C78" s="96">
        <v>0.4583333333333333</v>
      </c>
      <c r="D78" s="97">
        <v>3010</v>
      </c>
      <c r="E78" s="99">
        <f t="shared" si="0"/>
        <v>85.23371850000001</v>
      </c>
      <c r="F78" s="105">
        <v>2.11</v>
      </c>
      <c r="G78" s="99">
        <v>1.19</v>
      </c>
      <c r="H78" s="98" t="s">
        <v>964</v>
      </c>
      <c r="I78" s="99">
        <v>2.15</v>
      </c>
      <c r="J78" s="100">
        <v>58.47079166666667</v>
      </c>
      <c r="K78" s="100">
        <v>179.84314603500002</v>
      </c>
    </row>
    <row r="79" spans="1:11" ht="14.25" customHeight="1">
      <c r="A79" s="93" t="s">
        <v>510</v>
      </c>
      <c r="B79" s="95" t="str">
        <f t="shared" si="1"/>
        <v>06/09/06</v>
      </c>
      <c r="C79" s="96">
        <v>0.4791666666666667</v>
      </c>
      <c r="D79" s="97">
        <v>2650</v>
      </c>
      <c r="E79" s="99">
        <f t="shared" si="0"/>
        <v>75.0396525</v>
      </c>
      <c r="F79" s="105">
        <v>2.08</v>
      </c>
      <c r="G79" s="99">
        <v>1.28</v>
      </c>
      <c r="H79" s="98" t="s">
        <v>964</v>
      </c>
      <c r="I79" s="99">
        <v>2.48</v>
      </c>
      <c r="J79" s="100">
        <v>62.28410416666666</v>
      </c>
      <c r="K79" s="100">
        <v>156.0824772</v>
      </c>
    </row>
    <row r="80" spans="1:11" ht="12">
      <c r="A80" s="93" t="s">
        <v>511</v>
      </c>
      <c r="B80" s="95" t="str">
        <f aca="true" t="shared" si="2" ref="B80:B90">MID(A80,5,2)&amp;"/"&amp;MID(A80,7,2)&amp;"/"&amp;MID(A80,9,2)</f>
        <v>06/14/06</v>
      </c>
      <c r="C80" s="119">
        <v>0.6041666666666666</v>
      </c>
      <c r="D80" s="97">
        <v>2600</v>
      </c>
      <c r="E80" s="99">
        <f t="shared" si="0"/>
        <v>73.62381</v>
      </c>
      <c r="F80" s="105">
        <v>2.14</v>
      </c>
      <c r="G80" s="99">
        <v>1.33</v>
      </c>
      <c r="H80" s="98" t="s">
        <v>964</v>
      </c>
      <c r="I80" s="99">
        <v>2.5</v>
      </c>
      <c r="J80" s="100">
        <v>65.30297656249999</v>
      </c>
      <c r="K80" s="100">
        <v>157.55495340000002</v>
      </c>
    </row>
    <row r="81" spans="1:11" ht="12">
      <c r="A81" s="93" t="s">
        <v>512</v>
      </c>
      <c r="B81" s="95" t="str">
        <f t="shared" si="2"/>
        <v>06/22/06</v>
      </c>
      <c r="C81" s="119">
        <v>0.7083333333333334</v>
      </c>
      <c r="D81" s="97">
        <v>2180</v>
      </c>
      <c r="E81" s="99">
        <f t="shared" si="0"/>
        <v>61.730733</v>
      </c>
      <c r="F81" s="105">
        <v>2.39</v>
      </c>
      <c r="G81" s="99">
        <v>1.49</v>
      </c>
      <c r="H81" s="98" t="s">
        <v>964</v>
      </c>
      <c r="I81" s="99">
        <v>2.46</v>
      </c>
      <c r="J81" s="100">
        <v>67.686296875</v>
      </c>
      <c r="K81" s="100">
        <v>147.53645187</v>
      </c>
    </row>
    <row r="82" spans="1:11" ht="12">
      <c r="A82" s="93" t="s">
        <v>513</v>
      </c>
      <c r="B82" s="95" t="str">
        <f t="shared" si="2"/>
        <v>06/29/06</v>
      </c>
      <c r="C82" s="119">
        <v>0.5</v>
      </c>
      <c r="D82" s="97">
        <v>2090</v>
      </c>
      <c r="E82" s="99">
        <f t="shared" si="0"/>
        <v>59.1822165</v>
      </c>
      <c r="F82" s="105">
        <v>2.36</v>
      </c>
      <c r="G82" s="99">
        <v>1.47</v>
      </c>
      <c r="H82" s="98" t="s">
        <v>964</v>
      </c>
      <c r="I82" s="99">
        <v>2.62</v>
      </c>
      <c r="J82" s="100">
        <v>74.35959375</v>
      </c>
      <c r="K82" s="100">
        <v>139.67003094</v>
      </c>
    </row>
    <row r="83" spans="1:11" ht="12">
      <c r="A83" s="93" t="s">
        <v>514</v>
      </c>
      <c r="B83" s="95" t="str">
        <f t="shared" si="2"/>
        <v>07/06/06</v>
      </c>
      <c r="C83" s="119">
        <v>0.5208333333333334</v>
      </c>
      <c r="D83" s="97">
        <v>2180</v>
      </c>
      <c r="E83" s="99">
        <f t="shared" si="0"/>
        <v>61.730733</v>
      </c>
      <c r="F83" s="105">
        <v>2.47</v>
      </c>
      <c r="G83" s="99">
        <v>1.48</v>
      </c>
      <c r="H83" s="98" t="s">
        <v>964</v>
      </c>
      <c r="I83" s="99">
        <v>2.69</v>
      </c>
      <c r="J83" s="100">
        <v>74.35959375</v>
      </c>
      <c r="K83" s="100">
        <v>152.47491051</v>
      </c>
    </row>
    <row r="84" spans="1:11" ht="12">
      <c r="A84" s="93" t="s">
        <v>515</v>
      </c>
      <c r="B84" s="95" t="str">
        <f t="shared" si="2"/>
        <v>07/14/06</v>
      </c>
      <c r="C84" s="119">
        <v>0.7083333333333334</v>
      </c>
      <c r="D84" s="97">
        <v>2220</v>
      </c>
      <c r="E84" s="99">
        <f t="shared" si="0"/>
        <v>62.863407</v>
      </c>
      <c r="F84" s="105">
        <v>2.53</v>
      </c>
      <c r="G84" s="99">
        <v>1.62</v>
      </c>
      <c r="H84" s="98" t="s">
        <v>964</v>
      </c>
      <c r="I84" s="99">
        <v>2.61</v>
      </c>
      <c r="J84" s="100">
        <v>76.90180208333332</v>
      </c>
      <c r="K84" s="100">
        <v>159.04441971</v>
      </c>
    </row>
    <row r="85" spans="1:11" ht="12">
      <c r="A85" s="93" t="s">
        <v>516</v>
      </c>
      <c r="B85" s="95" t="str">
        <f t="shared" si="2"/>
        <v>07/25/06</v>
      </c>
      <c r="C85" s="119">
        <v>0.7708333333333334</v>
      </c>
      <c r="D85" s="97">
        <v>2120</v>
      </c>
      <c r="E85" s="99">
        <f t="shared" si="0"/>
        <v>60.031722</v>
      </c>
      <c r="F85" s="105">
        <v>2.54</v>
      </c>
      <c r="G85" s="99">
        <v>1.6</v>
      </c>
      <c r="H85" s="98" t="s">
        <v>964</v>
      </c>
      <c r="I85" s="99">
        <v>2.71</v>
      </c>
      <c r="J85" s="100">
        <v>83.25732291666667</v>
      </c>
      <c r="K85" s="100">
        <v>152.48057388</v>
      </c>
    </row>
    <row r="86" spans="1:11" ht="12">
      <c r="A86" s="93" t="s">
        <v>517</v>
      </c>
      <c r="B86" s="95" t="str">
        <f t="shared" si="2"/>
        <v>08/03/06</v>
      </c>
      <c r="C86" s="119">
        <v>0.7361111111111112</v>
      </c>
      <c r="D86" s="97">
        <v>2220</v>
      </c>
      <c r="E86" s="99">
        <f t="shared" si="0"/>
        <v>62.863407</v>
      </c>
      <c r="F86" s="105">
        <v>2.71</v>
      </c>
      <c r="G86" s="99">
        <v>1.64</v>
      </c>
      <c r="H86" s="98" t="s">
        <v>964</v>
      </c>
      <c r="I86" s="99">
        <v>2.82</v>
      </c>
      <c r="J86" s="100">
        <v>81.03289062500001</v>
      </c>
      <c r="K86" s="100">
        <v>170.35983297</v>
      </c>
    </row>
    <row r="87" spans="1:11" ht="12">
      <c r="A87" s="93" t="s">
        <v>518</v>
      </c>
      <c r="B87" s="95" t="str">
        <f t="shared" si="2"/>
        <v>08/15/06</v>
      </c>
      <c r="C87" s="119">
        <v>0.6319444444444444</v>
      </c>
      <c r="D87" s="97">
        <v>1870</v>
      </c>
      <c r="E87" s="99">
        <f t="shared" si="0"/>
        <v>52.952509500000005</v>
      </c>
      <c r="F87" s="105">
        <v>2.63</v>
      </c>
      <c r="G87" s="99">
        <v>1.72</v>
      </c>
      <c r="H87" s="98" t="s">
        <v>964</v>
      </c>
      <c r="I87" s="99">
        <v>2.7</v>
      </c>
      <c r="J87" s="100">
        <v>73.72404166666668</v>
      </c>
      <c r="K87" s="100">
        <v>139.265099985</v>
      </c>
    </row>
    <row r="88" spans="1:11" ht="12">
      <c r="A88" s="93" t="s">
        <v>519</v>
      </c>
      <c r="B88" s="95" t="str">
        <f t="shared" si="2"/>
        <v>08/30/06</v>
      </c>
      <c r="C88" s="119">
        <v>0.5972222222222222</v>
      </c>
      <c r="D88" s="97">
        <v>1870</v>
      </c>
      <c r="E88" s="99">
        <f t="shared" si="0"/>
        <v>52.952509500000005</v>
      </c>
      <c r="F88" s="105">
        <v>2.76</v>
      </c>
      <c r="G88" s="99">
        <v>1.75</v>
      </c>
      <c r="H88" s="98" t="s">
        <v>964</v>
      </c>
      <c r="I88" s="99">
        <v>2.77</v>
      </c>
      <c r="J88" s="100">
        <v>74.51848177083333</v>
      </c>
      <c r="K88" s="100">
        <v>146.14892622</v>
      </c>
    </row>
    <row r="89" spans="1:11" ht="12">
      <c r="A89" s="93" t="s">
        <v>520</v>
      </c>
      <c r="B89" s="95" t="str">
        <f t="shared" si="2"/>
        <v>09/13/06</v>
      </c>
      <c r="C89" s="119">
        <v>0.375</v>
      </c>
      <c r="D89" s="97">
        <v>1810</v>
      </c>
      <c r="E89" s="99">
        <f t="shared" si="0"/>
        <v>51.2534985</v>
      </c>
      <c r="F89" s="105">
        <v>3.16</v>
      </c>
      <c r="G89" s="99">
        <v>1.87</v>
      </c>
      <c r="H89" s="98" t="s">
        <v>964</v>
      </c>
      <c r="I89" s="99">
        <v>2.68</v>
      </c>
      <c r="J89" s="100">
        <v>71.18183333333333</v>
      </c>
      <c r="K89" s="100">
        <v>161.96105526</v>
      </c>
    </row>
    <row r="90" spans="1:11" ht="12">
      <c r="A90" s="93" t="s">
        <v>521</v>
      </c>
      <c r="B90" s="95" t="str">
        <f t="shared" si="2"/>
        <v>09/27/06</v>
      </c>
      <c r="C90" s="119">
        <v>0.6458333333333334</v>
      </c>
      <c r="D90" s="97">
        <v>1420</v>
      </c>
      <c r="E90" s="99">
        <f t="shared" si="0"/>
        <v>40.209927</v>
      </c>
      <c r="F90" s="105">
        <v>3.54</v>
      </c>
      <c r="G90" s="99">
        <v>1.74</v>
      </c>
      <c r="H90" s="98" t="s">
        <v>964</v>
      </c>
      <c r="I90" s="99">
        <v>3.09</v>
      </c>
      <c r="J90" s="100">
        <v>73.8829296875</v>
      </c>
      <c r="K90" s="100">
        <v>142.34314158</v>
      </c>
    </row>
    <row r="91" spans="1:2" ht="12">
      <c r="A91" s="14" t="s">
        <v>1268</v>
      </c>
      <c r="B91" s="95"/>
    </row>
    <row r="92" spans="1:11" ht="12">
      <c r="A92" s="93" t="s">
        <v>571</v>
      </c>
      <c r="B92" s="95">
        <v>39011.4375</v>
      </c>
      <c r="C92" s="119">
        <v>0.4375</v>
      </c>
      <c r="D92" s="97">
        <v>1280</v>
      </c>
      <c r="E92" s="99">
        <f aca="true" t="shared" si="3" ref="E92:E99">D92*0.02831685</f>
        <v>36.245568</v>
      </c>
      <c r="F92" s="99">
        <v>3.58</v>
      </c>
      <c r="G92" s="99">
        <v>1.92</v>
      </c>
      <c r="H92" s="98" t="s">
        <v>964</v>
      </c>
      <c r="I92" s="99">
        <v>2.73</v>
      </c>
      <c r="J92" s="100">
        <v>68.32184895833335</v>
      </c>
      <c r="K92" s="100">
        <v>129.75913344</v>
      </c>
    </row>
    <row r="93" spans="1:11" ht="12">
      <c r="A93" s="93" t="s">
        <v>572</v>
      </c>
      <c r="B93" s="95">
        <v>39035.625</v>
      </c>
      <c r="C93" s="119">
        <v>0.625</v>
      </c>
      <c r="D93" s="97">
        <v>1240</v>
      </c>
      <c r="E93" s="99">
        <f t="shared" si="3"/>
        <v>35.112894000000004</v>
      </c>
      <c r="F93" s="99">
        <v>3.55</v>
      </c>
      <c r="G93" s="99">
        <v>1.97</v>
      </c>
      <c r="H93" s="98" t="s">
        <v>964</v>
      </c>
      <c r="I93" s="99">
        <v>2.78</v>
      </c>
      <c r="J93" s="100">
        <v>68.00407291666667</v>
      </c>
      <c r="K93" s="100">
        <v>124.6507737</v>
      </c>
    </row>
    <row r="94" spans="1:11" ht="12">
      <c r="A94" s="93" t="s">
        <v>573</v>
      </c>
      <c r="B94" s="95">
        <v>39065.385416666664</v>
      </c>
      <c r="C94" s="119">
        <v>0.3854166666666667</v>
      </c>
      <c r="D94" s="97">
        <v>1390</v>
      </c>
      <c r="E94" s="99">
        <f t="shared" si="3"/>
        <v>39.3604215</v>
      </c>
      <c r="F94" s="99">
        <v>3.51</v>
      </c>
      <c r="G94" s="99">
        <v>1.88</v>
      </c>
      <c r="H94" s="98" t="s">
        <v>964</v>
      </c>
      <c r="I94" s="99">
        <v>4.26</v>
      </c>
      <c r="J94" s="100">
        <v>91.20172395833333</v>
      </c>
      <c r="K94" s="100">
        <v>138.155079465</v>
      </c>
    </row>
    <row r="95" spans="1:11" ht="12">
      <c r="A95" s="93" t="s">
        <v>663</v>
      </c>
      <c r="B95" s="95">
        <v>39093.5</v>
      </c>
      <c r="C95" s="119">
        <v>0.5</v>
      </c>
      <c r="D95" s="97">
        <v>1350</v>
      </c>
      <c r="E95" s="99">
        <f t="shared" si="3"/>
        <v>38.2277475</v>
      </c>
      <c r="F95" s="99">
        <v>3.42</v>
      </c>
      <c r="G95" s="99">
        <v>1.82</v>
      </c>
      <c r="H95" s="98" t="s">
        <v>964</v>
      </c>
      <c r="I95" s="99">
        <v>3.91</v>
      </c>
      <c r="J95" s="100">
        <v>86.43508333333334</v>
      </c>
      <c r="K95" s="100">
        <v>130.73889645</v>
      </c>
    </row>
    <row r="96" spans="1:11" ht="12">
      <c r="A96" s="93" t="s">
        <v>664</v>
      </c>
      <c r="B96" s="95">
        <v>39122.427083333336</v>
      </c>
      <c r="C96" s="119">
        <v>0.4270833333333333</v>
      </c>
      <c r="D96" s="97">
        <v>1280</v>
      </c>
      <c r="E96" s="99">
        <f t="shared" si="3"/>
        <v>36.245568</v>
      </c>
      <c r="F96" s="99">
        <v>3.21</v>
      </c>
      <c r="G96" s="99">
        <v>1.79</v>
      </c>
      <c r="H96" s="98" t="s">
        <v>964</v>
      </c>
      <c r="I96" s="99">
        <v>3.38</v>
      </c>
      <c r="J96" s="100">
        <v>79.76178645833333</v>
      </c>
      <c r="K96" s="100">
        <v>116.34827328</v>
      </c>
    </row>
    <row r="97" spans="1:11" ht="12">
      <c r="A97" s="93" t="s">
        <v>665</v>
      </c>
      <c r="B97" s="95">
        <v>39148.5625</v>
      </c>
      <c r="C97" s="119">
        <v>0.5625</v>
      </c>
      <c r="D97" s="97">
        <v>1160</v>
      </c>
      <c r="E97" s="99">
        <f t="shared" si="3"/>
        <v>32.847546</v>
      </c>
      <c r="F97" s="99">
        <v>2.37</v>
      </c>
      <c r="G97" s="99">
        <v>0.74</v>
      </c>
      <c r="H97" s="98" t="s">
        <v>964</v>
      </c>
      <c r="I97" s="99">
        <v>1.79</v>
      </c>
      <c r="J97" s="100">
        <v>49.25528645833334</v>
      </c>
      <c r="K97" s="100">
        <v>77.84868402000001</v>
      </c>
    </row>
    <row r="98" spans="1:11" ht="12">
      <c r="A98" s="93" t="s">
        <v>666</v>
      </c>
      <c r="B98" s="95">
        <v>39163.38888888889</v>
      </c>
      <c r="C98" s="96">
        <f>B98</f>
        <v>39163.38888888889</v>
      </c>
      <c r="D98" s="97">
        <v>1520</v>
      </c>
      <c r="E98" s="99">
        <f t="shared" si="3"/>
        <v>43.041612</v>
      </c>
      <c r="F98" s="99">
        <v>3.24</v>
      </c>
      <c r="G98" s="99">
        <v>1.65</v>
      </c>
      <c r="H98" s="98" t="s">
        <v>964</v>
      </c>
      <c r="I98" s="99">
        <v>3.89</v>
      </c>
      <c r="J98" s="100">
        <v>87.07063541666666</v>
      </c>
      <c r="K98" s="100">
        <v>139.45482288000002</v>
      </c>
    </row>
    <row r="99" spans="1:11" ht="12">
      <c r="A99" s="93" t="s">
        <v>667</v>
      </c>
      <c r="B99" s="95">
        <v>39174.430555555555</v>
      </c>
      <c r="C99" s="96">
        <f aca="true" t="shared" si="4" ref="C99:C118">B99</f>
        <v>39174.430555555555</v>
      </c>
      <c r="D99" s="97">
        <v>1750</v>
      </c>
      <c r="E99" s="99">
        <f t="shared" si="3"/>
        <v>49.5544875</v>
      </c>
      <c r="F99" s="99">
        <v>3.03</v>
      </c>
      <c r="G99" s="99">
        <v>1.71</v>
      </c>
      <c r="H99" s="98" t="s">
        <v>964</v>
      </c>
      <c r="I99" s="99">
        <v>2.92</v>
      </c>
      <c r="J99" s="100">
        <v>74.35959375</v>
      </c>
      <c r="K99" s="100">
        <v>150.150097125</v>
      </c>
    </row>
    <row r="100" spans="1:11" ht="12">
      <c r="A100" s="93" t="s">
        <v>475</v>
      </c>
      <c r="B100" s="95">
        <v>39191.38888888889</v>
      </c>
      <c r="C100" s="96">
        <f t="shared" si="4"/>
        <v>39191.38888888889</v>
      </c>
      <c r="D100" s="100">
        <v>2080</v>
      </c>
      <c r="E100" s="99">
        <f aca="true" t="shared" si="5" ref="E100:E118">D100*0.02831685</f>
        <v>58.899048</v>
      </c>
      <c r="F100" s="99">
        <v>2.51</v>
      </c>
      <c r="G100" s="99">
        <v>1.54</v>
      </c>
      <c r="H100" s="98" t="s">
        <v>964</v>
      </c>
      <c r="I100" s="99">
        <v>2.34</v>
      </c>
      <c r="J100" s="100">
        <v>61.330776041666674</v>
      </c>
      <c r="K100" s="100">
        <v>147.83661048</v>
      </c>
    </row>
    <row r="101" spans="1:11" ht="12">
      <c r="A101" s="93" t="s">
        <v>476</v>
      </c>
      <c r="B101" s="95">
        <v>39198.430555555555</v>
      </c>
      <c r="C101" s="96">
        <f t="shared" si="4"/>
        <v>39198.430555555555</v>
      </c>
      <c r="D101" s="100">
        <v>2120</v>
      </c>
      <c r="E101" s="99">
        <f t="shared" si="5"/>
        <v>60.031722</v>
      </c>
      <c r="F101" s="99">
        <v>2.46</v>
      </c>
      <c r="G101" s="99">
        <v>1.49</v>
      </c>
      <c r="H101" s="98" t="s">
        <v>964</v>
      </c>
      <c r="I101" s="99">
        <v>2.21</v>
      </c>
      <c r="J101" s="100">
        <v>58.153015624999995</v>
      </c>
      <c r="K101" s="100">
        <v>147.67803612</v>
      </c>
    </row>
    <row r="102" spans="1:11" ht="12">
      <c r="A102" s="93" t="s">
        <v>477</v>
      </c>
      <c r="B102" s="95">
        <v>39205.65625</v>
      </c>
      <c r="C102" s="96">
        <f t="shared" si="4"/>
        <v>39205.65625</v>
      </c>
      <c r="D102" s="100">
        <v>2210</v>
      </c>
      <c r="E102" s="99">
        <f t="shared" si="5"/>
        <v>62.5802385</v>
      </c>
      <c r="F102" s="99">
        <v>2.55</v>
      </c>
      <c r="G102" s="99">
        <v>1.49</v>
      </c>
      <c r="H102" s="98" t="s">
        <v>964</v>
      </c>
      <c r="I102" s="99">
        <v>2.15</v>
      </c>
      <c r="J102" s="100">
        <v>57.517463541666665</v>
      </c>
      <c r="K102" s="100">
        <v>159.57960817499998</v>
      </c>
    </row>
    <row r="103" spans="1:11" ht="12">
      <c r="A103" s="93" t="s">
        <v>478</v>
      </c>
      <c r="B103" s="95">
        <v>39210.36111111111</v>
      </c>
      <c r="C103" s="96">
        <f t="shared" si="4"/>
        <v>39210.36111111111</v>
      </c>
      <c r="D103" s="100">
        <v>1830</v>
      </c>
      <c r="E103" s="99">
        <f t="shared" si="5"/>
        <v>51.8198355</v>
      </c>
      <c r="F103" s="99">
        <v>2.54</v>
      </c>
      <c r="G103" s="99">
        <v>1.62</v>
      </c>
      <c r="H103" s="98" t="s">
        <v>964</v>
      </c>
      <c r="I103" s="99">
        <v>2.26</v>
      </c>
      <c r="J103" s="100">
        <v>59.5830078125</v>
      </c>
      <c r="K103" s="100">
        <v>131.62238217</v>
      </c>
    </row>
    <row r="104" spans="1:11" ht="12">
      <c r="A104" s="93" t="s">
        <v>479</v>
      </c>
      <c r="B104" s="95">
        <v>39217.416666666664</v>
      </c>
      <c r="C104" s="96">
        <f t="shared" si="4"/>
        <v>39217.416666666664</v>
      </c>
      <c r="D104" s="100">
        <v>1720</v>
      </c>
      <c r="E104" s="99">
        <f t="shared" si="5"/>
        <v>48.704982</v>
      </c>
      <c r="F104" s="99">
        <v>2.68</v>
      </c>
      <c r="G104" s="99">
        <v>1.71</v>
      </c>
      <c r="H104" s="98" t="s">
        <v>964</v>
      </c>
      <c r="I104" s="99">
        <v>2.36</v>
      </c>
      <c r="J104" s="100">
        <v>61.330776041666674</v>
      </c>
      <c r="K104" s="100">
        <v>130.52935176</v>
      </c>
    </row>
    <row r="105" spans="1:11" ht="12">
      <c r="A105" s="93" t="s">
        <v>480</v>
      </c>
      <c r="B105" s="95">
        <v>39224.666666666664</v>
      </c>
      <c r="C105" s="96">
        <f t="shared" si="4"/>
        <v>39224.666666666664</v>
      </c>
      <c r="D105" s="100">
        <v>1770</v>
      </c>
      <c r="E105" s="99">
        <f t="shared" si="5"/>
        <v>50.120824500000005</v>
      </c>
      <c r="F105" s="99">
        <v>2.76</v>
      </c>
      <c r="G105" s="99">
        <v>1.82</v>
      </c>
      <c r="H105" s="98" t="s">
        <v>964</v>
      </c>
      <c r="I105" s="99">
        <v>2.57</v>
      </c>
      <c r="J105" s="100">
        <v>66.73296875</v>
      </c>
      <c r="K105" s="100">
        <v>138.33347562</v>
      </c>
    </row>
    <row r="106" spans="1:11" ht="12">
      <c r="A106" s="93" t="s">
        <v>481</v>
      </c>
      <c r="B106" s="95">
        <v>39232.635416666664</v>
      </c>
      <c r="C106" s="96">
        <f t="shared" si="4"/>
        <v>39232.635416666664</v>
      </c>
      <c r="D106" s="100">
        <v>1560</v>
      </c>
      <c r="E106" s="99">
        <f t="shared" si="5"/>
        <v>44.174286</v>
      </c>
      <c r="F106" s="99">
        <v>2.77</v>
      </c>
      <c r="G106" s="99">
        <v>1.82</v>
      </c>
      <c r="H106" s="98" t="s">
        <v>964</v>
      </c>
      <c r="I106" s="99">
        <v>2.57</v>
      </c>
      <c r="J106" s="100">
        <v>67.05074479166667</v>
      </c>
      <c r="K106" s="100">
        <v>122.36277222000001</v>
      </c>
    </row>
    <row r="107" spans="1:11" ht="12">
      <c r="A107" s="93" t="s">
        <v>482</v>
      </c>
      <c r="B107" s="95">
        <v>39240.479166666664</v>
      </c>
      <c r="C107" s="96">
        <f t="shared" si="4"/>
        <v>39240.479166666664</v>
      </c>
      <c r="D107" s="100">
        <v>2010</v>
      </c>
      <c r="E107" s="99">
        <f t="shared" si="5"/>
        <v>56.9168685</v>
      </c>
      <c r="F107" s="99">
        <v>3.19</v>
      </c>
      <c r="G107" s="99">
        <v>1.78</v>
      </c>
      <c r="H107" s="98" t="s">
        <v>964</v>
      </c>
      <c r="I107" s="99">
        <v>3.23</v>
      </c>
      <c r="J107" s="100">
        <v>90.24839583333333</v>
      </c>
      <c r="K107" s="100">
        <v>181.564810515</v>
      </c>
    </row>
    <row r="108" spans="1:11" ht="12">
      <c r="A108" s="93" t="s">
        <v>368</v>
      </c>
      <c r="B108" s="95">
        <v>39246.506944444445</v>
      </c>
      <c r="C108" s="96">
        <f t="shared" si="4"/>
        <v>39246.506944444445</v>
      </c>
      <c r="D108" s="97">
        <v>1890</v>
      </c>
      <c r="E108" s="99">
        <f t="shared" si="5"/>
        <v>53.5188465</v>
      </c>
      <c r="F108" s="99">
        <v>2.54</v>
      </c>
      <c r="G108" s="99">
        <v>1.88</v>
      </c>
      <c r="H108" s="98" t="s">
        <v>964</v>
      </c>
      <c r="I108" s="99">
        <v>2.65</v>
      </c>
      <c r="J108" s="100">
        <v>69.27517708333333</v>
      </c>
      <c r="K108" s="100">
        <v>135.93787011</v>
      </c>
    </row>
    <row r="109" spans="1:11" ht="12">
      <c r="A109" s="93" t="s">
        <v>369</v>
      </c>
      <c r="B109" s="95">
        <v>39256.458333333336</v>
      </c>
      <c r="C109" s="96">
        <f t="shared" si="4"/>
        <v>39256.458333333336</v>
      </c>
      <c r="D109" s="97">
        <v>2060</v>
      </c>
      <c r="E109" s="99">
        <f t="shared" si="5"/>
        <v>58.332711</v>
      </c>
      <c r="F109" s="99">
        <v>2.54</v>
      </c>
      <c r="G109" s="99">
        <v>1.83</v>
      </c>
      <c r="H109" s="98" t="s">
        <v>964</v>
      </c>
      <c r="I109" s="99">
        <v>2.86</v>
      </c>
      <c r="J109" s="100">
        <v>74.51848177083333</v>
      </c>
      <c r="K109" s="100">
        <v>148.16508594</v>
      </c>
    </row>
    <row r="110" spans="1:11" ht="12">
      <c r="A110" s="93" t="s">
        <v>370</v>
      </c>
      <c r="B110" s="95">
        <v>39263.625</v>
      </c>
      <c r="C110" s="96">
        <f t="shared" si="4"/>
        <v>39263.625</v>
      </c>
      <c r="D110" s="97">
        <v>2340</v>
      </c>
      <c r="E110" s="99">
        <f t="shared" si="5"/>
        <v>66.261429</v>
      </c>
      <c r="F110" s="99">
        <v>2.54</v>
      </c>
      <c r="G110" s="99">
        <v>1.83</v>
      </c>
      <c r="H110" s="98" t="s">
        <v>964</v>
      </c>
      <c r="I110" s="99">
        <v>2.91</v>
      </c>
      <c r="J110" s="100">
        <v>74.20070572916666</v>
      </c>
      <c r="K110" s="100">
        <v>168.30402966000003</v>
      </c>
    </row>
    <row r="111" spans="1:11" ht="12">
      <c r="A111" s="93" t="s">
        <v>371</v>
      </c>
      <c r="B111" s="95">
        <v>39269.458333333336</v>
      </c>
      <c r="C111" s="96">
        <f t="shared" si="4"/>
        <v>39269.458333333336</v>
      </c>
      <c r="D111" s="97">
        <v>2400</v>
      </c>
      <c r="E111" s="99">
        <f t="shared" si="5"/>
        <v>67.96044</v>
      </c>
      <c r="F111" s="99">
        <v>2.75</v>
      </c>
      <c r="G111" s="99">
        <v>1.77</v>
      </c>
      <c r="H111" s="98" t="s">
        <v>964</v>
      </c>
      <c r="I111" s="99">
        <v>2.94</v>
      </c>
      <c r="J111" s="100">
        <v>81.35066666666667</v>
      </c>
      <c r="K111" s="100">
        <v>186.89121</v>
      </c>
    </row>
    <row r="112" spans="1:11" ht="12">
      <c r="A112" s="93" t="s">
        <v>372</v>
      </c>
      <c r="B112" s="95">
        <v>39276.479166666664</v>
      </c>
      <c r="C112" s="96">
        <f t="shared" si="4"/>
        <v>39276.479166666664</v>
      </c>
      <c r="D112" s="97">
        <v>2400</v>
      </c>
      <c r="E112" s="99">
        <f t="shared" si="5"/>
        <v>67.96044</v>
      </c>
      <c r="F112" s="99">
        <v>2.72</v>
      </c>
      <c r="G112" s="99">
        <v>1.88</v>
      </c>
      <c r="H112" s="98">
        <v>0.03</v>
      </c>
      <c r="I112" s="99">
        <v>2.76</v>
      </c>
      <c r="J112" s="100">
        <v>78.6495703125</v>
      </c>
      <c r="K112" s="100">
        <v>184.85239680000004</v>
      </c>
    </row>
    <row r="113" spans="1:11" ht="12">
      <c r="A113" s="93" t="s">
        <v>373</v>
      </c>
      <c r="B113" s="95">
        <v>39289.46875</v>
      </c>
      <c r="C113" s="96">
        <f t="shared" si="4"/>
        <v>39289.46875</v>
      </c>
      <c r="D113" s="97">
        <v>2600</v>
      </c>
      <c r="E113" s="99">
        <f t="shared" si="5"/>
        <v>73.62381</v>
      </c>
      <c r="F113" s="99">
        <v>2.67</v>
      </c>
      <c r="G113" s="99">
        <v>1.8</v>
      </c>
      <c r="H113" s="98">
        <v>0.03</v>
      </c>
      <c r="I113" s="99">
        <v>2.74</v>
      </c>
      <c r="J113" s="100">
        <v>78.17290625</v>
      </c>
      <c r="K113" s="100">
        <v>196.5755727</v>
      </c>
    </row>
    <row r="114" spans="1:11" ht="12">
      <c r="A114" s="93" t="s">
        <v>374</v>
      </c>
      <c r="B114" s="95">
        <v>39297.520833333336</v>
      </c>
      <c r="C114" s="96">
        <f t="shared" si="4"/>
        <v>39297.520833333336</v>
      </c>
      <c r="D114" s="97">
        <v>2160</v>
      </c>
      <c r="E114" s="99">
        <f t="shared" si="5"/>
        <v>61.164396</v>
      </c>
      <c r="F114" s="99">
        <v>2.83</v>
      </c>
      <c r="G114" s="99">
        <v>1.9</v>
      </c>
      <c r="H114" s="98" t="s">
        <v>964</v>
      </c>
      <c r="I114" s="99">
        <v>2.68</v>
      </c>
      <c r="J114" s="100">
        <v>76.58402604166666</v>
      </c>
      <c r="K114" s="100">
        <v>173.09524068000002</v>
      </c>
    </row>
    <row r="115" spans="1:11" ht="12">
      <c r="A115" s="93" t="s">
        <v>375</v>
      </c>
      <c r="B115" s="95">
        <v>39311.541666666664</v>
      </c>
      <c r="C115" s="96">
        <f t="shared" si="4"/>
        <v>39311.541666666664</v>
      </c>
      <c r="D115" s="97">
        <v>2220</v>
      </c>
      <c r="E115" s="99">
        <f t="shared" si="5"/>
        <v>62.863407</v>
      </c>
      <c r="F115" s="99">
        <v>2.78</v>
      </c>
      <c r="G115" s="99">
        <v>1.9</v>
      </c>
      <c r="H115" s="98" t="s">
        <v>964</v>
      </c>
      <c r="I115" s="99">
        <v>2.61</v>
      </c>
      <c r="J115" s="100">
        <v>76.10736197916665</v>
      </c>
      <c r="K115" s="100">
        <v>174.76027145999998</v>
      </c>
    </row>
    <row r="116" spans="1:11" ht="12">
      <c r="A116" s="93" t="s">
        <v>376</v>
      </c>
      <c r="B116" s="95">
        <v>39317.375</v>
      </c>
      <c r="C116" s="96">
        <f t="shared" si="4"/>
        <v>39317.375</v>
      </c>
      <c r="D116" s="97">
        <v>2190</v>
      </c>
      <c r="E116" s="99">
        <f t="shared" si="5"/>
        <v>62.0139015</v>
      </c>
      <c r="F116" s="99">
        <v>2.83</v>
      </c>
      <c r="G116" s="99">
        <v>1.86</v>
      </c>
      <c r="H116" s="98" t="s">
        <v>964</v>
      </c>
      <c r="I116" s="99">
        <v>2.78</v>
      </c>
      <c r="J116" s="100">
        <v>79.28512239583334</v>
      </c>
      <c r="K116" s="100">
        <v>175.499341245</v>
      </c>
    </row>
    <row r="117" spans="1:11" ht="12">
      <c r="A117" s="93" t="s">
        <v>377</v>
      </c>
      <c r="B117" s="95">
        <v>39331.4375</v>
      </c>
      <c r="C117" s="96">
        <f t="shared" si="4"/>
        <v>39331.4375</v>
      </c>
      <c r="D117" s="97">
        <v>2550</v>
      </c>
      <c r="E117" s="99">
        <f t="shared" si="5"/>
        <v>72.20796750000001</v>
      </c>
      <c r="F117" s="99">
        <v>3.01</v>
      </c>
      <c r="G117" s="99">
        <v>1.85</v>
      </c>
      <c r="H117" s="98" t="s">
        <v>964</v>
      </c>
      <c r="I117" s="99">
        <v>3.16</v>
      </c>
      <c r="J117" s="100">
        <v>80.5562265625</v>
      </c>
      <c r="K117" s="100">
        <v>217.34598217500002</v>
      </c>
    </row>
    <row r="118" spans="1:11" ht="12">
      <c r="A118" s="93" t="s">
        <v>378</v>
      </c>
      <c r="B118" s="95">
        <v>39346.427083333336</v>
      </c>
      <c r="C118" s="96">
        <f t="shared" si="4"/>
        <v>39346.427083333336</v>
      </c>
      <c r="D118" s="97">
        <v>1710</v>
      </c>
      <c r="E118" s="99">
        <f t="shared" si="5"/>
        <v>48.4218135</v>
      </c>
      <c r="F118" s="99">
        <v>3.19</v>
      </c>
      <c r="G118" s="99">
        <v>1.86</v>
      </c>
      <c r="H118" s="98" t="s">
        <v>964</v>
      </c>
      <c r="I118" s="99">
        <v>3.22</v>
      </c>
      <c r="J118" s="100">
        <v>81.82733072916668</v>
      </c>
      <c r="K118" s="100">
        <v>154.465585065</v>
      </c>
    </row>
    <row r="119" spans="1:3" ht="12">
      <c r="A119" s="82" t="s">
        <v>384</v>
      </c>
      <c r="C119" s="96"/>
    </row>
    <row r="120" spans="1:11" ht="12">
      <c r="A120" s="93" t="s">
        <v>25</v>
      </c>
      <c r="B120" s="95">
        <v>39374.458333333336</v>
      </c>
      <c r="C120" s="115">
        <f aca="true" t="shared" si="6" ref="C120:C144">B120</f>
        <v>39374.458333333336</v>
      </c>
      <c r="D120" s="97">
        <v>970</v>
      </c>
      <c r="E120" s="116">
        <f aca="true" t="shared" si="7" ref="E120:E144">D120*0.02831685</f>
        <v>27.4673445</v>
      </c>
      <c r="F120" s="99">
        <v>3.81</v>
      </c>
      <c r="G120" s="99">
        <v>2.04</v>
      </c>
      <c r="H120" s="98" t="s">
        <v>964</v>
      </c>
      <c r="I120" s="99">
        <v>2.86</v>
      </c>
      <c r="J120" s="100">
        <v>74</v>
      </c>
      <c r="K120" s="100">
        <f aca="true" t="shared" si="8" ref="K120:K141">E120*F120</f>
        <v>104.650582545</v>
      </c>
    </row>
    <row r="121" spans="1:11" ht="12">
      <c r="A121" s="93" t="s">
        <v>26</v>
      </c>
      <c r="B121" s="95">
        <v>39394.76736111111</v>
      </c>
      <c r="C121" s="115">
        <f t="shared" si="6"/>
        <v>39394.76736111111</v>
      </c>
      <c r="D121" s="97">
        <v>844</v>
      </c>
      <c r="E121" s="116">
        <f t="shared" si="7"/>
        <v>23.8994214</v>
      </c>
      <c r="F121" s="99">
        <v>4.04</v>
      </c>
      <c r="G121" s="99">
        <v>2.12</v>
      </c>
      <c r="H121" s="98" t="s">
        <v>964</v>
      </c>
      <c r="I121" s="99">
        <v>2.53</v>
      </c>
      <c r="J121" s="100">
        <v>72</v>
      </c>
      <c r="K121" s="100">
        <f t="shared" si="8"/>
        <v>96.55366245600001</v>
      </c>
    </row>
    <row r="122" spans="1:11" ht="12">
      <c r="A122" s="93" t="s">
        <v>27</v>
      </c>
      <c r="B122" s="95">
        <v>39420.427083333336</v>
      </c>
      <c r="C122" s="115">
        <f t="shared" si="6"/>
        <v>39420.427083333336</v>
      </c>
      <c r="D122" s="97">
        <v>883</v>
      </c>
      <c r="E122" s="116">
        <f t="shared" si="7"/>
        <v>25.00377855</v>
      </c>
      <c r="F122" s="99">
        <v>0.5</v>
      </c>
      <c r="G122" s="99">
        <v>1.5</v>
      </c>
      <c r="H122" s="98">
        <v>0.01</v>
      </c>
      <c r="I122" s="99">
        <v>0.3</v>
      </c>
      <c r="J122" s="100">
        <v>26</v>
      </c>
      <c r="K122" s="100">
        <f t="shared" si="8"/>
        <v>12.501889275</v>
      </c>
    </row>
    <row r="123" spans="1:11" ht="12">
      <c r="A123" s="93" t="s">
        <v>28</v>
      </c>
      <c r="B123" s="95">
        <v>39456.53125</v>
      </c>
      <c r="C123" s="115">
        <f t="shared" si="6"/>
        <v>39456.53125</v>
      </c>
      <c r="D123" s="97">
        <v>1070</v>
      </c>
      <c r="E123" s="116">
        <f t="shared" si="7"/>
        <v>30.2990295</v>
      </c>
      <c r="F123" s="99">
        <v>3.82</v>
      </c>
      <c r="G123" s="99">
        <v>2</v>
      </c>
      <c r="H123" s="98" t="s">
        <v>964</v>
      </c>
      <c r="I123" s="99">
        <v>3.87</v>
      </c>
      <c r="J123" s="100">
        <v>82</v>
      </c>
      <c r="K123" s="100">
        <f t="shared" si="8"/>
        <v>115.74229269</v>
      </c>
    </row>
    <row r="124" spans="1:11" ht="12">
      <c r="A124" s="93" t="s">
        <v>29</v>
      </c>
      <c r="B124" s="95">
        <v>39486.479166666664</v>
      </c>
      <c r="C124" s="115">
        <f t="shared" si="6"/>
        <v>39486.479166666664</v>
      </c>
      <c r="D124" s="97">
        <v>957</v>
      </c>
      <c r="E124" s="116">
        <f t="shared" si="7"/>
        <v>27.099225450000002</v>
      </c>
      <c r="F124" s="99">
        <v>3.55</v>
      </c>
      <c r="G124" s="99">
        <v>1.93</v>
      </c>
      <c r="H124" s="98" t="s">
        <v>964</v>
      </c>
      <c r="I124" s="99">
        <v>3.52</v>
      </c>
      <c r="J124" s="100">
        <v>78</v>
      </c>
      <c r="K124" s="100">
        <f t="shared" si="8"/>
        <v>96.2022503475</v>
      </c>
    </row>
    <row r="125" spans="1:11" ht="12">
      <c r="A125" s="93" t="s">
        <v>30</v>
      </c>
      <c r="B125" s="95">
        <v>39514.395833333336</v>
      </c>
      <c r="C125" s="115">
        <f t="shared" si="6"/>
        <v>39514.395833333336</v>
      </c>
      <c r="D125" s="97">
        <v>966</v>
      </c>
      <c r="E125" s="116">
        <f t="shared" si="7"/>
        <v>27.3540771</v>
      </c>
      <c r="F125" s="99">
        <v>5.6</v>
      </c>
      <c r="G125" s="99">
        <v>2.97</v>
      </c>
      <c r="H125" s="98" t="s">
        <v>964</v>
      </c>
      <c r="I125" s="99">
        <v>5.41</v>
      </c>
      <c r="J125" s="100">
        <v>117</v>
      </c>
      <c r="K125" s="100">
        <f t="shared" si="8"/>
        <v>153.18283176</v>
      </c>
    </row>
    <row r="126" spans="1:11" ht="12">
      <c r="A126" s="93" t="s">
        <v>31</v>
      </c>
      <c r="B126" s="95">
        <v>39527.416666666664</v>
      </c>
      <c r="C126" s="115">
        <f t="shared" si="6"/>
        <v>39527.416666666664</v>
      </c>
      <c r="D126" s="97">
        <v>1000</v>
      </c>
      <c r="E126" s="116">
        <f t="shared" si="7"/>
        <v>28.316850000000002</v>
      </c>
      <c r="F126" s="99">
        <v>4.91</v>
      </c>
      <c r="G126" s="99">
        <v>2.02</v>
      </c>
      <c r="H126" s="98">
        <v>0.02</v>
      </c>
      <c r="I126" s="99">
        <v>4.21</v>
      </c>
      <c r="J126" s="100">
        <v>79</v>
      </c>
      <c r="K126" s="100">
        <f t="shared" si="8"/>
        <v>139.03573350000002</v>
      </c>
    </row>
    <row r="127" spans="1:11" ht="12">
      <c r="A127" s="93" t="s">
        <v>32</v>
      </c>
      <c r="B127" s="95">
        <v>39541.625</v>
      </c>
      <c r="C127" s="115">
        <f t="shared" si="6"/>
        <v>39541.625</v>
      </c>
      <c r="D127" s="97">
        <v>906</v>
      </c>
      <c r="E127" s="116">
        <f t="shared" si="7"/>
        <v>25.655066100000003</v>
      </c>
      <c r="F127" s="99">
        <v>3.73</v>
      </c>
      <c r="G127" s="99">
        <v>2.05</v>
      </c>
      <c r="H127" s="98" t="s">
        <v>964</v>
      </c>
      <c r="I127" s="99">
        <v>3.3</v>
      </c>
      <c r="J127" s="100">
        <v>78</v>
      </c>
      <c r="K127" s="100">
        <f t="shared" si="8"/>
        <v>95.69339655300001</v>
      </c>
    </row>
    <row r="128" spans="1:11" ht="12">
      <c r="A128" s="93" t="s">
        <v>33</v>
      </c>
      <c r="B128" s="95">
        <v>39555.447916666664</v>
      </c>
      <c r="C128" s="115">
        <f t="shared" si="6"/>
        <v>39555.447916666664</v>
      </c>
      <c r="D128" s="97">
        <v>1030</v>
      </c>
      <c r="E128" s="116">
        <f t="shared" si="7"/>
        <v>29.1663555</v>
      </c>
      <c r="F128" s="99">
        <v>4.79</v>
      </c>
      <c r="G128" s="99">
        <v>1.72</v>
      </c>
      <c r="H128" s="98" t="s">
        <v>964</v>
      </c>
      <c r="I128" s="99">
        <v>8.45</v>
      </c>
      <c r="J128" s="100">
        <v>110</v>
      </c>
      <c r="K128" s="100">
        <f t="shared" si="8"/>
        <v>139.706842845</v>
      </c>
    </row>
    <row r="129" spans="1:11" ht="12">
      <c r="A129" s="93" t="s">
        <v>34</v>
      </c>
      <c r="B129" s="95">
        <v>39568.47222222222</v>
      </c>
      <c r="C129" s="115">
        <f t="shared" si="6"/>
        <v>39568.47222222222</v>
      </c>
      <c r="D129" s="97">
        <v>1360</v>
      </c>
      <c r="E129" s="116">
        <f t="shared" si="7"/>
        <v>38.510916</v>
      </c>
      <c r="F129" s="99">
        <v>3.69</v>
      </c>
      <c r="G129" s="99">
        <v>1.79</v>
      </c>
      <c r="H129" s="98" t="s">
        <v>964</v>
      </c>
      <c r="I129" s="99">
        <v>3.55</v>
      </c>
      <c r="J129" s="100">
        <v>75</v>
      </c>
      <c r="K129" s="100">
        <f t="shared" si="8"/>
        <v>142.10528004</v>
      </c>
    </row>
    <row r="130" spans="1:11" ht="12">
      <c r="A130" s="93" t="s">
        <v>35</v>
      </c>
      <c r="B130" s="95">
        <v>39575.666666666664</v>
      </c>
      <c r="C130" s="115">
        <f t="shared" si="6"/>
        <v>39575.666666666664</v>
      </c>
      <c r="D130" s="97">
        <v>1810</v>
      </c>
      <c r="E130" s="116">
        <f t="shared" si="7"/>
        <v>51.2534985</v>
      </c>
      <c r="F130" s="99">
        <v>2.57</v>
      </c>
      <c r="G130" s="99">
        <v>1.25</v>
      </c>
      <c r="H130" s="98" t="s">
        <v>964</v>
      </c>
      <c r="I130" s="99">
        <v>3.49</v>
      </c>
      <c r="J130" s="100">
        <v>64</v>
      </c>
      <c r="K130" s="100">
        <f t="shared" si="8"/>
        <v>131.721491145</v>
      </c>
    </row>
    <row r="131" spans="1:11" ht="12">
      <c r="A131" s="93" t="s">
        <v>36</v>
      </c>
      <c r="B131" s="95">
        <v>39583.4375</v>
      </c>
      <c r="C131" s="115">
        <f t="shared" si="6"/>
        <v>39583.4375</v>
      </c>
      <c r="D131" s="97">
        <v>2380</v>
      </c>
      <c r="E131" s="116">
        <f t="shared" si="7"/>
        <v>67.394103</v>
      </c>
      <c r="F131" s="99">
        <v>1.73</v>
      </c>
      <c r="G131" s="99">
        <v>1.07</v>
      </c>
      <c r="H131" s="98" t="s">
        <v>964</v>
      </c>
      <c r="I131" s="99">
        <v>2.31</v>
      </c>
      <c r="J131" s="100">
        <v>48</v>
      </c>
      <c r="K131" s="100">
        <f t="shared" si="8"/>
        <v>116.59179819</v>
      </c>
    </row>
    <row r="132" spans="1:11" ht="12">
      <c r="A132" s="93" t="s">
        <v>37</v>
      </c>
      <c r="B132" s="95">
        <v>39590.4375</v>
      </c>
      <c r="C132" s="115">
        <f t="shared" si="6"/>
        <v>39590.4375</v>
      </c>
      <c r="D132" s="97">
        <v>4030</v>
      </c>
      <c r="E132" s="116">
        <f t="shared" si="7"/>
        <v>114.1169055</v>
      </c>
      <c r="F132" s="99">
        <v>1.73</v>
      </c>
      <c r="G132" s="99">
        <v>1.12</v>
      </c>
      <c r="H132" s="98" t="s">
        <v>964</v>
      </c>
      <c r="I132" s="99">
        <v>2.43</v>
      </c>
      <c r="J132" s="100">
        <v>48</v>
      </c>
      <c r="K132" s="100">
        <f t="shared" si="8"/>
        <v>197.422246515</v>
      </c>
    </row>
    <row r="133" spans="1:11" ht="12">
      <c r="A133" s="93" t="s">
        <v>38</v>
      </c>
      <c r="B133" s="95">
        <v>39597.4375</v>
      </c>
      <c r="C133" s="115">
        <f t="shared" si="6"/>
        <v>39597.4375</v>
      </c>
      <c r="D133" s="97">
        <v>3360</v>
      </c>
      <c r="E133" s="116">
        <f t="shared" si="7"/>
        <v>95.144616</v>
      </c>
      <c r="F133" s="99">
        <v>1.96</v>
      </c>
      <c r="G133" s="99">
        <v>1.29</v>
      </c>
      <c r="H133" s="98" t="s">
        <v>964</v>
      </c>
      <c r="I133" s="99">
        <v>2.31</v>
      </c>
      <c r="J133" s="100">
        <v>53</v>
      </c>
      <c r="K133" s="100">
        <f t="shared" si="8"/>
        <v>186.48344735999999</v>
      </c>
    </row>
    <row r="134" spans="1:11" ht="12">
      <c r="A134" s="93" t="s">
        <v>39</v>
      </c>
      <c r="B134" s="95">
        <v>39604.65625</v>
      </c>
      <c r="C134" s="115">
        <f t="shared" si="6"/>
        <v>39604.65625</v>
      </c>
      <c r="D134" s="97">
        <v>3020</v>
      </c>
      <c r="E134" s="116">
        <f t="shared" si="7"/>
        <v>85.516887</v>
      </c>
      <c r="F134" s="99">
        <v>2.2</v>
      </c>
      <c r="G134" s="99">
        <v>1.38</v>
      </c>
      <c r="H134" s="98" t="s">
        <v>964</v>
      </c>
      <c r="I134" s="99">
        <v>2.48</v>
      </c>
      <c r="J134" s="100">
        <v>58</v>
      </c>
      <c r="K134" s="100">
        <f t="shared" si="8"/>
        <v>188.13715140000002</v>
      </c>
    </row>
    <row r="135" spans="1:11" ht="12">
      <c r="A135" s="93" t="s">
        <v>40</v>
      </c>
      <c r="B135" s="95">
        <v>39609.354166666664</v>
      </c>
      <c r="C135" s="115">
        <f t="shared" si="6"/>
        <v>39609.354166666664</v>
      </c>
      <c r="D135" s="97">
        <v>2860</v>
      </c>
      <c r="E135" s="116">
        <f t="shared" si="7"/>
        <v>80.986191</v>
      </c>
      <c r="F135" s="99">
        <v>2.21</v>
      </c>
      <c r="G135" s="99">
        <v>1.38</v>
      </c>
      <c r="H135" s="98" t="s">
        <v>964</v>
      </c>
      <c r="I135" s="99">
        <v>2.49</v>
      </c>
      <c r="J135" s="100">
        <v>57</v>
      </c>
      <c r="K135" s="100">
        <f t="shared" si="8"/>
        <v>178.97948211000002</v>
      </c>
    </row>
    <row r="136" spans="1:11" ht="12">
      <c r="A136" s="93" t="s">
        <v>41</v>
      </c>
      <c r="B136" s="95">
        <v>39624.4375</v>
      </c>
      <c r="C136" s="115">
        <f t="shared" si="6"/>
        <v>39624.4375</v>
      </c>
      <c r="D136" s="97">
        <v>2140</v>
      </c>
      <c r="E136" s="116">
        <f t="shared" si="7"/>
        <v>60.598059</v>
      </c>
      <c r="F136" s="99">
        <v>2.33</v>
      </c>
      <c r="G136" s="99">
        <v>1.5</v>
      </c>
      <c r="H136" s="98">
        <v>0.04</v>
      </c>
      <c r="I136" s="99">
        <v>2.46</v>
      </c>
      <c r="J136" s="97">
        <v>58</v>
      </c>
      <c r="K136" s="100">
        <f t="shared" si="8"/>
        <v>141.19347747</v>
      </c>
    </row>
    <row r="137" spans="1:11" ht="12">
      <c r="A137" s="93" t="s">
        <v>42</v>
      </c>
      <c r="B137" s="95">
        <v>39630.458333333336</v>
      </c>
      <c r="C137" s="115">
        <f t="shared" si="6"/>
        <v>39630.458333333336</v>
      </c>
      <c r="D137" s="97">
        <v>2100</v>
      </c>
      <c r="E137" s="116">
        <f t="shared" si="7"/>
        <v>59.465385000000005</v>
      </c>
      <c r="F137" s="99">
        <v>2.38</v>
      </c>
      <c r="G137" s="99">
        <v>1.49</v>
      </c>
      <c r="H137" s="98">
        <v>0.05</v>
      </c>
      <c r="I137" s="99">
        <v>2.44</v>
      </c>
      <c r="J137" s="97">
        <v>59</v>
      </c>
      <c r="K137" s="100">
        <f t="shared" si="8"/>
        <v>141.5276163</v>
      </c>
    </row>
    <row r="138" spans="1:11" ht="12">
      <c r="A138" s="93" t="s">
        <v>43</v>
      </c>
      <c r="B138" s="95">
        <v>39636.541666666664</v>
      </c>
      <c r="C138" s="115">
        <f t="shared" si="6"/>
        <v>39636.541666666664</v>
      </c>
      <c r="D138" s="97">
        <v>1920</v>
      </c>
      <c r="E138" s="116">
        <f t="shared" si="7"/>
        <v>54.368352</v>
      </c>
      <c r="F138" s="99">
        <v>2.65</v>
      </c>
      <c r="G138" s="99">
        <v>1.71</v>
      </c>
      <c r="H138" s="98" t="s">
        <v>964</v>
      </c>
      <c r="I138" s="99">
        <v>2.54</v>
      </c>
      <c r="J138" s="97">
        <v>72</v>
      </c>
      <c r="K138" s="100">
        <f t="shared" si="8"/>
        <v>144.0761328</v>
      </c>
    </row>
    <row r="139" spans="1:11" ht="12">
      <c r="A139" s="93" t="s">
        <v>44</v>
      </c>
      <c r="B139" s="95">
        <v>39645.416666666664</v>
      </c>
      <c r="C139" s="115">
        <f t="shared" si="6"/>
        <v>39645.416666666664</v>
      </c>
      <c r="D139" s="97">
        <v>1840</v>
      </c>
      <c r="E139" s="116">
        <f t="shared" si="7"/>
        <v>52.103004</v>
      </c>
      <c r="F139" s="99">
        <v>2.59</v>
      </c>
      <c r="G139" s="99">
        <v>1.72</v>
      </c>
      <c r="H139" s="98" t="s">
        <v>964</v>
      </c>
      <c r="I139" s="99">
        <v>2.54</v>
      </c>
      <c r="J139" s="97">
        <v>71</v>
      </c>
      <c r="K139" s="100">
        <f t="shared" si="8"/>
        <v>134.94678036</v>
      </c>
    </row>
    <row r="140" spans="1:11" ht="12">
      <c r="A140" s="93" t="s">
        <v>45</v>
      </c>
      <c r="B140" s="95">
        <v>39650.458333333336</v>
      </c>
      <c r="C140" s="115">
        <f t="shared" si="6"/>
        <v>39650.458333333336</v>
      </c>
      <c r="D140" s="97">
        <v>1840</v>
      </c>
      <c r="E140" s="116">
        <f t="shared" si="7"/>
        <v>52.103004</v>
      </c>
      <c r="F140" s="99">
        <v>2.61</v>
      </c>
      <c r="G140" s="99">
        <v>1.72</v>
      </c>
      <c r="H140" s="98" t="s">
        <v>964</v>
      </c>
      <c r="I140" s="99">
        <v>2.52</v>
      </c>
      <c r="J140" s="97">
        <v>72</v>
      </c>
      <c r="K140" s="100">
        <f t="shared" si="8"/>
        <v>135.98884044</v>
      </c>
    </row>
    <row r="141" spans="1:11" ht="12">
      <c r="A141" s="93" t="s">
        <v>46</v>
      </c>
      <c r="B141" s="95">
        <v>39679.625</v>
      </c>
      <c r="C141" s="115">
        <f t="shared" si="6"/>
        <v>39679.625</v>
      </c>
      <c r="D141" s="97">
        <v>1750</v>
      </c>
      <c r="E141" s="116">
        <f t="shared" si="7"/>
        <v>49.5544875</v>
      </c>
      <c r="F141" s="99">
        <v>2.61</v>
      </c>
      <c r="G141" s="99">
        <v>1.72</v>
      </c>
      <c r="H141" s="98" t="s">
        <v>964</v>
      </c>
      <c r="I141" s="99">
        <v>2.52</v>
      </c>
      <c r="J141" s="97">
        <v>69</v>
      </c>
      <c r="K141" s="100">
        <f t="shared" si="8"/>
        <v>129.337212375</v>
      </c>
    </row>
    <row r="142" spans="1:11" ht="12">
      <c r="A142" s="93" t="s">
        <v>47</v>
      </c>
      <c r="B142" s="95">
        <v>39694.583333333336</v>
      </c>
      <c r="C142" s="115">
        <f t="shared" si="6"/>
        <v>39694.583333333336</v>
      </c>
      <c r="D142" s="97">
        <v>1700</v>
      </c>
      <c r="E142" s="116">
        <f t="shared" si="7"/>
        <v>48.138645000000004</v>
      </c>
      <c r="F142" s="116">
        <v>3.7</v>
      </c>
      <c r="G142" s="99">
        <v>2.01</v>
      </c>
      <c r="H142" s="98" t="s">
        <v>964</v>
      </c>
      <c r="I142" s="99">
        <v>2.72</v>
      </c>
      <c r="J142" s="97">
        <v>70</v>
      </c>
      <c r="K142" s="100">
        <f>E142*G142</f>
        <v>96.75867645</v>
      </c>
    </row>
    <row r="143" spans="1:11" ht="12">
      <c r="A143" s="93" t="s">
        <v>48</v>
      </c>
      <c r="B143" s="95">
        <v>39709.770833333336</v>
      </c>
      <c r="C143" s="115">
        <f t="shared" si="6"/>
        <v>39709.770833333336</v>
      </c>
      <c r="D143" s="97">
        <v>1660</v>
      </c>
      <c r="E143" s="116">
        <f t="shared" si="7"/>
        <v>47.005971</v>
      </c>
      <c r="F143" s="116">
        <v>3.67</v>
      </c>
      <c r="G143" s="99">
        <v>2.01</v>
      </c>
      <c r="H143" s="98" t="s">
        <v>964</v>
      </c>
      <c r="I143" s="99">
        <v>2.71</v>
      </c>
      <c r="J143" s="97">
        <v>74</v>
      </c>
      <c r="K143" s="100">
        <f>E143*G143</f>
        <v>94.48200170999999</v>
      </c>
    </row>
    <row r="144" spans="1:11" ht="12">
      <c r="A144" s="93" t="s">
        <v>49</v>
      </c>
      <c r="B144" s="95">
        <v>39721.75</v>
      </c>
      <c r="C144" s="115">
        <f t="shared" si="6"/>
        <v>39721.75</v>
      </c>
      <c r="D144" s="97">
        <v>1360</v>
      </c>
      <c r="E144" s="116">
        <f t="shared" si="7"/>
        <v>38.510916</v>
      </c>
      <c r="F144" s="116">
        <v>3.22</v>
      </c>
      <c r="G144" s="99">
        <v>1.95</v>
      </c>
      <c r="H144" s="98" t="s">
        <v>964</v>
      </c>
      <c r="I144" s="99">
        <v>2.51</v>
      </c>
      <c r="J144" s="97">
        <v>74</v>
      </c>
      <c r="K144" s="100">
        <f>E144*G144</f>
        <v>75.09628620000001</v>
      </c>
    </row>
    <row r="145" spans="1:11" ht="12">
      <c r="A145" s="181" t="s">
        <v>1685</v>
      </c>
      <c r="B145" s="182"/>
      <c r="C145" s="183"/>
      <c r="D145" s="189"/>
      <c r="E145" s="190"/>
      <c r="F145" s="190"/>
      <c r="G145" s="190"/>
      <c r="H145" s="191"/>
      <c r="I145" s="190"/>
      <c r="J145" s="189"/>
      <c r="K145" s="184"/>
    </row>
    <row r="146" spans="1:11" ht="13.5">
      <c r="A146" t="s">
        <v>2164</v>
      </c>
      <c r="B146" s="8">
        <v>39771.666666666664</v>
      </c>
      <c r="C146" s="185">
        <v>0.4375</v>
      </c>
      <c r="D146" s="136">
        <v>1070</v>
      </c>
      <c r="E146" s="186">
        <f>D146*0.02831685</f>
        <v>30.2990295</v>
      </c>
      <c r="F146" s="9">
        <v>4.14</v>
      </c>
      <c r="G146" s="9">
        <v>2.27</v>
      </c>
      <c r="H146" s="12" t="s">
        <v>964</v>
      </c>
      <c r="I146" s="9">
        <v>4.05</v>
      </c>
      <c r="J146" s="22">
        <v>97.23946875</v>
      </c>
      <c r="K146" s="22">
        <f>E146*F146</f>
        <v>125.43798213</v>
      </c>
    </row>
    <row r="147" spans="1:11" ht="13.5">
      <c r="A147" t="s">
        <v>2165</v>
      </c>
      <c r="B147" s="8">
        <v>39853.6875</v>
      </c>
      <c r="C147" s="185">
        <v>0.625</v>
      </c>
      <c r="D147" s="136">
        <v>1100</v>
      </c>
      <c r="E147" s="186">
        <f>D147*0.02831685</f>
        <v>31.148535000000003</v>
      </c>
      <c r="F147" s="9">
        <v>3.47</v>
      </c>
      <c r="G147" s="9">
        <v>1.88</v>
      </c>
      <c r="H147" s="12" t="s">
        <v>964</v>
      </c>
      <c r="I147" s="9">
        <v>3.61</v>
      </c>
      <c r="J147" s="22">
        <v>82.62177083333333</v>
      </c>
      <c r="K147" s="22">
        <f>E147*F147</f>
        <v>108.08541645000001</v>
      </c>
    </row>
    <row r="148" spans="1:11" ht="13.5">
      <c r="A148" t="s">
        <v>2166</v>
      </c>
      <c r="B148" s="8">
        <v>39876.708333333336</v>
      </c>
      <c r="C148" s="185">
        <v>0.3854166666666667</v>
      </c>
      <c r="D148" s="136">
        <v>1180</v>
      </c>
      <c r="E148" s="186">
        <f>D148*0.02831685</f>
        <v>33.413883</v>
      </c>
      <c r="F148" s="9">
        <v>4.12</v>
      </c>
      <c r="G148" s="9">
        <v>2.25</v>
      </c>
      <c r="H148" s="12" t="s">
        <v>964</v>
      </c>
      <c r="I148" s="9">
        <v>4.07</v>
      </c>
      <c r="J148" s="22">
        <v>97.23946875</v>
      </c>
      <c r="K148" s="22">
        <f>E148*F148</f>
        <v>137.66519796</v>
      </c>
    </row>
    <row r="149" spans="1:11" ht="13.5">
      <c r="A149" t="s">
        <v>2167</v>
      </c>
      <c r="B149" s="8">
        <v>39891.416666666664</v>
      </c>
      <c r="C149" s="185">
        <v>0.5</v>
      </c>
      <c r="D149" s="136">
        <v>1140</v>
      </c>
      <c r="E149" s="186">
        <f>D149*0.02831685</f>
        <v>32.281209000000004</v>
      </c>
      <c r="F149" s="9">
        <v>3.56</v>
      </c>
      <c r="G149" s="9">
        <v>1.87</v>
      </c>
      <c r="H149" s="12" t="s">
        <v>964</v>
      </c>
      <c r="I149" s="9">
        <v>3.18</v>
      </c>
      <c r="J149" s="22">
        <v>80.07956250000001</v>
      </c>
      <c r="K149" s="22">
        <f>E149*F149</f>
        <v>114.92110404000002</v>
      </c>
    </row>
    <row r="150" spans="1:11" ht="12">
      <c r="A150" s="181" t="s">
        <v>1713</v>
      </c>
      <c r="B150" s="182"/>
      <c r="C150" s="183"/>
      <c r="D150" s="189"/>
      <c r="E150" s="190"/>
      <c r="F150" s="190"/>
      <c r="G150" s="190"/>
      <c r="H150" s="191"/>
      <c r="I150" s="190"/>
      <c r="J150" s="189"/>
      <c r="K150" s="184"/>
    </row>
    <row r="151" spans="1:11" ht="13.5">
      <c r="A151" t="s">
        <v>2168</v>
      </c>
      <c r="B151" s="8">
        <v>40091.604166666664</v>
      </c>
      <c r="C151" s="138">
        <v>40091.604166666664</v>
      </c>
      <c r="D151" s="136">
        <v>1240</v>
      </c>
      <c r="E151" s="186">
        <f>D151*0.02831685</f>
        <v>35.112894000000004</v>
      </c>
      <c r="F151" s="21">
        <v>3.33</v>
      </c>
      <c r="G151" s="21">
        <v>1.93</v>
      </c>
      <c r="H151" s="18" t="s">
        <v>964</v>
      </c>
      <c r="I151" s="21">
        <v>3.19</v>
      </c>
      <c r="J151" s="140" t="s">
        <v>608</v>
      </c>
      <c r="K151" s="22">
        <f>E151*F151</f>
        <v>116.92593702000002</v>
      </c>
    </row>
    <row r="152" spans="1:11" ht="13.5">
      <c r="A152" t="s">
        <v>2169</v>
      </c>
      <c r="B152" s="8">
        <v>40109.6875</v>
      </c>
      <c r="C152" s="138">
        <v>40109.6875</v>
      </c>
      <c r="D152" s="136">
        <v>1110</v>
      </c>
      <c r="E152" s="186">
        <f>D152*0.02831685</f>
        <v>31.4317035</v>
      </c>
      <c r="F152" s="21">
        <v>3.47</v>
      </c>
      <c r="G152" s="21">
        <v>1.89</v>
      </c>
      <c r="H152" s="18" t="s">
        <v>964</v>
      </c>
      <c r="I152" s="21">
        <v>3.37</v>
      </c>
      <c r="J152" s="140" t="s">
        <v>608</v>
      </c>
      <c r="K152" s="22">
        <f>E152*F152</f>
        <v>109.06801114500001</v>
      </c>
    </row>
    <row r="153" spans="1:11" ht="13.5">
      <c r="A153" t="s">
        <v>2170</v>
      </c>
      <c r="B153" s="8">
        <v>40121.711805555555</v>
      </c>
      <c r="C153" s="138">
        <v>40121.711805555555</v>
      </c>
      <c r="D153" s="136">
        <v>978</v>
      </c>
      <c r="E153" s="186">
        <f>D153*0.02831685</f>
        <v>27.693879300000003</v>
      </c>
      <c r="F153" s="21">
        <v>3.7</v>
      </c>
      <c r="G153" s="21">
        <v>1.97</v>
      </c>
      <c r="H153" s="18" t="s">
        <v>964</v>
      </c>
      <c r="I153" s="21">
        <v>3.24</v>
      </c>
      <c r="J153" s="140" t="s">
        <v>608</v>
      </c>
      <c r="K153" s="22">
        <f>E153*F153</f>
        <v>102.46735341000002</v>
      </c>
    </row>
    <row r="154" spans="1:11" ht="13.5">
      <c r="A154" t="s">
        <v>2171</v>
      </c>
      <c r="B154" s="8">
        <v>40144.65972222222</v>
      </c>
      <c r="C154" s="138">
        <v>40144.65972222222</v>
      </c>
      <c r="D154" s="136">
        <v>1010</v>
      </c>
      <c r="E154" s="186">
        <f>D154*0.02831685</f>
        <v>28.6000185</v>
      </c>
      <c r="F154" s="21">
        <v>3.71</v>
      </c>
      <c r="G154" s="21">
        <v>1.99</v>
      </c>
      <c r="H154" s="18" t="s">
        <v>964</v>
      </c>
      <c r="I154" s="21">
        <v>3.37</v>
      </c>
      <c r="J154" s="140" t="s">
        <v>608</v>
      </c>
      <c r="K154" s="22">
        <f>E154*F154</f>
        <v>106.106068635</v>
      </c>
    </row>
    <row r="155" spans="1:11" ht="13.5">
      <c r="A155" s="187" t="s">
        <v>2172</v>
      </c>
      <c r="B155" s="166">
        <v>40177.711805555555</v>
      </c>
      <c r="C155" s="158">
        <v>40177.711805555555</v>
      </c>
      <c r="D155" s="142">
        <v>1290</v>
      </c>
      <c r="E155" s="188">
        <f>D155*0.02831685</f>
        <v>36.5287365</v>
      </c>
      <c r="F155" s="135">
        <f>1.7*2</f>
        <v>3.4</v>
      </c>
      <c r="G155" s="135">
        <f>0.92*2</f>
        <v>1.84</v>
      </c>
      <c r="H155" s="170" t="s">
        <v>964</v>
      </c>
      <c r="I155" s="135">
        <f>2.57*2</f>
        <v>5.14</v>
      </c>
      <c r="J155" s="140" t="s">
        <v>608</v>
      </c>
      <c r="K155" s="160">
        <f aca="true" t="shared" si="9" ref="K155:K165">E155*F155</f>
        <v>124.1977041</v>
      </c>
    </row>
    <row r="156" spans="1:11" ht="13.5">
      <c r="A156" s="187" t="s">
        <v>2173</v>
      </c>
      <c r="B156" s="166">
        <v>40214.625</v>
      </c>
      <c r="C156" s="158">
        <v>40214.625</v>
      </c>
      <c r="D156" s="142">
        <v>1120</v>
      </c>
      <c r="E156" s="188">
        <f aca="true" t="shared" si="10" ref="E156:E165">D156*0.02831685</f>
        <v>31.714872</v>
      </c>
      <c r="F156" s="135">
        <f>1.71*2</f>
        <v>3.42</v>
      </c>
      <c r="G156" s="135">
        <f>0.94*2</f>
        <v>1.88</v>
      </c>
      <c r="H156" s="170" t="s">
        <v>964</v>
      </c>
      <c r="I156" s="135">
        <f>2.32*2</f>
        <v>4.64</v>
      </c>
      <c r="J156" s="140" t="s">
        <v>608</v>
      </c>
      <c r="K156" s="160">
        <f t="shared" si="9"/>
        <v>108.46486224</v>
      </c>
    </row>
    <row r="157" spans="1:11" ht="13.5">
      <c r="A157" s="24" t="s">
        <v>2174</v>
      </c>
      <c r="B157" s="166">
        <v>40255.583333333336</v>
      </c>
      <c r="C157" s="158">
        <v>40255.583333333336</v>
      </c>
      <c r="D157" s="142">
        <v>1070</v>
      </c>
      <c r="E157" s="188">
        <f t="shared" si="10"/>
        <v>30.2990295</v>
      </c>
      <c r="F157" s="159">
        <v>3.52</v>
      </c>
      <c r="G157" s="159">
        <v>1.92</v>
      </c>
      <c r="H157" s="170" t="s">
        <v>964</v>
      </c>
      <c r="I157" s="159">
        <v>4.26</v>
      </c>
      <c r="J157" s="140" t="s">
        <v>608</v>
      </c>
      <c r="K157" s="160">
        <f t="shared" si="9"/>
        <v>106.65258384</v>
      </c>
    </row>
    <row r="158" spans="1:11" ht="13.5">
      <c r="A158" s="24" t="s">
        <v>2175</v>
      </c>
      <c r="B158" s="166">
        <v>40307.62847222222</v>
      </c>
      <c r="C158" s="158">
        <v>40307.62847222222</v>
      </c>
      <c r="D158" s="142">
        <v>1400</v>
      </c>
      <c r="E158" s="188">
        <f t="shared" si="10"/>
        <v>39.64359</v>
      </c>
      <c r="F158" s="159">
        <v>3.17</v>
      </c>
      <c r="G158" s="159">
        <v>1.85</v>
      </c>
      <c r="H158" s="170" t="s">
        <v>964</v>
      </c>
      <c r="I158" s="159">
        <v>3.16</v>
      </c>
      <c r="J158" s="140" t="s">
        <v>608</v>
      </c>
      <c r="K158" s="160">
        <f t="shared" si="9"/>
        <v>125.67018030000001</v>
      </c>
    </row>
    <row r="159" spans="1:11" ht="13.5">
      <c r="A159" s="24" t="s">
        <v>2176</v>
      </c>
      <c r="B159" s="166">
        <v>40337.493055555555</v>
      </c>
      <c r="C159" s="158">
        <v>40337.493055555555</v>
      </c>
      <c r="D159" s="142">
        <v>3590</v>
      </c>
      <c r="E159" s="188">
        <f t="shared" si="10"/>
        <v>101.6574915</v>
      </c>
      <c r="F159" s="159">
        <v>1.99</v>
      </c>
      <c r="G159" s="159">
        <v>1.32</v>
      </c>
      <c r="H159" s="170" t="s">
        <v>964</v>
      </c>
      <c r="I159" s="159">
        <v>2.42</v>
      </c>
      <c r="J159" s="140" t="s">
        <v>608</v>
      </c>
      <c r="K159" s="160">
        <f t="shared" si="9"/>
        <v>202.298408085</v>
      </c>
    </row>
    <row r="160" spans="1:11" ht="13.5">
      <c r="A160" s="24" t="s">
        <v>2177</v>
      </c>
      <c r="B160" s="166">
        <v>40350.52777777778</v>
      </c>
      <c r="C160" s="158">
        <v>40350.52777777778</v>
      </c>
      <c r="D160" s="142">
        <v>1730</v>
      </c>
      <c r="E160" s="188">
        <f t="shared" si="10"/>
        <v>48.9881505</v>
      </c>
      <c r="F160" s="159">
        <v>2.68</v>
      </c>
      <c r="G160" s="159">
        <v>1.68</v>
      </c>
      <c r="H160" s="170" t="s">
        <v>964</v>
      </c>
      <c r="I160" s="159">
        <v>2.92</v>
      </c>
      <c r="J160" s="140" t="s">
        <v>608</v>
      </c>
      <c r="K160" s="160">
        <f t="shared" si="9"/>
        <v>131.28824334</v>
      </c>
    </row>
    <row r="161" spans="1:11" ht="13.5">
      <c r="A161" s="24" t="s">
        <v>2178</v>
      </c>
      <c r="B161" s="166">
        <v>40371.635416666664</v>
      </c>
      <c r="C161" s="158">
        <v>40371.635416666664</v>
      </c>
      <c r="D161" s="142">
        <v>1970</v>
      </c>
      <c r="E161" s="188">
        <f t="shared" si="10"/>
        <v>55.784194500000005</v>
      </c>
      <c r="F161" s="159">
        <v>2.55</v>
      </c>
      <c r="G161" s="159">
        <v>1.7</v>
      </c>
      <c r="H161" s="170" t="s">
        <v>964</v>
      </c>
      <c r="I161" s="159">
        <v>3.25</v>
      </c>
      <c r="J161" s="140" t="s">
        <v>608</v>
      </c>
      <c r="K161" s="160">
        <f t="shared" si="9"/>
        <v>142.249695975</v>
      </c>
    </row>
    <row r="162" spans="1:11" ht="13.5">
      <c r="A162" s="161" t="s">
        <v>2179</v>
      </c>
      <c r="B162" s="166">
        <v>40388.40277777778</v>
      </c>
      <c r="C162" s="158">
        <v>40388.40277777778</v>
      </c>
      <c r="D162" s="142">
        <v>2200</v>
      </c>
      <c r="E162" s="188">
        <f t="shared" si="10"/>
        <v>62.297070000000005</v>
      </c>
      <c r="F162" s="135">
        <f>0.53*4</f>
        <v>2.12</v>
      </c>
      <c r="G162" s="135">
        <f>0.45*4</f>
        <v>1.8</v>
      </c>
      <c r="H162" s="170" t="s">
        <v>964</v>
      </c>
      <c r="I162" s="135">
        <f>1.05*4</f>
        <v>4.2</v>
      </c>
      <c r="J162" s="140" t="s">
        <v>608</v>
      </c>
      <c r="K162" s="160">
        <f t="shared" si="9"/>
        <v>132.06978840000002</v>
      </c>
    </row>
    <row r="163" spans="1:11" ht="13.5">
      <c r="A163" t="s">
        <v>2180</v>
      </c>
      <c r="B163" s="8">
        <v>40396.427083333336</v>
      </c>
      <c r="C163" s="138">
        <v>40396.427083333336</v>
      </c>
      <c r="D163" s="142">
        <v>2190</v>
      </c>
      <c r="E163" s="186">
        <f t="shared" si="10"/>
        <v>62.0139015</v>
      </c>
      <c r="F163" s="21">
        <v>2.53</v>
      </c>
      <c r="G163" s="21">
        <v>1.8</v>
      </c>
      <c r="H163" s="18" t="s">
        <v>964</v>
      </c>
      <c r="I163" s="21">
        <v>3.38</v>
      </c>
      <c r="J163" s="140" t="s">
        <v>608</v>
      </c>
      <c r="K163" s="160">
        <f t="shared" si="9"/>
        <v>156.89517079499998</v>
      </c>
    </row>
    <row r="164" spans="1:11" ht="13.5">
      <c r="A164" t="s">
        <v>2181</v>
      </c>
      <c r="B164" s="8">
        <v>40431.694444444445</v>
      </c>
      <c r="C164" s="138">
        <v>40431.694444444445</v>
      </c>
      <c r="D164" s="142">
        <v>1320</v>
      </c>
      <c r="E164" s="186">
        <f t="shared" si="10"/>
        <v>37.378242</v>
      </c>
      <c r="F164" s="21">
        <v>3.16</v>
      </c>
      <c r="G164" s="21">
        <v>1.92</v>
      </c>
      <c r="H164" s="18" t="s">
        <v>964</v>
      </c>
      <c r="I164" s="21">
        <v>2.89</v>
      </c>
      <c r="J164" s="140">
        <v>75.94847395833334</v>
      </c>
      <c r="K164" s="160">
        <f t="shared" si="9"/>
        <v>118.11524472</v>
      </c>
    </row>
    <row r="165" spans="1:11" ht="13.5">
      <c r="A165" t="s">
        <v>2182</v>
      </c>
      <c r="B165" s="8">
        <v>40439.635416666664</v>
      </c>
      <c r="C165" s="138">
        <v>40439.635416666664</v>
      </c>
      <c r="D165" s="142">
        <v>1210</v>
      </c>
      <c r="E165" s="186">
        <f t="shared" si="10"/>
        <v>34.2633885</v>
      </c>
      <c r="F165" s="21">
        <v>3.27</v>
      </c>
      <c r="G165" s="21">
        <v>2.03</v>
      </c>
      <c r="H165" s="18" t="s">
        <v>964</v>
      </c>
      <c r="I165" s="21">
        <v>2.82</v>
      </c>
      <c r="J165" s="140">
        <v>73.8829296875</v>
      </c>
      <c r="K165" s="160">
        <f t="shared" si="9"/>
        <v>112.04128039499999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4.421875" style="93" customWidth="1"/>
    <col min="2" max="2" width="15.421875" style="108" customWidth="1"/>
    <col min="3" max="3" width="12.7109375" style="86" customWidth="1"/>
    <col min="4" max="4" width="10.7109375" style="86" customWidth="1"/>
    <col min="5" max="5" width="10.8515625" style="110" customWidth="1"/>
    <col min="6" max="7" width="9.140625" style="110" customWidth="1"/>
    <col min="8" max="9" width="11.421875" style="86" customWidth="1"/>
    <col min="10" max="10" width="9.7109375" style="86" customWidth="1"/>
    <col min="11" max="11" width="10.28125" style="133" customWidth="1"/>
    <col min="12" max="12" width="14.8515625" style="0" customWidth="1"/>
  </cols>
  <sheetData>
    <row r="1" spans="1:22" ht="14.25">
      <c r="A1" s="14" t="s">
        <v>59</v>
      </c>
      <c r="B1" s="106"/>
      <c r="H1" s="35" t="s">
        <v>784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.75">
      <c r="A2" s="14" t="s">
        <v>524</v>
      </c>
      <c r="B2" s="84" t="s">
        <v>1644</v>
      </c>
      <c r="C2" s="78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58" t="s">
        <v>327</v>
      </c>
      <c r="J2" s="58" t="s">
        <v>971</v>
      </c>
      <c r="K2" s="81" t="s">
        <v>328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2:22" ht="15">
      <c r="B3" s="95"/>
      <c r="C3" s="97" t="s">
        <v>735</v>
      </c>
      <c r="D3" s="97" t="s">
        <v>968</v>
      </c>
      <c r="E3" s="99" t="s">
        <v>271</v>
      </c>
      <c r="F3" s="99" t="s">
        <v>969</v>
      </c>
      <c r="G3" s="99" t="s">
        <v>969</v>
      </c>
      <c r="H3" s="98" t="s">
        <v>969</v>
      </c>
      <c r="I3" s="100" t="s">
        <v>969</v>
      </c>
      <c r="J3" s="100" t="s">
        <v>969</v>
      </c>
      <c r="K3" s="124" t="s">
        <v>783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4.25">
      <c r="A4" s="14" t="s">
        <v>1267</v>
      </c>
      <c r="B4" s="95"/>
      <c r="C4" s="93" t="s">
        <v>780</v>
      </c>
      <c r="D4" s="97"/>
      <c r="E4" s="99"/>
      <c r="F4" s="99"/>
      <c r="G4" s="99"/>
      <c r="H4" s="98"/>
      <c r="I4" s="100"/>
      <c r="J4" s="100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5" customHeight="1">
      <c r="A5" s="93" t="s">
        <v>772</v>
      </c>
      <c r="B5" s="95">
        <v>38841</v>
      </c>
      <c r="C5" s="96">
        <v>0.4895833333333333</v>
      </c>
      <c r="D5" s="97">
        <v>2130</v>
      </c>
      <c r="E5" s="99">
        <f aca="true" t="shared" si="0" ref="E5:E19">D5*0.02831685</f>
        <v>60.314890500000004</v>
      </c>
      <c r="F5" s="105">
        <v>0.27</v>
      </c>
      <c r="G5" s="99">
        <v>0.08</v>
      </c>
      <c r="H5" s="98" t="s">
        <v>964</v>
      </c>
      <c r="I5" s="99">
        <v>2.51</v>
      </c>
      <c r="J5" s="100">
        <v>61.648552083333335</v>
      </c>
      <c r="K5" s="124">
        <f>E5*F5</f>
        <v>16.285020435000003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5" customHeight="1">
      <c r="A6" s="93" t="s">
        <v>773</v>
      </c>
      <c r="B6" s="95">
        <v>38853</v>
      </c>
      <c r="C6" s="96">
        <v>0.4791666666666667</v>
      </c>
      <c r="D6" s="97">
        <v>5450</v>
      </c>
      <c r="E6" s="99">
        <f t="shared" si="0"/>
        <v>154.3268325</v>
      </c>
      <c r="F6" s="105">
        <v>0.19</v>
      </c>
      <c r="G6" s="99">
        <v>0.06</v>
      </c>
      <c r="H6" s="98" t="s">
        <v>964</v>
      </c>
      <c r="I6" s="99">
        <v>1.65</v>
      </c>
      <c r="J6" s="100">
        <v>45.441973958333335</v>
      </c>
      <c r="K6" s="124">
        <f aca="true" t="shared" si="1" ref="K6:K16">E6*F6</f>
        <v>29.322098175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5" customHeight="1">
      <c r="A7" s="93" t="s">
        <v>774</v>
      </c>
      <c r="B7" s="95">
        <v>38855</v>
      </c>
      <c r="C7" s="96">
        <v>0.6201388888888889</v>
      </c>
      <c r="D7" s="97">
        <v>6490</v>
      </c>
      <c r="E7" s="99">
        <f t="shared" si="0"/>
        <v>183.77635650000002</v>
      </c>
      <c r="F7" s="105">
        <v>0.18</v>
      </c>
      <c r="G7" s="99">
        <v>0.06</v>
      </c>
      <c r="H7" s="98" t="s">
        <v>964</v>
      </c>
      <c r="I7" s="99">
        <v>1.46</v>
      </c>
      <c r="J7" s="100">
        <v>41.62866145833333</v>
      </c>
      <c r="K7" s="124">
        <f t="shared" si="1"/>
        <v>33.079744170000005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5" customHeight="1">
      <c r="A8" s="93" t="s">
        <v>775</v>
      </c>
      <c r="B8" s="95">
        <v>38883</v>
      </c>
      <c r="C8" s="96">
        <v>0.7340277777777778</v>
      </c>
      <c r="D8" s="97">
        <v>3060</v>
      </c>
      <c r="E8" s="99">
        <f t="shared" si="0"/>
        <v>86.649561</v>
      </c>
      <c r="F8" s="105">
        <v>0.14</v>
      </c>
      <c r="G8" s="99">
        <v>0.05</v>
      </c>
      <c r="H8" s="98" t="s">
        <v>964</v>
      </c>
      <c r="I8" s="99">
        <v>1.91</v>
      </c>
      <c r="J8" s="100">
        <v>48.619734375</v>
      </c>
      <c r="K8" s="124">
        <f t="shared" si="1"/>
        <v>12.130938540000002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4.25">
      <c r="A9" s="93" t="s">
        <v>776</v>
      </c>
      <c r="B9" s="95">
        <v>38910</v>
      </c>
      <c r="C9" s="97" t="s">
        <v>1549</v>
      </c>
      <c r="D9" s="97">
        <v>701</v>
      </c>
      <c r="E9" s="99">
        <f>D9*0.02831685</f>
        <v>19.85011185</v>
      </c>
      <c r="F9" s="105">
        <v>0.27</v>
      </c>
      <c r="G9" s="99">
        <v>0.08</v>
      </c>
      <c r="H9" s="98" t="s">
        <v>964</v>
      </c>
      <c r="I9" s="99">
        <v>3.61</v>
      </c>
      <c r="J9" s="100">
        <v>75.94847395833334</v>
      </c>
      <c r="K9" s="124">
        <f t="shared" si="1"/>
        <v>5.359530199500001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4.25">
      <c r="A10" s="93" t="s">
        <v>777</v>
      </c>
      <c r="B10" s="95">
        <v>38931</v>
      </c>
      <c r="C10" s="119">
        <v>0.5416666666666666</v>
      </c>
      <c r="D10" s="97">
        <v>305</v>
      </c>
      <c r="E10" s="99">
        <f t="shared" si="0"/>
        <v>8.63663925</v>
      </c>
      <c r="F10" s="105">
        <v>0.5</v>
      </c>
      <c r="G10" s="99">
        <v>0.14</v>
      </c>
      <c r="H10" s="98" t="s">
        <v>964</v>
      </c>
      <c r="I10" s="99">
        <v>5.2</v>
      </c>
      <c r="J10" s="100">
        <v>100.89389322916666</v>
      </c>
      <c r="K10" s="124">
        <f t="shared" si="1"/>
        <v>4.318319625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4.25">
      <c r="A11" s="93" t="s">
        <v>778</v>
      </c>
      <c r="B11" s="95">
        <v>38937</v>
      </c>
      <c r="C11" s="119">
        <v>0.6020833333333333</v>
      </c>
      <c r="D11" s="97">
        <v>236</v>
      </c>
      <c r="E11" s="99">
        <f t="shared" si="0"/>
        <v>6.6827766</v>
      </c>
      <c r="F11" s="105">
        <v>0.94</v>
      </c>
      <c r="G11" s="99">
        <v>0.12</v>
      </c>
      <c r="H11" s="98" t="s">
        <v>964</v>
      </c>
      <c r="I11" s="99">
        <v>5.97</v>
      </c>
      <c r="J11" s="100">
        <v>108.99718229166666</v>
      </c>
      <c r="K11" s="124">
        <f t="shared" si="1"/>
        <v>6.2818100040000004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14.25">
      <c r="A12" s="93" t="s">
        <v>779</v>
      </c>
      <c r="B12" s="95">
        <v>38966</v>
      </c>
      <c r="C12" s="119">
        <v>0.53125</v>
      </c>
      <c r="D12" s="97">
        <v>125</v>
      </c>
      <c r="E12" s="99">
        <f t="shared" si="0"/>
        <v>3.5396062500000003</v>
      </c>
      <c r="F12" s="105">
        <v>0.7</v>
      </c>
      <c r="G12" s="99">
        <v>0.15</v>
      </c>
      <c r="H12" s="98" t="s">
        <v>964</v>
      </c>
      <c r="I12" s="99">
        <v>7.29</v>
      </c>
      <c r="J12" s="100">
        <v>127.11041666666667</v>
      </c>
      <c r="K12" s="124">
        <f t="shared" si="1"/>
        <v>2.477724375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4.25">
      <c r="A13" s="14" t="s">
        <v>1268</v>
      </c>
      <c r="B13" s="95"/>
      <c r="E13" s="99"/>
      <c r="I13" s="110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14.25">
      <c r="A14" s="93" t="s">
        <v>592</v>
      </c>
      <c r="B14" s="95">
        <v>39014.48125</v>
      </c>
      <c r="C14" s="96">
        <f>B14</f>
        <v>39014.48125</v>
      </c>
      <c r="D14" s="97">
        <v>236</v>
      </c>
      <c r="E14" s="99">
        <f t="shared" si="0"/>
        <v>6.6827766</v>
      </c>
      <c r="F14" s="99">
        <v>0.76</v>
      </c>
      <c r="G14" s="99">
        <v>0.12</v>
      </c>
      <c r="H14" s="97" t="s">
        <v>964</v>
      </c>
      <c r="I14" s="99">
        <v>7.63</v>
      </c>
      <c r="J14" s="100">
        <v>112.9693828125</v>
      </c>
      <c r="K14" s="124">
        <f t="shared" si="1"/>
        <v>5.078910216000001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14.25">
      <c r="A15" s="93" t="s">
        <v>593</v>
      </c>
      <c r="B15" s="95">
        <v>39037.44305555556</v>
      </c>
      <c r="C15" s="96">
        <f aca="true" t="shared" si="2" ref="C15:C22">B15</f>
        <v>39037.44305555556</v>
      </c>
      <c r="D15" s="97">
        <v>305</v>
      </c>
      <c r="E15" s="99">
        <f t="shared" si="0"/>
        <v>8.63663925</v>
      </c>
      <c r="F15" s="99">
        <v>0.81</v>
      </c>
      <c r="G15" s="99">
        <v>0.11</v>
      </c>
      <c r="H15" s="97" t="s">
        <v>964</v>
      </c>
      <c r="I15" s="99">
        <v>7.16</v>
      </c>
      <c r="J15" s="100">
        <v>103.11832552083334</v>
      </c>
      <c r="K15" s="124">
        <f t="shared" si="1"/>
        <v>6.9956777925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14.25">
      <c r="A16" s="93" t="s">
        <v>594</v>
      </c>
      <c r="B16" s="95">
        <v>39063.614583333336</v>
      </c>
      <c r="C16" s="96">
        <f t="shared" si="2"/>
        <v>39063.614583333336</v>
      </c>
      <c r="D16" s="97">
        <v>450</v>
      </c>
      <c r="E16" s="99">
        <f t="shared" si="0"/>
        <v>12.742582500000001</v>
      </c>
      <c r="F16" s="99">
        <v>0.76</v>
      </c>
      <c r="G16" s="99">
        <v>0.12</v>
      </c>
      <c r="H16" s="97" t="s">
        <v>964</v>
      </c>
      <c r="I16" s="99">
        <v>7.75</v>
      </c>
      <c r="J16" s="100">
        <v>112.9693828125</v>
      </c>
      <c r="K16" s="124">
        <f t="shared" si="1"/>
        <v>9.684362700000001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14.25">
      <c r="A17" s="93" t="s">
        <v>595</v>
      </c>
      <c r="B17" s="95">
        <v>39092.44236111111</v>
      </c>
      <c r="C17" s="96">
        <f t="shared" si="2"/>
        <v>39092.44236111111</v>
      </c>
      <c r="D17" s="97">
        <v>120</v>
      </c>
      <c r="E17" s="99">
        <f t="shared" si="0"/>
        <v>3.398022</v>
      </c>
      <c r="F17" s="99">
        <v>0.84</v>
      </c>
      <c r="G17" s="99">
        <v>0.12</v>
      </c>
      <c r="H17" s="97" t="s">
        <v>964</v>
      </c>
      <c r="I17" s="99">
        <v>8.53</v>
      </c>
      <c r="J17" s="100">
        <v>122.02600000000002</v>
      </c>
      <c r="K17" s="124">
        <f aca="true" t="shared" si="3" ref="K17:K22">E17*F17</f>
        <v>2.85433848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14.25">
      <c r="A18" s="93" t="s">
        <v>651</v>
      </c>
      <c r="B18" s="95">
        <v>39127.42847222222</v>
      </c>
      <c r="C18" s="96">
        <f t="shared" si="2"/>
        <v>39127.42847222222</v>
      </c>
      <c r="D18" s="97">
        <v>120</v>
      </c>
      <c r="E18" s="99">
        <f t="shared" si="0"/>
        <v>3.398022</v>
      </c>
      <c r="F18" s="99">
        <v>1.03</v>
      </c>
      <c r="G18" s="99">
        <v>0.15</v>
      </c>
      <c r="H18" s="97" t="s">
        <v>964</v>
      </c>
      <c r="I18" s="99">
        <v>8.95</v>
      </c>
      <c r="J18" s="100">
        <v>130.60595312499998</v>
      </c>
      <c r="K18" s="124">
        <f t="shared" si="3"/>
        <v>3.49996266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4.25">
      <c r="A19" s="93" t="s">
        <v>652</v>
      </c>
      <c r="B19" s="95">
        <v>39162.50902777778</v>
      </c>
      <c r="C19" s="96">
        <f t="shared" si="2"/>
        <v>39162.50902777778</v>
      </c>
      <c r="D19" s="97">
        <v>360</v>
      </c>
      <c r="E19" s="99">
        <f t="shared" si="0"/>
        <v>10.194066000000001</v>
      </c>
      <c r="F19" s="99">
        <v>0.58</v>
      </c>
      <c r="G19" s="99">
        <v>0.11</v>
      </c>
      <c r="H19" s="97" t="s">
        <v>964</v>
      </c>
      <c r="I19" s="99">
        <v>6.55</v>
      </c>
      <c r="J19" s="100">
        <v>84.3695390625</v>
      </c>
      <c r="K19" s="124">
        <f t="shared" si="3"/>
        <v>5.912558280000001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14.25">
      <c r="A20" s="134" t="s">
        <v>650</v>
      </c>
      <c r="B20" s="95">
        <v>39189.4375</v>
      </c>
      <c r="C20" s="96">
        <f t="shared" si="2"/>
        <v>39189.4375</v>
      </c>
      <c r="D20" s="100">
        <v>1220</v>
      </c>
      <c r="E20" s="99">
        <f>D20*0.02831685</f>
        <v>34.546557</v>
      </c>
      <c r="F20" s="99">
        <v>0.36</v>
      </c>
      <c r="G20" s="99">
        <v>0.1</v>
      </c>
      <c r="H20" s="98" t="s">
        <v>964</v>
      </c>
      <c r="I20" s="99">
        <v>4.53</v>
      </c>
      <c r="J20" s="100">
        <v>66.73296875</v>
      </c>
      <c r="K20" s="124">
        <f t="shared" si="3"/>
        <v>12.43676052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14.25">
      <c r="A21" s="93" t="s">
        <v>489</v>
      </c>
      <c r="B21" s="95">
        <v>39218.48819444444</v>
      </c>
      <c r="C21" s="96">
        <f t="shared" si="2"/>
        <v>39218.48819444444</v>
      </c>
      <c r="D21" s="100">
        <v>4050</v>
      </c>
      <c r="E21" s="99">
        <f>D21*0.02831685</f>
        <v>114.6832425</v>
      </c>
      <c r="F21" s="99">
        <v>0.26</v>
      </c>
      <c r="G21" s="99">
        <v>0.06</v>
      </c>
      <c r="H21" s="97" t="s">
        <v>964</v>
      </c>
      <c r="I21" s="99">
        <v>1.63</v>
      </c>
      <c r="J21" s="100">
        <v>39.086453125</v>
      </c>
      <c r="K21" s="124">
        <f t="shared" si="3"/>
        <v>29.81764305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4.25">
      <c r="A22" s="93" t="s">
        <v>490</v>
      </c>
      <c r="B22" s="95">
        <v>39247.63958333333</v>
      </c>
      <c r="C22" s="96">
        <f t="shared" si="2"/>
        <v>39247.63958333333</v>
      </c>
      <c r="D22" s="100">
        <v>1850</v>
      </c>
      <c r="E22" s="99">
        <f>D22*0.02831685</f>
        <v>52.3861725</v>
      </c>
      <c r="F22" s="99">
        <v>0.18</v>
      </c>
      <c r="G22" s="99">
        <v>0.06</v>
      </c>
      <c r="H22" s="97" t="s">
        <v>964</v>
      </c>
      <c r="I22" s="99">
        <v>2.28</v>
      </c>
      <c r="J22" s="100">
        <v>48.1430703125</v>
      </c>
      <c r="K22" s="124">
        <f t="shared" si="3"/>
        <v>9.42951105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ht="12.75">
      <c r="A23" s="82"/>
    </row>
    <row r="24" ht="12">
      <c r="A24" s="93" t="s">
        <v>443</v>
      </c>
    </row>
    <row r="25" ht="12">
      <c r="A25" s="93" t="s">
        <v>382</v>
      </c>
    </row>
  </sheetData>
  <sheetProtection/>
  <printOptions/>
  <pageMargins left="0" right="0" top="0.75" bottom="0.75" header="0.3" footer="0.3"/>
  <pageSetup horizontalDpi="1200" verticalDpi="1200" orientation="landscape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11.140625" style="16" customWidth="1"/>
    <col min="2" max="2" width="11.421875" style="8" customWidth="1"/>
  </cols>
  <sheetData>
    <row r="1" ht="12">
      <c r="A1" s="16" t="s">
        <v>329</v>
      </c>
    </row>
    <row r="2" spans="1:10" ht="12">
      <c r="A2" s="14" t="s">
        <v>524</v>
      </c>
      <c r="B2" s="84" t="s">
        <v>1644</v>
      </c>
      <c r="C2" s="78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58" t="s">
        <v>327</v>
      </c>
      <c r="J2" s="58" t="s">
        <v>971</v>
      </c>
    </row>
    <row r="3" spans="1:10" ht="12">
      <c r="A3" s="75"/>
      <c r="B3" s="77"/>
      <c r="C3" s="57" t="s">
        <v>735</v>
      </c>
      <c r="D3" s="57" t="s">
        <v>968</v>
      </c>
      <c r="E3" s="21" t="s">
        <v>972</v>
      </c>
      <c r="F3" s="21" t="s">
        <v>969</v>
      </c>
      <c r="G3" s="21" t="s">
        <v>969</v>
      </c>
      <c r="H3" s="18" t="s">
        <v>969</v>
      </c>
      <c r="I3" s="22" t="s">
        <v>969</v>
      </c>
      <c r="J3" s="22" t="s">
        <v>969</v>
      </c>
    </row>
    <row r="4" spans="1:10" ht="12.75">
      <c r="A4" s="14" t="s">
        <v>1268</v>
      </c>
      <c r="C4" s="76"/>
      <c r="D4" s="49"/>
      <c r="E4" s="51"/>
      <c r="F4" s="51"/>
      <c r="G4" s="51"/>
      <c r="H4" s="50"/>
      <c r="I4" s="52"/>
      <c r="J4" s="52"/>
    </row>
    <row r="5" spans="1:10" ht="12.75">
      <c r="A5" s="16" t="s">
        <v>330</v>
      </c>
      <c r="B5" s="8">
        <v>39063.62986111111</v>
      </c>
      <c r="C5" s="53"/>
      <c r="D5" s="49"/>
      <c r="E5" s="51"/>
      <c r="F5" s="9">
        <v>15.8</v>
      </c>
      <c r="G5" s="9">
        <v>1.23</v>
      </c>
      <c r="H5" s="1">
        <v>0.03</v>
      </c>
      <c r="I5" s="1">
        <v>31.2</v>
      </c>
      <c r="J5" s="22">
        <v>57.358575520833334</v>
      </c>
    </row>
    <row r="6" spans="1:10" ht="12.75">
      <c r="A6" s="75" t="s">
        <v>331</v>
      </c>
      <c r="B6" s="8">
        <v>39195.625</v>
      </c>
      <c r="C6" s="53"/>
      <c r="D6" s="49"/>
      <c r="E6" s="51"/>
      <c r="F6" s="9">
        <v>12.2</v>
      </c>
      <c r="G6" s="9">
        <v>1.05</v>
      </c>
      <c r="H6" s="1">
        <v>0.02</v>
      </c>
      <c r="I6" s="1">
        <v>27.8</v>
      </c>
      <c r="J6" s="1">
        <v>47</v>
      </c>
    </row>
    <row r="7" spans="1:10" ht="12.75">
      <c r="A7" s="16" t="s">
        <v>332</v>
      </c>
      <c r="B7" s="8">
        <v>39205</v>
      </c>
      <c r="C7" s="53"/>
      <c r="D7" s="49"/>
      <c r="E7" s="51"/>
      <c r="F7" s="9">
        <v>7</v>
      </c>
      <c r="G7" s="9">
        <v>0.69</v>
      </c>
      <c r="H7" s="1">
        <v>0.01</v>
      </c>
      <c r="I7" s="1">
        <v>13.1</v>
      </c>
      <c r="J7" s="2">
        <v>40.039781250000004</v>
      </c>
    </row>
    <row r="8" spans="1:10" ht="12.75">
      <c r="A8" s="16" t="s">
        <v>333</v>
      </c>
      <c r="B8" s="8">
        <v>39262</v>
      </c>
      <c r="C8" s="53"/>
      <c r="D8" s="49"/>
      <c r="E8" s="51"/>
      <c r="F8" s="9">
        <v>7.21</v>
      </c>
      <c r="G8" s="9">
        <v>0.68</v>
      </c>
      <c r="H8" s="1">
        <v>0.01</v>
      </c>
      <c r="I8" s="1">
        <v>13.4</v>
      </c>
      <c r="J8" s="2">
        <v>40.675333333333334</v>
      </c>
    </row>
    <row r="9" spans="1:10" ht="12.75">
      <c r="A9" s="16" t="s">
        <v>334</v>
      </c>
      <c r="B9" s="8">
        <v>39287</v>
      </c>
      <c r="C9" s="53"/>
      <c r="D9" s="49"/>
      <c r="E9" s="51"/>
      <c r="F9" s="9">
        <v>8.41</v>
      </c>
      <c r="G9" s="9">
        <v>0.77</v>
      </c>
      <c r="H9" s="1">
        <v>0.01</v>
      </c>
      <c r="I9" s="1">
        <v>14.8</v>
      </c>
      <c r="J9" s="2">
        <v>44.806421875</v>
      </c>
    </row>
    <row r="10" spans="1:10" ht="12.75">
      <c r="A10" s="16" t="s">
        <v>335</v>
      </c>
      <c r="B10" s="8">
        <v>39305</v>
      </c>
      <c r="C10" s="53"/>
      <c r="D10" s="49"/>
      <c r="E10" s="51"/>
      <c r="F10" s="9">
        <v>9.6</v>
      </c>
      <c r="G10" s="9">
        <v>0.85</v>
      </c>
      <c r="H10" s="1">
        <v>0.02</v>
      </c>
      <c r="I10" s="1">
        <v>17.1</v>
      </c>
      <c r="J10" s="2">
        <v>47.66640625</v>
      </c>
    </row>
    <row r="11" spans="1:10" ht="12.75">
      <c r="A11" s="16" t="s">
        <v>336</v>
      </c>
      <c r="B11" s="8">
        <v>39328</v>
      </c>
      <c r="C11" s="53"/>
      <c r="D11" s="49"/>
      <c r="E11" s="51"/>
      <c r="F11" s="9">
        <v>11.5</v>
      </c>
      <c r="G11" s="9">
        <v>0.95</v>
      </c>
      <c r="H11" s="1">
        <v>0.02</v>
      </c>
      <c r="I11" s="1">
        <v>20.2</v>
      </c>
      <c r="J11" s="2">
        <v>53.386374999999994</v>
      </c>
    </row>
    <row r="12" spans="1:10" ht="12.75">
      <c r="A12" s="82" t="s">
        <v>384</v>
      </c>
      <c r="B12" s="15"/>
      <c r="C12" s="53"/>
      <c r="D12" s="49"/>
      <c r="E12" s="51"/>
      <c r="F12" s="54"/>
      <c r="G12" s="51"/>
      <c r="H12" s="50"/>
      <c r="I12" s="51"/>
      <c r="J12" s="52"/>
    </row>
    <row r="13" spans="1:10" ht="12.75">
      <c r="A13" s="19"/>
      <c r="B13" s="15"/>
      <c r="C13" s="53"/>
      <c r="D13" s="49"/>
      <c r="E13" s="51"/>
      <c r="F13" s="54"/>
      <c r="G13" s="51"/>
      <c r="H13" s="50"/>
      <c r="I13" s="51"/>
      <c r="J13" s="52"/>
    </row>
    <row r="14" spans="1:10" ht="12.75">
      <c r="A14" s="19"/>
      <c r="B14" s="15"/>
      <c r="C14" s="53"/>
      <c r="D14" s="49"/>
      <c r="E14" s="51"/>
      <c r="F14" s="54"/>
      <c r="G14" s="51"/>
      <c r="H14" s="50"/>
      <c r="I14" s="51"/>
      <c r="J14" s="52"/>
    </row>
    <row r="15" spans="1:10" ht="12.75">
      <c r="A15" s="19"/>
      <c r="B15" s="15"/>
      <c r="C15" s="53"/>
      <c r="D15" s="49"/>
      <c r="E15" s="51"/>
      <c r="F15" s="54"/>
      <c r="G15" s="51"/>
      <c r="H15" s="50"/>
      <c r="I15" s="51"/>
      <c r="J15" s="52"/>
    </row>
    <row r="16" spans="1:10" ht="12.75">
      <c r="A16" s="19"/>
      <c r="B16" s="15"/>
      <c r="C16" s="53"/>
      <c r="D16" s="49"/>
      <c r="E16" s="51"/>
      <c r="F16" s="54"/>
      <c r="G16" s="51"/>
      <c r="H16" s="50"/>
      <c r="I16" s="51"/>
      <c r="J16" s="52"/>
    </row>
    <row r="18" ht="15">
      <c r="B18" s="85"/>
    </row>
    <row r="22" spans="1:8" ht="12">
      <c r="A22" s="31"/>
      <c r="B22" s="74"/>
      <c r="C22" s="27"/>
      <c r="D22" s="28"/>
      <c r="E22" s="29"/>
      <c r="F22" s="29"/>
      <c r="G22" s="30"/>
      <c r="H22" s="30"/>
    </row>
    <row r="23" spans="3:8" ht="12">
      <c r="C23" s="1"/>
      <c r="D23" s="9"/>
      <c r="E23" s="12"/>
      <c r="F23" s="12"/>
      <c r="G23" s="2"/>
      <c r="H23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3.8515625" style="93" customWidth="1"/>
    <col min="2" max="2" width="19.00390625" style="95" customWidth="1"/>
    <col min="3" max="3" width="11.421875" style="107" bestFit="1" customWidth="1"/>
    <col min="4" max="4" width="11.421875" style="97" customWidth="1"/>
    <col min="5" max="5" width="11.421875" style="86" customWidth="1"/>
    <col min="6" max="7" width="9.140625" style="110" customWidth="1"/>
    <col min="8" max="8" width="9.140625" style="109" customWidth="1"/>
    <col min="9" max="9" width="9.140625" style="110" customWidth="1"/>
    <col min="10" max="10" width="11.421875" style="86" customWidth="1"/>
    <col min="11" max="11" width="9.140625" style="100" customWidth="1"/>
    <col min="12" max="12" width="12.8515625" style="0" customWidth="1"/>
  </cols>
  <sheetData>
    <row r="1" spans="1:8" ht="12.75">
      <c r="A1" s="14" t="s">
        <v>444</v>
      </c>
      <c r="H1" s="67"/>
    </row>
    <row r="2" spans="1:24" ht="15.75">
      <c r="A2" s="14" t="s">
        <v>524</v>
      </c>
      <c r="B2" s="84" t="s">
        <v>1644</v>
      </c>
      <c r="C2" s="112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79" t="s">
        <v>327</v>
      </c>
      <c r="J2" s="58" t="s">
        <v>971</v>
      </c>
      <c r="K2" s="58" t="s">
        <v>51</v>
      </c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3:24" ht="14.25">
      <c r="C3" s="96" t="s">
        <v>735</v>
      </c>
      <c r="D3" s="97" t="s">
        <v>968</v>
      </c>
      <c r="E3" s="99" t="s">
        <v>271</v>
      </c>
      <c r="F3" s="99" t="s">
        <v>969</v>
      </c>
      <c r="G3" s="99" t="s">
        <v>969</v>
      </c>
      <c r="H3" s="98" t="s">
        <v>969</v>
      </c>
      <c r="I3" s="99" t="s">
        <v>969</v>
      </c>
      <c r="J3" s="100" t="s">
        <v>969</v>
      </c>
      <c r="K3" s="100" t="s">
        <v>783</v>
      </c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10" ht="12.75">
      <c r="A4" s="14" t="s">
        <v>50</v>
      </c>
      <c r="C4" s="96"/>
      <c r="E4" s="99"/>
      <c r="F4" s="99"/>
      <c r="G4" s="99"/>
      <c r="H4" s="98"/>
      <c r="I4" s="99"/>
      <c r="J4" s="100"/>
    </row>
    <row r="5" spans="1:11" ht="15" customHeight="1">
      <c r="A5" s="93" t="s">
        <v>1112</v>
      </c>
      <c r="B5" s="95" t="str">
        <f aca="true" t="shared" si="0" ref="B5:B27">MID(A5,4,2)&amp;"/"&amp;MID(A5,6,2)&amp;"/"&amp;MID(A5,8,2)</f>
        <v>05/31/05</v>
      </c>
      <c r="C5" s="96">
        <v>0.65625</v>
      </c>
      <c r="D5" s="97">
        <v>2690</v>
      </c>
      <c r="E5" s="99">
        <f aca="true" t="shared" si="1" ref="E5:E45">D5*0.02831685</f>
        <v>76.1723265</v>
      </c>
      <c r="F5" s="105">
        <v>5.13</v>
      </c>
      <c r="G5" s="99">
        <v>0.54</v>
      </c>
      <c r="H5" s="98" t="s">
        <v>964</v>
      </c>
      <c r="I5" s="99">
        <v>8.47</v>
      </c>
      <c r="J5" s="100">
        <v>39.24534114583333</v>
      </c>
      <c r="K5" s="100">
        <f>E5*F5</f>
        <v>390.764034945</v>
      </c>
    </row>
    <row r="6" spans="1:11" ht="15" customHeight="1">
      <c r="A6" s="93" t="s">
        <v>1113</v>
      </c>
      <c r="B6" s="95" t="str">
        <f t="shared" si="0"/>
        <v>06/13/05</v>
      </c>
      <c r="C6" s="96">
        <v>0.6090277777777778</v>
      </c>
      <c r="D6" s="97">
        <v>2900</v>
      </c>
      <c r="E6" s="99">
        <f t="shared" si="1"/>
        <v>82.118865</v>
      </c>
      <c r="F6" s="105">
        <v>5.21</v>
      </c>
      <c r="G6" s="99">
        <v>0.58</v>
      </c>
      <c r="H6" s="98">
        <v>0.02</v>
      </c>
      <c r="I6" s="99">
        <v>7.99</v>
      </c>
      <c r="J6" s="100">
        <v>37.97423697916667</v>
      </c>
      <c r="K6" s="100">
        <f aca="true" t="shared" si="2" ref="K6:K45">E6*F6</f>
        <v>427.83928665</v>
      </c>
    </row>
    <row r="7" spans="1:11" ht="15" customHeight="1">
      <c r="A7" s="93" t="s">
        <v>1114</v>
      </c>
      <c r="B7" s="95" t="str">
        <f t="shared" si="0"/>
        <v>06/28/05</v>
      </c>
      <c r="C7" s="96">
        <v>0.51875</v>
      </c>
      <c r="D7" s="97">
        <v>3580</v>
      </c>
      <c r="E7" s="99">
        <f t="shared" si="1"/>
        <v>101.374323</v>
      </c>
      <c r="F7" s="105">
        <v>4.81</v>
      </c>
      <c r="G7" s="99">
        <v>0.54</v>
      </c>
      <c r="H7" s="98">
        <v>0.01</v>
      </c>
      <c r="I7" s="99">
        <v>7.82</v>
      </c>
      <c r="J7" s="100">
        <v>36.38535677083334</v>
      </c>
      <c r="K7" s="100">
        <f t="shared" si="2"/>
        <v>487.61049363</v>
      </c>
    </row>
    <row r="8" spans="1:11" ht="15" customHeight="1">
      <c r="A8" s="93" t="s">
        <v>1115</v>
      </c>
      <c r="B8" s="95" t="str">
        <f t="shared" si="0"/>
        <v>07/13/05</v>
      </c>
      <c r="C8" s="96">
        <v>0.4784722222222222</v>
      </c>
      <c r="D8" s="97">
        <v>2970</v>
      </c>
      <c r="E8" s="99">
        <f t="shared" si="1"/>
        <v>84.1010445</v>
      </c>
      <c r="F8" s="105">
        <v>4.96</v>
      </c>
      <c r="G8" s="99">
        <v>0.54</v>
      </c>
      <c r="H8" s="98">
        <v>0.02</v>
      </c>
      <c r="I8" s="99">
        <v>8.24</v>
      </c>
      <c r="J8" s="100">
        <v>31.300940104166667</v>
      </c>
      <c r="K8" s="100">
        <f t="shared" si="2"/>
        <v>417.14118072</v>
      </c>
    </row>
    <row r="9" spans="1:11" ht="15" customHeight="1">
      <c r="A9" s="93" t="s">
        <v>1116</v>
      </c>
      <c r="B9" s="95" t="str">
        <f t="shared" si="0"/>
        <v>07/25/05</v>
      </c>
      <c r="C9" s="96">
        <v>0.4701388888888889</v>
      </c>
      <c r="D9" s="97">
        <v>2270</v>
      </c>
      <c r="E9" s="99">
        <f t="shared" si="1"/>
        <v>64.2792495</v>
      </c>
      <c r="F9" s="105">
        <v>4.8</v>
      </c>
      <c r="G9" s="99">
        <v>0.55</v>
      </c>
      <c r="H9" s="98" t="s">
        <v>964</v>
      </c>
      <c r="I9" s="99">
        <v>7.56</v>
      </c>
      <c r="J9" s="100">
        <v>36.1311359375</v>
      </c>
      <c r="K9" s="100">
        <f t="shared" si="2"/>
        <v>308.5403976</v>
      </c>
    </row>
    <row r="10" spans="1:11" ht="15" customHeight="1">
      <c r="A10" s="93" t="s">
        <v>1117</v>
      </c>
      <c r="B10" s="95" t="str">
        <f t="shared" si="0"/>
        <v>08/09/05</v>
      </c>
      <c r="C10" s="96">
        <v>0.5673611111111111</v>
      </c>
      <c r="D10" s="97">
        <v>1720</v>
      </c>
      <c r="E10" s="99">
        <f t="shared" si="1"/>
        <v>48.704982</v>
      </c>
      <c r="F10" s="105">
        <v>4.8</v>
      </c>
      <c r="G10" s="99">
        <v>0.56</v>
      </c>
      <c r="H10" s="98">
        <v>0.01</v>
      </c>
      <c r="I10" s="99">
        <v>7.64</v>
      </c>
      <c r="J10" s="100">
        <v>37.02090885416667</v>
      </c>
      <c r="K10" s="100">
        <f t="shared" si="2"/>
        <v>233.7839136</v>
      </c>
    </row>
    <row r="11" spans="1:11" ht="15" customHeight="1">
      <c r="A11" s="93" t="s">
        <v>1118</v>
      </c>
      <c r="B11" s="95" t="str">
        <f t="shared" si="0"/>
        <v>08/24/05</v>
      </c>
      <c r="C11" s="96">
        <v>0.41875</v>
      </c>
      <c r="D11" s="97">
        <v>1410</v>
      </c>
      <c r="E11" s="99">
        <f t="shared" si="1"/>
        <v>39.9267585</v>
      </c>
      <c r="F11" s="105">
        <v>4.9</v>
      </c>
      <c r="G11" s="99">
        <v>0.56</v>
      </c>
      <c r="H11" s="98">
        <v>0.01</v>
      </c>
      <c r="I11" s="99">
        <v>7.64</v>
      </c>
      <c r="J11" s="100">
        <v>37.81534895833334</v>
      </c>
      <c r="K11" s="100">
        <f t="shared" si="2"/>
        <v>195.64111665000001</v>
      </c>
    </row>
    <row r="12" spans="1:11" ht="15" customHeight="1">
      <c r="A12" s="93" t="s">
        <v>1119</v>
      </c>
      <c r="B12" s="95" t="str">
        <f t="shared" si="0"/>
        <v>09/08/05</v>
      </c>
      <c r="C12" s="96">
        <v>0.5048611111111111</v>
      </c>
      <c r="D12" s="97">
        <v>1020</v>
      </c>
      <c r="E12" s="99">
        <f t="shared" si="1"/>
        <v>28.883187</v>
      </c>
      <c r="F12" s="105">
        <v>5.03</v>
      </c>
      <c r="G12" s="99">
        <v>0.57</v>
      </c>
      <c r="H12" s="98">
        <v>0.03</v>
      </c>
      <c r="I12" s="99">
        <v>7.82</v>
      </c>
      <c r="J12" s="100">
        <v>37.62468333333334</v>
      </c>
      <c r="K12" s="100">
        <f t="shared" si="2"/>
        <v>145.28243061</v>
      </c>
    </row>
    <row r="13" spans="1:11" ht="15" customHeight="1">
      <c r="A13" s="93" t="s">
        <v>1120</v>
      </c>
      <c r="B13" s="95" t="str">
        <f t="shared" si="0"/>
        <v>09/20/05</v>
      </c>
      <c r="C13" s="96">
        <v>0.4305555555555556</v>
      </c>
      <c r="D13" s="97">
        <v>855</v>
      </c>
      <c r="E13" s="99">
        <f t="shared" si="1"/>
        <v>24.21090675</v>
      </c>
      <c r="F13" s="105">
        <v>5.15</v>
      </c>
      <c r="G13" s="99">
        <v>0.58</v>
      </c>
      <c r="H13" s="98">
        <v>0.01</v>
      </c>
      <c r="I13" s="99">
        <v>7.8</v>
      </c>
      <c r="J13" s="100">
        <v>37.33868489583333</v>
      </c>
      <c r="K13" s="100">
        <f t="shared" si="2"/>
        <v>124.6861697625</v>
      </c>
    </row>
    <row r="14" spans="1:10" ht="15" customHeight="1">
      <c r="A14" s="14" t="s">
        <v>1267</v>
      </c>
      <c r="C14" s="96"/>
      <c r="E14" s="99"/>
      <c r="F14" s="105"/>
      <c r="G14" s="99"/>
      <c r="H14" s="98"/>
      <c r="I14" s="99"/>
      <c r="J14" s="100"/>
    </row>
    <row r="15" spans="1:11" ht="15" customHeight="1">
      <c r="A15" s="93" t="s">
        <v>1121</v>
      </c>
      <c r="B15" s="95" t="str">
        <f t="shared" si="0"/>
        <v>10/19/05</v>
      </c>
      <c r="C15" s="96" t="s">
        <v>1549</v>
      </c>
      <c r="D15" s="97">
        <v>675</v>
      </c>
      <c r="E15" s="99">
        <f t="shared" si="1"/>
        <v>19.11387375</v>
      </c>
      <c r="F15" s="105">
        <v>5.07</v>
      </c>
      <c r="G15" s="99">
        <v>0.6</v>
      </c>
      <c r="H15" s="98" t="s">
        <v>964</v>
      </c>
      <c r="I15" s="99">
        <v>7.86</v>
      </c>
      <c r="J15" s="100">
        <v>37.33868489583333</v>
      </c>
      <c r="K15" s="100">
        <f t="shared" si="2"/>
        <v>96.9073399125</v>
      </c>
    </row>
    <row r="16" spans="1:11" ht="15" customHeight="1">
      <c r="A16" s="93" t="s">
        <v>1122</v>
      </c>
      <c r="B16" s="95" t="str">
        <f t="shared" si="0"/>
        <v>10/20/05</v>
      </c>
      <c r="C16" s="96">
        <v>0.3951388888888889</v>
      </c>
      <c r="D16" s="97">
        <v>669</v>
      </c>
      <c r="E16" s="99">
        <f t="shared" si="1"/>
        <v>18.94397265</v>
      </c>
      <c r="F16" s="105">
        <v>5.11</v>
      </c>
      <c r="G16" s="99">
        <v>0.58</v>
      </c>
      <c r="H16" s="98">
        <v>0.01</v>
      </c>
      <c r="I16" s="99">
        <v>7.91</v>
      </c>
      <c r="J16" s="100">
        <v>37.8471265625</v>
      </c>
      <c r="K16" s="100">
        <f t="shared" si="2"/>
        <v>96.8037002415</v>
      </c>
    </row>
    <row r="17" spans="1:11" ht="15" customHeight="1">
      <c r="A17" s="93" t="s">
        <v>1123</v>
      </c>
      <c r="B17" s="95" t="str">
        <f t="shared" si="0"/>
        <v>12/13/05</v>
      </c>
      <c r="C17" s="96">
        <v>0.6541666666666667</v>
      </c>
      <c r="D17" s="97">
        <v>516</v>
      </c>
      <c r="E17" s="99">
        <f t="shared" si="1"/>
        <v>14.6114946</v>
      </c>
      <c r="F17" s="105">
        <v>5.16</v>
      </c>
      <c r="G17" s="99">
        <v>0.59</v>
      </c>
      <c r="H17" s="98" t="s">
        <v>964</v>
      </c>
      <c r="I17" s="99">
        <v>7.97</v>
      </c>
      <c r="J17" s="100">
        <v>38.133125</v>
      </c>
      <c r="K17" s="100">
        <f t="shared" si="2"/>
        <v>75.395312136</v>
      </c>
    </row>
    <row r="18" spans="1:11" ht="15" customHeight="1">
      <c r="A18" s="93" t="s">
        <v>1124</v>
      </c>
      <c r="B18" s="95" t="str">
        <f t="shared" si="0"/>
        <v>01/12/06</v>
      </c>
      <c r="C18" s="96">
        <v>0.5319444444444444</v>
      </c>
      <c r="D18" s="97">
        <v>559</v>
      </c>
      <c r="E18" s="99">
        <f t="shared" si="1"/>
        <v>15.82911915</v>
      </c>
      <c r="F18" s="105">
        <v>5.09</v>
      </c>
      <c r="G18" s="99">
        <v>0.59</v>
      </c>
      <c r="H18" s="98" t="s">
        <v>964</v>
      </c>
      <c r="I18" s="99">
        <v>7.89</v>
      </c>
      <c r="J18" s="100">
        <v>37.97423697916667</v>
      </c>
      <c r="K18" s="100">
        <f t="shared" si="2"/>
        <v>80.5702164735</v>
      </c>
    </row>
    <row r="19" spans="1:11" ht="15" customHeight="1">
      <c r="A19" s="93" t="s">
        <v>1125</v>
      </c>
      <c r="B19" s="95" t="str">
        <f t="shared" si="0"/>
        <v>02/08/06</v>
      </c>
      <c r="C19" s="96">
        <v>0.5736111111111112</v>
      </c>
      <c r="D19" s="97">
        <v>535</v>
      </c>
      <c r="E19" s="99">
        <f t="shared" si="1"/>
        <v>15.14951475</v>
      </c>
      <c r="F19" s="105">
        <v>5.2</v>
      </c>
      <c r="G19" s="99">
        <v>0.57</v>
      </c>
      <c r="H19" s="98">
        <v>0.03</v>
      </c>
      <c r="I19" s="99">
        <v>7.84</v>
      </c>
      <c r="J19" s="100">
        <v>36.86202083333334</v>
      </c>
      <c r="K19" s="100">
        <f t="shared" si="2"/>
        <v>78.77747670000001</v>
      </c>
    </row>
    <row r="20" spans="1:11" ht="15" customHeight="1">
      <c r="A20" s="93" t="s">
        <v>1126</v>
      </c>
      <c r="B20" s="95" t="str">
        <f t="shared" si="0"/>
        <v>03/24/06</v>
      </c>
      <c r="C20" s="96">
        <v>0.4777777777777778</v>
      </c>
      <c r="D20" s="97">
        <v>525</v>
      </c>
      <c r="E20" s="99">
        <f t="shared" si="1"/>
        <v>14.866346250000001</v>
      </c>
      <c r="F20" s="105">
        <v>5.3</v>
      </c>
      <c r="G20" s="99">
        <v>0.58</v>
      </c>
      <c r="H20" s="98">
        <v>0.01</v>
      </c>
      <c r="I20" s="99">
        <v>8.46</v>
      </c>
      <c r="J20" s="100">
        <v>37.49757291666666</v>
      </c>
      <c r="K20" s="100">
        <f t="shared" si="2"/>
        <v>78.791635125</v>
      </c>
    </row>
    <row r="21" spans="1:11" ht="15" customHeight="1">
      <c r="A21" s="93" t="s">
        <v>1127</v>
      </c>
      <c r="B21" s="95" t="str">
        <f t="shared" si="0"/>
        <v>04/20/06</v>
      </c>
      <c r="C21" s="96">
        <v>0.4798611111111111</v>
      </c>
      <c r="D21" s="97">
        <v>594</v>
      </c>
      <c r="E21" s="99">
        <f t="shared" si="1"/>
        <v>16.8202089</v>
      </c>
      <c r="F21" s="105">
        <v>5.25</v>
      </c>
      <c r="G21" s="99">
        <v>0.59</v>
      </c>
      <c r="H21" s="98">
        <v>0.01</v>
      </c>
      <c r="I21" s="99">
        <v>8.11</v>
      </c>
      <c r="J21" s="100">
        <v>39.40422916666667</v>
      </c>
      <c r="K21" s="100">
        <f t="shared" si="2"/>
        <v>88.306096725</v>
      </c>
    </row>
    <row r="22" spans="1:11" ht="15" customHeight="1">
      <c r="A22" s="93" t="s">
        <v>1128</v>
      </c>
      <c r="B22" s="95" t="str">
        <f t="shared" si="0"/>
        <v>05/10/06</v>
      </c>
      <c r="C22" s="96">
        <v>0.575</v>
      </c>
      <c r="D22" s="97">
        <v>1180</v>
      </c>
      <c r="E22" s="99">
        <f t="shared" si="1"/>
        <v>33.413883</v>
      </c>
      <c r="F22" s="105">
        <v>5.07</v>
      </c>
      <c r="G22" s="99">
        <v>0.55</v>
      </c>
      <c r="H22" s="98" t="s">
        <v>964</v>
      </c>
      <c r="I22" s="99">
        <v>8.17</v>
      </c>
      <c r="J22" s="100">
        <v>37.49757291666666</v>
      </c>
      <c r="K22" s="100">
        <f t="shared" si="2"/>
        <v>169.40838681</v>
      </c>
    </row>
    <row r="23" spans="1:11" ht="15" customHeight="1">
      <c r="A23" s="93" t="s">
        <v>1129</v>
      </c>
      <c r="B23" s="95" t="str">
        <f t="shared" si="0"/>
        <v>05/15/06</v>
      </c>
      <c r="C23" s="96">
        <v>0.5701388888888889</v>
      </c>
      <c r="D23" s="97">
        <v>1430</v>
      </c>
      <c r="E23" s="99">
        <f t="shared" si="1"/>
        <v>40.4930955</v>
      </c>
      <c r="F23" s="105">
        <v>5.06</v>
      </c>
      <c r="G23" s="99">
        <v>0.55</v>
      </c>
      <c r="H23" s="98" t="s">
        <v>964</v>
      </c>
      <c r="I23" s="99">
        <v>8.31</v>
      </c>
      <c r="J23" s="100">
        <v>37.81534895833334</v>
      </c>
      <c r="K23" s="100">
        <f t="shared" si="2"/>
        <v>204.89506323</v>
      </c>
    </row>
    <row r="24" spans="1:11" ht="15" customHeight="1">
      <c r="A24" s="93" t="s">
        <v>1130</v>
      </c>
      <c r="B24" s="95" t="str">
        <f t="shared" si="0"/>
        <v>05/23/06</v>
      </c>
      <c r="C24" s="96">
        <v>0.4979166666666666</v>
      </c>
      <c r="D24" s="97">
        <v>2980</v>
      </c>
      <c r="E24" s="99">
        <f t="shared" si="1"/>
        <v>84.384213</v>
      </c>
      <c r="F24" s="105">
        <v>4.98</v>
      </c>
      <c r="G24" s="99">
        <v>0.53</v>
      </c>
      <c r="H24" s="98" t="s">
        <v>964</v>
      </c>
      <c r="I24" s="99">
        <v>8.66</v>
      </c>
      <c r="J24" s="100">
        <v>37.179796875</v>
      </c>
      <c r="K24" s="100">
        <f t="shared" si="2"/>
        <v>420.23338074000003</v>
      </c>
    </row>
    <row r="25" spans="1:11" ht="15" customHeight="1">
      <c r="A25" s="93" t="s">
        <v>1131</v>
      </c>
      <c r="B25" s="95" t="str">
        <f t="shared" si="0"/>
        <v>06/02/06</v>
      </c>
      <c r="C25" s="96">
        <v>0.71875</v>
      </c>
      <c r="D25" s="97">
        <v>4040</v>
      </c>
      <c r="E25" s="99">
        <f t="shared" si="1"/>
        <v>114.400074</v>
      </c>
      <c r="F25" s="105">
        <v>4.84</v>
      </c>
      <c r="G25" s="99">
        <v>0.48</v>
      </c>
      <c r="H25" s="98" t="s">
        <v>964</v>
      </c>
      <c r="I25" s="99">
        <v>9.1</v>
      </c>
      <c r="J25" s="100">
        <v>36.22646875</v>
      </c>
      <c r="K25" s="100">
        <f t="shared" si="2"/>
        <v>553.69635816</v>
      </c>
    </row>
    <row r="26" spans="1:11" ht="15" customHeight="1">
      <c r="A26" s="93" t="s">
        <v>1132</v>
      </c>
      <c r="B26" s="95" t="str">
        <f t="shared" si="0"/>
        <v>06/05/06</v>
      </c>
      <c r="C26" s="96">
        <v>0.4201388888888889</v>
      </c>
      <c r="D26" s="97">
        <v>4230</v>
      </c>
      <c r="E26" s="99">
        <f t="shared" si="1"/>
        <v>119.7802755</v>
      </c>
      <c r="F26" s="105">
        <v>4.72</v>
      </c>
      <c r="G26" s="99">
        <v>0.49</v>
      </c>
      <c r="H26" s="98" t="s">
        <v>964</v>
      </c>
      <c r="I26" s="99">
        <v>7.93</v>
      </c>
      <c r="J26" s="100">
        <v>35.590916666666665</v>
      </c>
      <c r="K26" s="100">
        <f t="shared" si="2"/>
        <v>565.36290036</v>
      </c>
    </row>
    <row r="27" spans="1:11" ht="15" customHeight="1">
      <c r="A27" s="93" t="s">
        <v>781</v>
      </c>
      <c r="B27" s="95" t="str">
        <f t="shared" si="0"/>
        <v>06/14/06</v>
      </c>
      <c r="C27" s="96">
        <v>0.6097222222222222</v>
      </c>
      <c r="D27" s="97">
        <v>5100</v>
      </c>
      <c r="E27" s="99">
        <f t="shared" si="1"/>
        <v>144.41593500000002</v>
      </c>
      <c r="F27" s="105">
        <v>4.49</v>
      </c>
      <c r="G27" s="99">
        <v>0.5</v>
      </c>
      <c r="H27" s="98" t="s">
        <v>964</v>
      </c>
      <c r="I27" s="99">
        <v>7.46</v>
      </c>
      <c r="J27" s="100">
        <v>35.590916666666665</v>
      </c>
      <c r="K27" s="100">
        <f t="shared" si="2"/>
        <v>648.4275481500001</v>
      </c>
    </row>
    <row r="28" spans="1:12" ht="12.75">
      <c r="A28" s="93" t="s">
        <v>1133</v>
      </c>
      <c r="B28" s="95" t="str">
        <f>MID(A28,5,2)&amp;"/"&amp;MID(A28,7,2)&amp;"/"&amp;MID(A28,9,2)</f>
        <v>06/22/06</v>
      </c>
      <c r="C28" s="96">
        <v>0.66875</v>
      </c>
      <c r="D28" s="97">
        <v>4730</v>
      </c>
      <c r="E28" s="99">
        <f t="shared" si="1"/>
        <v>133.9387005</v>
      </c>
      <c r="F28" s="105">
        <v>4.89</v>
      </c>
      <c r="G28" s="99">
        <v>0.5</v>
      </c>
      <c r="H28" s="98" t="s">
        <v>964</v>
      </c>
      <c r="I28" s="99">
        <v>8.15</v>
      </c>
      <c r="J28" s="100">
        <v>35.114252604166666</v>
      </c>
      <c r="K28" s="100">
        <f t="shared" si="2"/>
        <v>654.960245445</v>
      </c>
      <c r="L28" s="10"/>
    </row>
    <row r="29" spans="1:12" ht="12.75">
      <c r="A29" s="93" t="s">
        <v>1134</v>
      </c>
      <c r="B29" s="95" t="str">
        <f aca="true" t="shared" si="3" ref="B29:B37">MID(A29,5,2)&amp;"/"&amp;MID(A29,7,2)&amp;"/"&amp;MID(A29,9,2)</f>
        <v>06/30/06</v>
      </c>
      <c r="C29" s="96">
        <v>0.2951388888888889</v>
      </c>
      <c r="D29" s="97">
        <v>4180</v>
      </c>
      <c r="E29" s="99">
        <f t="shared" si="1"/>
        <v>118.364433</v>
      </c>
      <c r="F29" s="105">
        <v>4.67</v>
      </c>
      <c r="G29" s="99">
        <v>0.53</v>
      </c>
      <c r="H29" s="98" t="s">
        <v>964</v>
      </c>
      <c r="I29" s="99">
        <v>7.43</v>
      </c>
      <c r="J29" s="100">
        <v>34.955364583333335</v>
      </c>
      <c r="K29" s="100">
        <f t="shared" si="2"/>
        <v>552.76190211</v>
      </c>
      <c r="L29" s="10"/>
    </row>
    <row r="30" spans="1:12" ht="12.75">
      <c r="A30" s="93" t="s">
        <v>1135</v>
      </c>
      <c r="B30" s="95" t="str">
        <f t="shared" si="3"/>
        <v>07/08/06</v>
      </c>
      <c r="C30" s="96">
        <v>0.7152777777777778</v>
      </c>
      <c r="D30" s="97">
        <v>3650</v>
      </c>
      <c r="E30" s="99">
        <f t="shared" si="1"/>
        <v>103.3565025</v>
      </c>
      <c r="F30" s="105">
        <v>4.56</v>
      </c>
      <c r="G30" s="99">
        <v>0.52</v>
      </c>
      <c r="H30" s="98" t="s">
        <v>964</v>
      </c>
      <c r="I30" s="99">
        <v>7.27</v>
      </c>
      <c r="J30" s="100">
        <v>34.478700520833335</v>
      </c>
      <c r="K30" s="100">
        <f t="shared" si="2"/>
        <v>471.3056514</v>
      </c>
      <c r="L30" s="10"/>
    </row>
    <row r="31" spans="1:12" ht="12.75">
      <c r="A31" s="93" t="s">
        <v>1136</v>
      </c>
      <c r="B31" s="95" t="str">
        <f t="shared" si="3"/>
        <v>07/11/06</v>
      </c>
      <c r="C31" s="96">
        <v>0.6298611111111111</v>
      </c>
      <c r="D31" s="97">
        <v>3420</v>
      </c>
      <c r="E31" s="99">
        <f t="shared" si="1"/>
        <v>96.843627</v>
      </c>
      <c r="F31" s="105">
        <v>4.66</v>
      </c>
      <c r="G31" s="99">
        <v>0.52</v>
      </c>
      <c r="H31" s="98" t="s">
        <v>964</v>
      </c>
      <c r="I31" s="99">
        <v>7.57</v>
      </c>
      <c r="J31" s="100">
        <v>34.478700520833335</v>
      </c>
      <c r="K31" s="100">
        <f t="shared" si="2"/>
        <v>451.29130182</v>
      </c>
      <c r="L31" s="10"/>
    </row>
    <row r="32" spans="1:12" ht="12.75">
      <c r="A32" s="93" t="s">
        <v>1137</v>
      </c>
      <c r="B32" s="95" t="str">
        <f t="shared" si="3"/>
        <v>08/01/06</v>
      </c>
      <c r="C32" s="96">
        <v>0.4680555555555555</v>
      </c>
      <c r="D32" s="97">
        <v>2040</v>
      </c>
      <c r="E32" s="99">
        <f t="shared" si="1"/>
        <v>57.766374</v>
      </c>
      <c r="F32" s="105">
        <v>4.61</v>
      </c>
      <c r="G32" s="99">
        <v>0.52</v>
      </c>
      <c r="H32" s="98">
        <v>0.01</v>
      </c>
      <c r="I32" s="99">
        <v>7.38</v>
      </c>
      <c r="J32" s="100">
        <v>35.908692708333334</v>
      </c>
      <c r="K32" s="100">
        <f t="shared" si="2"/>
        <v>266.30298414000004</v>
      </c>
      <c r="L32" s="10"/>
    </row>
    <row r="33" spans="1:12" ht="12.75">
      <c r="A33" s="93" t="s">
        <v>1138</v>
      </c>
      <c r="B33" s="95" t="str">
        <f t="shared" si="3"/>
        <v>08/03/06</v>
      </c>
      <c r="C33" s="96">
        <v>0.2951388888888889</v>
      </c>
      <c r="D33" s="97">
        <v>1950</v>
      </c>
      <c r="E33" s="99">
        <f t="shared" si="1"/>
        <v>55.2178575</v>
      </c>
      <c r="F33" s="105">
        <v>4.6</v>
      </c>
      <c r="G33" s="99">
        <v>0.53</v>
      </c>
      <c r="H33" s="98" t="s">
        <v>964</v>
      </c>
      <c r="I33" s="99">
        <v>7.37</v>
      </c>
      <c r="J33" s="100">
        <v>35.114252604166666</v>
      </c>
      <c r="K33" s="100">
        <f t="shared" si="2"/>
        <v>254.00214449999999</v>
      </c>
      <c r="L33" s="10"/>
    </row>
    <row r="34" spans="1:12" ht="12.75">
      <c r="A34" s="93" t="s">
        <v>1139</v>
      </c>
      <c r="B34" s="95" t="str">
        <f t="shared" si="3"/>
        <v>08/10/06</v>
      </c>
      <c r="C34" s="96">
        <v>0.6479166666666667</v>
      </c>
      <c r="D34" s="97">
        <v>1630</v>
      </c>
      <c r="E34" s="99">
        <f t="shared" si="1"/>
        <v>46.1564655</v>
      </c>
      <c r="F34" s="105">
        <v>4.7</v>
      </c>
      <c r="G34" s="99">
        <v>0.53</v>
      </c>
      <c r="H34" s="98" t="s">
        <v>964</v>
      </c>
      <c r="I34" s="99">
        <v>7.27</v>
      </c>
      <c r="J34" s="100">
        <v>36.067580729166664</v>
      </c>
      <c r="K34" s="100">
        <f t="shared" si="2"/>
        <v>216.93538785</v>
      </c>
      <c r="L34" s="10"/>
    </row>
    <row r="35" spans="1:12" ht="12.75">
      <c r="A35" s="93" t="s">
        <v>1140</v>
      </c>
      <c r="B35" s="95" t="str">
        <f t="shared" si="3"/>
        <v>08/14/06</v>
      </c>
      <c r="C35" s="96">
        <v>0.65625</v>
      </c>
      <c r="D35" s="97">
        <v>1480</v>
      </c>
      <c r="E35" s="99">
        <f t="shared" si="1"/>
        <v>41.908938</v>
      </c>
      <c r="F35" s="105">
        <v>4.64</v>
      </c>
      <c r="G35" s="99">
        <v>0.53</v>
      </c>
      <c r="H35" s="98" t="s">
        <v>964</v>
      </c>
      <c r="I35" s="99">
        <v>7.29</v>
      </c>
      <c r="J35" s="100">
        <v>35.908692708333334</v>
      </c>
      <c r="K35" s="100">
        <f t="shared" si="2"/>
        <v>194.45747232</v>
      </c>
      <c r="L35" s="10"/>
    </row>
    <row r="36" spans="1:12" ht="12.75">
      <c r="A36" s="93" t="s">
        <v>1141</v>
      </c>
      <c r="B36" s="95" t="str">
        <f t="shared" si="3"/>
        <v>09/01/06</v>
      </c>
      <c r="C36" s="96">
        <v>0.5208333333333334</v>
      </c>
      <c r="D36" s="97">
        <v>1000</v>
      </c>
      <c r="E36" s="99">
        <f t="shared" si="1"/>
        <v>28.316850000000002</v>
      </c>
      <c r="F36" s="105">
        <v>4.76</v>
      </c>
      <c r="G36" s="99">
        <v>0.54</v>
      </c>
      <c r="H36" s="98" t="s">
        <v>964</v>
      </c>
      <c r="I36" s="99">
        <v>7.48</v>
      </c>
      <c r="J36" s="100">
        <v>35.590916666666665</v>
      </c>
      <c r="K36" s="100">
        <f t="shared" si="2"/>
        <v>134.788206</v>
      </c>
      <c r="L36" s="10"/>
    </row>
    <row r="37" spans="1:12" ht="12.75">
      <c r="A37" s="93" t="s">
        <v>1142</v>
      </c>
      <c r="B37" s="95" t="str">
        <f t="shared" si="3"/>
        <v>09/07/06</v>
      </c>
      <c r="C37" s="96">
        <v>0.6493055555555556</v>
      </c>
      <c r="D37" s="97">
        <v>894</v>
      </c>
      <c r="E37" s="99">
        <f t="shared" si="1"/>
        <v>25.3152639</v>
      </c>
      <c r="F37" s="105">
        <v>4.77</v>
      </c>
      <c r="G37" s="99">
        <v>0.54</v>
      </c>
      <c r="H37" s="98">
        <v>0.01</v>
      </c>
      <c r="I37" s="99">
        <v>7.46</v>
      </c>
      <c r="J37" s="100">
        <v>36.38535677083334</v>
      </c>
      <c r="K37" s="100">
        <f t="shared" si="2"/>
        <v>120.753808803</v>
      </c>
      <c r="L37" s="10"/>
    </row>
    <row r="38" spans="1:24" ht="12.75">
      <c r="A38" s="14" t="s">
        <v>1268</v>
      </c>
      <c r="C38" s="96"/>
      <c r="E38" s="99"/>
      <c r="F38" s="105"/>
      <c r="G38" s="99"/>
      <c r="H38" s="98"/>
      <c r="I38" s="99"/>
      <c r="J38" s="100"/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2.75">
      <c r="A39" s="93" t="s">
        <v>1143</v>
      </c>
      <c r="B39" s="95">
        <v>38993.489583333336</v>
      </c>
      <c r="C39" s="96">
        <v>0.4895833333333333</v>
      </c>
      <c r="D39" s="97">
        <v>631</v>
      </c>
      <c r="E39" s="99">
        <f t="shared" si="1"/>
        <v>17.86793235</v>
      </c>
      <c r="F39" s="105">
        <v>4.99</v>
      </c>
      <c r="G39" s="99">
        <v>0.56</v>
      </c>
      <c r="H39" s="98" t="s">
        <v>964</v>
      </c>
      <c r="I39" s="99">
        <v>7.67</v>
      </c>
      <c r="J39" s="100">
        <v>37.02090885416667</v>
      </c>
      <c r="K39" s="100">
        <f t="shared" si="2"/>
        <v>89.1609824265</v>
      </c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4.25" customHeight="1">
      <c r="A40" s="93" t="s">
        <v>596</v>
      </c>
      <c r="B40" s="95">
        <v>39014.3375</v>
      </c>
      <c r="C40" s="96">
        <v>0.33749999999999997</v>
      </c>
      <c r="D40" s="97">
        <v>540</v>
      </c>
      <c r="E40" s="99">
        <f t="shared" si="1"/>
        <v>15.291099</v>
      </c>
      <c r="F40" s="99">
        <v>5.02</v>
      </c>
      <c r="G40" s="99">
        <v>0.56</v>
      </c>
      <c r="H40" s="98" t="s">
        <v>964</v>
      </c>
      <c r="I40" s="99">
        <v>7.92</v>
      </c>
      <c r="J40" s="100">
        <v>37.6564609375</v>
      </c>
      <c r="K40" s="100">
        <f t="shared" si="2"/>
        <v>76.76131698</v>
      </c>
      <c r="L40" s="36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2.75">
      <c r="A41" s="93" t="s">
        <v>597</v>
      </c>
      <c r="B41" s="95">
        <v>39035.48402777778</v>
      </c>
      <c r="C41" s="96">
        <v>0.4840277777777778</v>
      </c>
      <c r="D41" s="97">
        <v>470</v>
      </c>
      <c r="E41" s="99">
        <f t="shared" si="1"/>
        <v>13.3089195</v>
      </c>
      <c r="F41" s="99">
        <v>5.01</v>
      </c>
      <c r="G41" s="99">
        <v>0.56</v>
      </c>
      <c r="H41" s="98" t="s">
        <v>964</v>
      </c>
      <c r="I41" s="99">
        <v>7.74</v>
      </c>
      <c r="J41" s="100">
        <v>37.6564609375</v>
      </c>
      <c r="K41" s="100">
        <f t="shared" si="2"/>
        <v>66.67768669499999</v>
      </c>
      <c r="L41" s="3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2.75">
      <c r="A42" s="93" t="s">
        <v>598</v>
      </c>
      <c r="B42" s="95">
        <v>39063.50208333333</v>
      </c>
      <c r="C42" s="96">
        <v>0.5020833333333333</v>
      </c>
      <c r="D42" s="97">
        <v>403</v>
      </c>
      <c r="E42" s="99">
        <f t="shared" si="1"/>
        <v>11.411690550000001</v>
      </c>
      <c r="F42" s="99">
        <v>5.27</v>
      </c>
      <c r="G42" s="99">
        <v>0.57</v>
      </c>
      <c r="H42" s="98">
        <v>0.01</v>
      </c>
      <c r="I42" s="99">
        <v>8.31</v>
      </c>
      <c r="J42" s="100">
        <v>38.6097890625</v>
      </c>
      <c r="K42" s="100">
        <f t="shared" si="2"/>
        <v>60.139609198500004</v>
      </c>
      <c r="L42" s="36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2.75">
      <c r="A43" s="93" t="s">
        <v>599</v>
      </c>
      <c r="B43" s="95">
        <v>39099.563888888886</v>
      </c>
      <c r="C43" s="96">
        <v>0.5638888888888889</v>
      </c>
      <c r="D43" s="97">
        <v>488</v>
      </c>
      <c r="E43" s="99">
        <f t="shared" si="1"/>
        <v>13.8186228</v>
      </c>
      <c r="F43" s="99">
        <v>5.32</v>
      </c>
      <c r="G43" s="99">
        <v>0.6</v>
      </c>
      <c r="H43" s="98">
        <v>0.01</v>
      </c>
      <c r="I43" s="99">
        <v>10.9</v>
      </c>
      <c r="J43" s="100">
        <v>36.22646875</v>
      </c>
      <c r="K43" s="100">
        <f t="shared" si="2"/>
        <v>73.515073296</v>
      </c>
      <c r="L43" s="36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2.75">
      <c r="A44" s="93" t="s">
        <v>647</v>
      </c>
      <c r="B44" s="95">
        <v>39125.57430555556</v>
      </c>
      <c r="C44" s="96" t="str">
        <f>HOUR(B44)&amp;":"&amp;MINUTE(B44)</f>
        <v>13:47</v>
      </c>
      <c r="D44" s="97">
        <v>484</v>
      </c>
      <c r="E44" s="99">
        <f t="shared" si="1"/>
        <v>13.7053554</v>
      </c>
      <c r="F44" s="99">
        <v>5.35</v>
      </c>
      <c r="G44" s="99">
        <v>0.6</v>
      </c>
      <c r="H44" s="98">
        <v>0.01</v>
      </c>
      <c r="I44" s="99">
        <v>8.28</v>
      </c>
      <c r="J44" s="97">
        <v>39</v>
      </c>
      <c r="K44" s="100">
        <f t="shared" si="2"/>
        <v>73.32365139</v>
      </c>
      <c r="L44" s="36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5">
      <c r="A45" s="93" t="s">
        <v>648</v>
      </c>
      <c r="B45" s="95">
        <v>39163.52777777778</v>
      </c>
      <c r="C45" s="96">
        <f aca="true" t="shared" si="4" ref="C45:C53">B45</f>
        <v>39163.52777777778</v>
      </c>
      <c r="D45" s="97">
        <v>448</v>
      </c>
      <c r="E45" s="99">
        <f t="shared" si="1"/>
        <v>12.6859488</v>
      </c>
      <c r="F45" s="99">
        <v>5.47</v>
      </c>
      <c r="G45" s="99">
        <v>0.61</v>
      </c>
      <c r="H45" s="98">
        <v>0.01</v>
      </c>
      <c r="I45" s="99">
        <v>8.98</v>
      </c>
      <c r="J45" s="97" t="s">
        <v>608</v>
      </c>
      <c r="K45" s="100">
        <f t="shared" si="2"/>
        <v>69.39213993599999</v>
      </c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>
      <c r="A46" s="93" t="s">
        <v>649</v>
      </c>
      <c r="B46" s="95">
        <v>39188.49652777778</v>
      </c>
      <c r="C46" s="96">
        <f t="shared" si="4"/>
        <v>39188.49652777778</v>
      </c>
      <c r="D46" s="97">
        <v>488</v>
      </c>
      <c r="E46" s="99">
        <f aca="true" t="shared" si="5" ref="E46:E55">D46*0.02831685</f>
        <v>13.8186228</v>
      </c>
      <c r="F46" s="99">
        <v>5.19</v>
      </c>
      <c r="G46" s="99">
        <v>0.59</v>
      </c>
      <c r="H46" s="98">
        <v>0.01</v>
      </c>
      <c r="I46" s="99">
        <v>8.05</v>
      </c>
      <c r="J46" s="97">
        <v>38</v>
      </c>
      <c r="K46" s="100">
        <f aca="true" t="shared" si="6" ref="K46:K55">E46*F46</f>
        <v>71.718652332</v>
      </c>
      <c r="L46" s="36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5">
      <c r="A47" s="93" t="s">
        <v>458</v>
      </c>
      <c r="B47" s="95">
        <v>39205.625</v>
      </c>
      <c r="C47" s="96">
        <f t="shared" si="4"/>
        <v>39205.625</v>
      </c>
      <c r="D47" s="100">
        <v>894</v>
      </c>
      <c r="E47" s="99">
        <f t="shared" si="5"/>
        <v>25.3152639</v>
      </c>
      <c r="F47" s="99">
        <v>3.24</v>
      </c>
      <c r="G47" s="99">
        <v>0.49</v>
      </c>
      <c r="H47" s="98" t="s">
        <v>964</v>
      </c>
      <c r="I47" s="99">
        <v>5.73</v>
      </c>
      <c r="J47" s="100">
        <v>27.169851562500003</v>
      </c>
      <c r="K47" s="100">
        <f t="shared" si="6"/>
        <v>82.021455036</v>
      </c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5">
      <c r="A48" s="93" t="s">
        <v>459</v>
      </c>
      <c r="B48" s="95">
        <v>39210.395833333336</v>
      </c>
      <c r="C48" s="96">
        <f t="shared" si="4"/>
        <v>39210.395833333336</v>
      </c>
      <c r="D48" s="100">
        <v>1050</v>
      </c>
      <c r="E48" s="99">
        <f t="shared" si="5"/>
        <v>29.732692500000002</v>
      </c>
      <c r="F48" s="99">
        <v>4.75</v>
      </c>
      <c r="G48" s="99">
        <v>0.55</v>
      </c>
      <c r="H48" s="98" t="s">
        <v>964</v>
      </c>
      <c r="I48" s="99">
        <v>8.04</v>
      </c>
      <c r="J48" s="100">
        <v>35.749804687499996</v>
      </c>
      <c r="K48" s="100">
        <f t="shared" si="6"/>
        <v>141.230289375</v>
      </c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5">
      <c r="A49" s="93" t="s">
        <v>460</v>
      </c>
      <c r="B49" s="95">
        <v>39216.53125</v>
      </c>
      <c r="C49" s="96">
        <f t="shared" si="4"/>
        <v>39216.53125</v>
      </c>
      <c r="D49" s="100">
        <v>1570</v>
      </c>
      <c r="E49" s="99">
        <f t="shared" si="5"/>
        <v>44.457454500000004</v>
      </c>
      <c r="F49" s="99">
        <v>5.13</v>
      </c>
      <c r="G49" s="99">
        <v>0.54</v>
      </c>
      <c r="H49" s="98">
        <v>0.02</v>
      </c>
      <c r="I49" s="99">
        <v>8.84</v>
      </c>
      <c r="J49" s="100">
        <v>37.49757291666666</v>
      </c>
      <c r="K49" s="100">
        <f t="shared" si="6"/>
        <v>228.06674158500002</v>
      </c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5">
      <c r="A50" s="93" t="s">
        <v>461</v>
      </c>
      <c r="B50" s="95">
        <v>39233.635416666664</v>
      </c>
      <c r="C50" s="96">
        <f t="shared" si="4"/>
        <v>39233.635416666664</v>
      </c>
      <c r="D50" s="100">
        <v>2400</v>
      </c>
      <c r="E50" s="99">
        <f t="shared" si="5"/>
        <v>67.96044</v>
      </c>
      <c r="F50" s="99">
        <v>5.09</v>
      </c>
      <c r="G50" s="99">
        <v>0.57</v>
      </c>
      <c r="H50" s="98" t="s">
        <v>964</v>
      </c>
      <c r="I50" s="99">
        <v>7.99</v>
      </c>
      <c r="J50" s="100">
        <v>37.49757291666666</v>
      </c>
      <c r="K50" s="100">
        <f t="shared" si="6"/>
        <v>345.9186396</v>
      </c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5.75">
      <c r="A51" s="93" t="s">
        <v>462</v>
      </c>
      <c r="B51" s="95">
        <v>39245.674305555556</v>
      </c>
      <c r="C51" s="96">
        <f t="shared" si="4"/>
        <v>39245.674305555556</v>
      </c>
      <c r="D51" s="100">
        <v>2680</v>
      </c>
      <c r="E51" s="99">
        <f t="shared" si="5"/>
        <v>75.88915800000001</v>
      </c>
      <c r="F51" s="99">
        <v>5.58</v>
      </c>
      <c r="G51" s="99">
        <v>0.49</v>
      </c>
      <c r="H51" s="98">
        <v>0.02</v>
      </c>
      <c r="I51" s="99">
        <v>12.2</v>
      </c>
      <c r="J51" s="100">
        <v>39.40422916666667</v>
      </c>
      <c r="K51" s="100">
        <f t="shared" si="6"/>
        <v>423.46150164000005</v>
      </c>
      <c r="L51" s="3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11" ht="12.75">
      <c r="A52" s="93" t="s">
        <v>531</v>
      </c>
      <c r="B52" s="95">
        <v>39272.54861111111</v>
      </c>
      <c r="C52" s="96">
        <f t="shared" si="4"/>
        <v>39272.54861111111</v>
      </c>
      <c r="D52" s="100">
        <v>2070</v>
      </c>
      <c r="E52" s="99">
        <f t="shared" si="5"/>
        <v>58.615879500000005</v>
      </c>
      <c r="F52" s="99">
        <v>5.14</v>
      </c>
      <c r="G52" s="99">
        <v>0.52</v>
      </c>
      <c r="H52" s="98">
        <v>0.03</v>
      </c>
      <c r="I52" s="99">
        <v>8.74</v>
      </c>
      <c r="J52" s="100">
        <v>36.86202083333334</v>
      </c>
      <c r="K52" s="100">
        <f t="shared" si="6"/>
        <v>301.28562063</v>
      </c>
    </row>
    <row r="53" spans="1:11" ht="12.75">
      <c r="A53" s="93" t="s">
        <v>532</v>
      </c>
      <c r="B53" s="95">
        <v>39302.631944444445</v>
      </c>
      <c r="C53" s="96">
        <f t="shared" si="4"/>
        <v>39302.631944444445</v>
      </c>
      <c r="D53" s="100">
        <v>1130</v>
      </c>
      <c r="E53" s="99">
        <f t="shared" si="5"/>
        <v>31.998040500000002</v>
      </c>
      <c r="F53" s="99">
        <v>4.92</v>
      </c>
      <c r="G53" s="99">
        <v>0.55</v>
      </c>
      <c r="H53" s="98">
        <v>0.02</v>
      </c>
      <c r="I53" s="99">
        <v>7.67</v>
      </c>
      <c r="J53" s="100">
        <v>36.38535677083334</v>
      </c>
      <c r="K53" s="100">
        <f t="shared" si="6"/>
        <v>157.43035926000002</v>
      </c>
    </row>
    <row r="54" spans="1:11" ht="12.75">
      <c r="A54" s="93" t="s">
        <v>379</v>
      </c>
      <c r="B54" s="95">
        <v>39330</v>
      </c>
      <c r="C54" s="96" t="s">
        <v>784</v>
      </c>
      <c r="D54" s="100">
        <v>738</v>
      </c>
      <c r="E54" s="99">
        <f t="shared" si="5"/>
        <v>20.8978353</v>
      </c>
      <c r="F54" s="99">
        <v>5.02</v>
      </c>
      <c r="G54" s="99">
        <v>0.56</v>
      </c>
      <c r="H54" s="98">
        <v>0.02</v>
      </c>
      <c r="I54" s="99">
        <v>7.77</v>
      </c>
      <c r="J54" s="100">
        <v>36.7031328125</v>
      </c>
      <c r="K54" s="100">
        <f t="shared" si="6"/>
        <v>104.907133206</v>
      </c>
    </row>
    <row r="55" spans="1:11" ht="12.75">
      <c r="A55" s="93" t="s">
        <v>533</v>
      </c>
      <c r="B55" s="95">
        <v>39335.697916666664</v>
      </c>
      <c r="C55" s="96">
        <f>B55</f>
        <v>39335.697916666664</v>
      </c>
      <c r="D55" s="100">
        <v>680</v>
      </c>
      <c r="E55" s="99">
        <f t="shared" si="5"/>
        <v>19.255458</v>
      </c>
      <c r="F55" s="99">
        <v>5.07</v>
      </c>
      <c r="G55" s="99">
        <v>0.55</v>
      </c>
      <c r="H55" s="98" t="s">
        <v>964</v>
      </c>
      <c r="I55" s="99">
        <v>7.91</v>
      </c>
      <c r="J55" s="100">
        <v>36.54424479166667</v>
      </c>
      <c r="K55" s="100">
        <f t="shared" si="6"/>
        <v>97.62517206000001</v>
      </c>
    </row>
    <row r="56" spans="1:9" ht="13.5" customHeight="1">
      <c r="A56" s="82" t="s">
        <v>384</v>
      </c>
      <c r="C56" s="96"/>
      <c r="D56" s="100"/>
      <c r="E56" s="99"/>
      <c r="F56" s="105"/>
      <c r="G56" s="99"/>
      <c r="H56" s="98"/>
      <c r="I56" s="99"/>
    </row>
    <row r="57" spans="1:11" ht="12.75">
      <c r="A57" s="86" t="s">
        <v>192</v>
      </c>
      <c r="B57" s="95">
        <v>39358.479166666664</v>
      </c>
      <c r="C57" s="117">
        <f>B57</f>
        <v>39358.479166666664</v>
      </c>
      <c r="D57" s="97">
        <v>507</v>
      </c>
      <c r="E57" s="87">
        <f aca="true" t="shared" si="7" ref="E57:E76">D57*0.02831685</f>
        <v>14.356642950000001</v>
      </c>
      <c r="F57" s="99">
        <v>5.13</v>
      </c>
      <c r="G57" s="99">
        <v>0.59</v>
      </c>
      <c r="H57" s="98" t="s">
        <v>964</v>
      </c>
      <c r="I57" s="99">
        <v>7.74</v>
      </c>
      <c r="J57" s="118">
        <v>38</v>
      </c>
      <c r="K57" s="88">
        <f aca="true" t="shared" si="8" ref="K57:K75">E57*F57</f>
        <v>73.6495783335</v>
      </c>
    </row>
    <row r="58" spans="1:11" ht="12.75">
      <c r="A58" s="86" t="s">
        <v>193</v>
      </c>
      <c r="B58" s="95">
        <v>39373.614583333336</v>
      </c>
      <c r="C58" s="117">
        <f>B58</f>
        <v>39373.614583333336</v>
      </c>
      <c r="D58" s="97">
        <v>490</v>
      </c>
      <c r="E58" s="87">
        <f t="shared" si="7"/>
        <v>13.8752565</v>
      </c>
      <c r="F58" s="99">
        <v>5.11</v>
      </c>
      <c r="G58" s="99">
        <v>0.58</v>
      </c>
      <c r="H58" s="98" t="s">
        <v>964</v>
      </c>
      <c r="I58" s="99">
        <v>7.79</v>
      </c>
      <c r="J58" s="118">
        <v>38</v>
      </c>
      <c r="K58" s="88">
        <f t="shared" si="8"/>
        <v>70.902560715</v>
      </c>
    </row>
    <row r="59" spans="1:11" ht="12.75">
      <c r="A59" s="86" t="s">
        <v>194</v>
      </c>
      <c r="B59" s="95">
        <v>39552.42916666667</v>
      </c>
      <c r="C59" s="117">
        <f>B59</f>
        <v>39552.42916666667</v>
      </c>
      <c r="D59" s="97">
        <v>597</v>
      </c>
      <c r="E59" s="87">
        <f t="shared" si="7"/>
        <v>16.90515945</v>
      </c>
      <c r="F59" s="99">
        <v>5.28</v>
      </c>
      <c r="G59" s="99">
        <v>0.59</v>
      </c>
      <c r="H59" s="98" t="s">
        <v>964</v>
      </c>
      <c r="I59" s="99">
        <v>8.19</v>
      </c>
      <c r="J59" s="118">
        <v>39</v>
      </c>
      <c r="K59" s="88">
        <f t="shared" si="8"/>
        <v>89.259241896</v>
      </c>
    </row>
    <row r="60" spans="1:11" ht="12.75">
      <c r="A60" s="86" t="s">
        <v>195</v>
      </c>
      <c r="B60" s="95">
        <v>39574</v>
      </c>
      <c r="C60" s="117"/>
      <c r="D60" s="97">
        <v>619</v>
      </c>
      <c r="E60" s="87">
        <f t="shared" si="7"/>
        <v>17.52813015</v>
      </c>
      <c r="F60" s="99">
        <v>5.44</v>
      </c>
      <c r="G60" s="99">
        <v>0.61</v>
      </c>
      <c r="H60" s="98" t="s">
        <v>964</v>
      </c>
      <c r="I60" s="99">
        <v>8.45</v>
      </c>
      <c r="J60" s="118">
        <v>40</v>
      </c>
      <c r="K60" s="88">
        <f t="shared" si="8"/>
        <v>95.353028016</v>
      </c>
    </row>
    <row r="61" spans="1:11" ht="12.75">
      <c r="A61" s="86" t="s">
        <v>196</v>
      </c>
      <c r="B61" s="95">
        <v>39587.635416666664</v>
      </c>
      <c r="C61" s="117">
        <f>B61</f>
        <v>39587.635416666664</v>
      </c>
      <c r="D61" s="88">
        <v>1100</v>
      </c>
      <c r="E61" s="87">
        <f t="shared" si="7"/>
        <v>31.148535000000003</v>
      </c>
      <c r="F61" s="87">
        <v>5</v>
      </c>
      <c r="G61" s="87">
        <v>0.56</v>
      </c>
      <c r="H61" s="98" t="s">
        <v>964</v>
      </c>
      <c r="I61" s="87">
        <v>8.06</v>
      </c>
      <c r="J61" s="118">
        <v>37</v>
      </c>
      <c r="K61" s="88">
        <f t="shared" si="8"/>
        <v>155.74267500000002</v>
      </c>
    </row>
    <row r="62" spans="1:11" ht="12.75">
      <c r="A62" s="86" t="s">
        <v>197</v>
      </c>
      <c r="B62" s="95">
        <v>39595.65625</v>
      </c>
      <c r="C62" s="117">
        <f>B62</f>
        <v>39595.65625</v>
      </c>
      <c r="D62" s="88">
        <v>2200</v>
      </c>
      <c r="E62" s="87">
        <f t="shared" si="7"/>
        <v>62.297070000000005</v>
      </c>
      <c r="F62" s="87">
        <v>5.06</v>
      </c>
      <c r="G62" s="87">
        <v>0.55</v>
      </c>
      <c r="H62" s="98" t="s">
        <v>964</v>
      </c>
      <c r="I62" s="87">
        <v>8.77</v>
      </c>
      <c r="J62" s="118">
        <v>38</v>
      </c>
      <c r="K62" s="88">
        <f t="shared" si="8"/>
        <v>315.2231742</v>
      </c>
    </row>
    <row r="63" spans="1:11" ht="12.75">
      <c r="A63" s="86" t="s">
        <v>198</v>
      </c>
      <c r="B63" s="95">
        <v>39601.489583333336</v>
      </c>
      <c r="C63" s="117">
        <f>B63</f>
        <v>39601.489583333336</v>
      </c>
      <c r="D63" s="88">
        <v>2800</v>
      </c>
      <c r="E63" s="87">
        <f t="shared" si="7"/>
        <v>79.28718</v>
      </c>
      <c r="F63" s="99">
        <v>4.94</v>
      </c>
      <c r="G63" s="99">
        <v>0.53</v>
      </c>
      <c r="H63" s="98" t="s">
        <v>964</v>
      </c>
      <c r="I63" s="99">
        <v>8.66</v>
      </c>
      <c r="J63" s="118">
        <v>37</v>
      </c>
      <c r="K63" s="88">
        <f t="shared" si="8"/>
        <v>391.67866920000006</v>
      </c>
    </row>
    <row r="64" spans="1:11" ht="12.75">
      <c r="A64" s="86" t="s">
        <v>199</v>
      </c>
      <c r="B64" s="95">
        <v>39609.427083333336</v>
      </c>
      <c r="C64" s="117">
        <f aca="true" t="shared" si="9" ref="C64:C76">B64</f>
        <v>39609.427083333336</v>
      </c>
      <c r="D64" s="88">
        <v>3870</v>
      </c>
      <c r="E64" s="87">
        <f t="shared" si="7"/>
        <v>109.58620950000001</v>
      </c>
      <c r="F64" s="99">
        <v>5.09</v>
      </c>
      <c r="G64" s="99">
        <v>0.54</v>
      </c>
      <c r="H64" s="98" t="s">
        <v>964</v>
      </c>
      <c r="I64" s="99">
        <v>8.87</v>
      </c>
      <c r="J64" s="118">
        <v>38</v>
      </c>
      <c r="K64" s="88">
        <f t="shared" si="8"/>
        <v>557.793806355</v>
      </c>
    </row>
    <row r="65" spans="1:11" ht="12.75">
      <c r="A65" s="86" t="s">
        <v>200</v>
      </c>
      <c r="B65" s="95">
        <v>39616.697916666664</v>
      </c>
      <c r="C65" s="117">
        <f t="shared" si="9"/>
        <v>39616.697916666664</v>
      </c>
      <c r="D65" s="88">
        <v>4240</v>
      </c>
      <c r="E65" s="87">
        <f t="shared" si="7"/>
        <v>120.063444</v>
      </c>
      <c r="F65" s="99">
        <v>5.04</v>
      </c>
      <c r="G65" s="99">
        <v>0.55</v>
      </c>
      <c r="H65" s="98" t="s">
        <v>964</v>
      </c>
      <c r="I65" s="99">
        <v>8.28</v>
      </c>
      <c r="J65" s="118">
        <v>37</v>
      </c>
      <c r="K65" s="88">
        <f t="shared" si="8"/>
        <v>605.11975776</v>
      </c>
    </row>
    <row r="66" spans="1:11" ht="12.75">
      <c r="A66" s="86" t="s">
        <v>201</v>
      </c>
      <c r="B66" s="95">
        <v>39623.604166666664</v>
      </c>
      <c r="C66" s="117">
        <f t="shared" si="9"/>
        <v>39623.604166666664</v>
      </c>
      <c r="D66" s="88">
        <v>5640</v>
      </c>
      <c r="E66" s="87">
        <f t="shared" si="7"/>
        <v>159.707034</v>
      </c>
      <c r="F66" s="99">
        <v>4.88</v>
      </c>
      <c r="G66" s="99">
        <v>0.5</v>
      </c>
      <c r="H66" s="98" t="s">
        <v>964</v>
      </c>
      <c r="I66" s="99">
        <v>8.44</v>
      </c>
      <c r="J66" s="118">
        <v>36</v>
      </c>
      <c r="K66" s="88">
        <f t="shared" si="8"/>
        <v>779.3703259199999</v>
      </c>
    </row>
    <row r="67" spans="1:11" ht="12.75">
      <c r="A67" s="86" t="s">
        <v>202</v>
      </c>
      <c r="B67" s="95">
        <v>39630.708333333336</v>
      </c>
      <c r="C67" s="117">
        <f t="shared" si="9"/>
        <v>39630.708333333336</v>
      </c>
      <c r="D67" s="88">
        <v>6740</v>
      </c>
      <c r="E67" s="87">
        <f t="shared" si="7"/>
        <v>190.855569</v>
      </c>
      <c r="F67" s="99">
        <v>4.78</v>
      </c>
      <c r="G67" s="99">
        <v>0.5</v>
      </c>
      <c r="H67" s="98" t="s">
        <v>964</v>
      </c>
      <c r="I67" s="99">
        <v>8.13</v>
      </c>
      <c r="J67" s="118">
        <v>36</v>
      </c>
      <c r="K67" s="88">
        <f t="shared" si="8"/>
        <v>912.2896198200001</v>
      </c>
    </row>
    <row r="68" spans="1:11" ht="12.75">
      <c r="A68" s="86" t="s">
        <v>203</v>
      </c>
      <c r="B68" s="95">
        <v>39637.979166666664</v>
      </c>
      <c r="C68" s="117">
        <f t="shared" si="9"/>
        <v>39637.979166666664</v>
      </c>
      <c r="D68" s="88">
        <v>7020</v>
      </c>
      <c r="E68" s="87">
        <f t="shared" si="7"/>
        <v>198.784287</v>
      </c>
      <c r="F68" s="99">
        <v>4.36</v>
      </c>
      <c r="G68" s="99">
        <v>0.47</v>
      </c>
      <c r="H68" s="98" t="s">
        <v>964</v>
      </c>
      <c r="I68" s="99">
        <v>7.92</v>
      </c>
      <c r="J68" s="118">
        <v>35</v>
      </c>
      <c r="K68" s="88">
        <f t="shared" si="8"/>
        <v>866.6994913200001</v>
      </c>
    </row>
    <row r="69" spans="1:11" ht="12.75">
      <c r="A69" s="86" t="s">
        <v>204</v>
      </c>
      <c r="B69" s="95">
        <v>39644.510416666664</v>
      </c>
      <c r="C69" s="117">
        <f t="shared" si="9"/>
        <v>39644.510416666664</v>
      </c>
      <c r="D69" s="88">
        <v>6260</v>
      </c>
      <c r="E69" s="87">
        <f t="shared" si="7"/>
        <v>177.263481</v>
      </c>
      <c r="F69" s="99">
        <v>4.94</v>
      </c>
      <c r="G69" s="99">
        <v>0.51</v>
      </c>
      <c r="H69" s="98" t="s">
        <v>964</v>
      </c>
      <c r="I69" s="99">
        <v>8.3</v>
      </c>
      <c r="J69" s="118">
        <v>37</v>
      </c>
      <c r="K69" s="88">
        <f t="shared" si="8"/>
        <v>875.6815961400001</v>
      </c>
    </row>
    <row r="70" spans="1:11" ht="12.75">
      <c r="A70" s="86" t="s">
        <v>205</v>
      </c>
      <c r="B70" s="95">
        <v>39651.479166666664</v>
      </c>
      <c r="C70" s="117">
        <f t="shared" si="9"/>
        <v>39651.479166666664</v>
      </c>
      <c r="D70" s="88">
        <v>5410</v>
      </c>
      <c r="E70" s="87">
        <f t="shared" si="7"/>
        <v>153.19415850000001</v>
      </c>
      <c r="F70" s="99">
        <v>4.75</v>
      </c>
      <c r="G70" s="99">
        <v>0.52</v>
      </c>
      <c r="H70" s="98" t="s">
        <v>964</v>
      </c>
      <c r="I70" s="99">
        <v>7.79</v>
      </c>
      <c r="J70" s="118">
        <v>35</v>
      </c>
      <c r="K70" s="88">
        <f t="shared" si="8"/>
        <v>727.672252875</v>
      </c>
    </row>
    <row r="71" spans="1:11" ht="12.75">
      <c r="A71" s="86" t="s">
        <v>206</v>
      </c>
      <c r="B71" s="95">
        <v>39658.489583333336</v>
      </c>
      <c r="C71" s="117">
        <f t="shared" si="9"/>
        <v>39658.489583333336</v>
      </c>
      <c r="D71" s="88">
        <v>4640</v>
      </c>
      <c r="E71" s="87">
        <f t="shared" si="7"/>
        <v>131.390184</v>
      </c>
      <c r="F71" s="99">
        <v>4.71</v>
      </c>
      <c r="G71" s="99">
        <v>0.51</v>
      </c>
      <c r="H71" s="98" t="s">
        <v>964</v>
      </c>
      <c r="I71" s="99">
        <v>7.46</v>
      </c>
      <c r="J71" s="97">
        <v>37</v>
      </c>
      <c r="K71" s="88">
        <f t="shared" si="8"/>
        <v>618.84776664</v>
      </c>
    </row>
    <row r="72" spans="1:11" ht="12.75">
      <c r="A72" s="86" t="s">
        <v>207</v>
      </c>
      <c r="B72" s="95">
        <v>39665.520833333336</v>
      </c>
      <c r="C72" s="117">
        <f t="shared" si="9"/>
        <v>39665.520833333336</v>
      </c>
      <c r="D72" s="88">
        <v>3810</v>
      </c>
      <c r="E72" s="87">
        <f t="shared" si="7"/>
        <v>107.88719850000001</v>
      </c>
      <c r="F72" s="99">
        <v>4.81</v>
      </c>
      <c r="G72" s="99">
        <v>0.52</v>
      </c>
      <c r="H72" s="98" t="s">
        <v>964</v>
      </c>
      <c r="I72" s="99">
        <v>7.71</v>
      </c>
      <c r="J72" s="97">
        <v>36</v>
      </c>
      <c r="K72" s="88">
        <f t="shared" si="8"/>
        <v>518.937424785</v>
      </c>
    </row>
    <row r="73" spans="1:11" ht="12.75">
      <c r="A73" s="86" t="s">
        <v>208</v>
      </c>
      <c r="B73" s="95">
        <v>39679.510416666664</v>
      </c>
      <c r="C73" s="117">
        <f t="shared" si="9"/>
        <v>39679.510416666664</v>
      </c>
      <c r="D73" s="88">
        <v>2600</v>
      </c>
      <c r="E73" s="87">
        <f t="shared" si="7"/>
        <v>73.62381</v>
      </c>
      <c r="F73" s="99">
        <v>4.74</v>
      </c>
      <c r="G73" s="99">
        <v>0.53</v>
      </c>
      <c r="H73" s="98" t="s">
        <v>964</v>
      </c>
      <c r="I73" s="99">
        <v>7.36</v>
      </c>
      <c r="J73" s="97">
        <v>37</v>
      </c>
      <c r="K73" s="88">
        <f t="shared" si="8"/>
        <v>348.9768594</v>
      </c>
    </row>
    <row r="74" spans="1:11" ht="12.75">
      <c r="A74" s="86" t="s">
        <v>209</v>
      </c>
      <c r="B74" s="95">
        <v>39694.59375</v>
      </c>
      <c r="C74" s="117">
        <f t="shared" si="9"/>
        <v>39694.59375</v>
      </c>
      <c r="D74" s="88">
        <v>1770</v>
      </c>
      <c r="E74" s="87">
        <f t="shared" si="7"/>
        <v>50.120824500000005</v>
      </c>
      <c r="F74" s="99">
        <v>4.86</v>
      </c>
      <c r="G74" s="99">
        <v>0.55</v>
      </c>
      <c r="H74" s="98" t="s">
        <v>964</v>
      </c>
      <c r="I74" s="99">
        <v>7.58</v>
      </c>
      <c r="J74" s="97">
        <v>37</v>
      </c>
      <c r="K74" s="88">
        <f>E74*F74</f>
        <v>243.58720707000003</v>
      </c>
    </row>
    <row r="75" spans="1:11" ht="12.75">
      <c r="A75" s="86" t="s">
        <v>210</v>
      </c>
      <c r="B75" s="95">
        <v>39707.416666666664</v>
      </c>
      <c r="C75" s="117">
        <f t="shared" si="9"/>
        <v>39707.416666666664</v>
      </c>
      <c r="D75" s="88">
        <v>1350</v>
      </c>
      <c r="E75" s="87">
        <f t="shared" si="7"/>
        <v>38.2277475</v>
      </c>
      <c r="F75" s="99">
        <v>5</v>
      </c>
      <c r="G75" s="99">
        <v>0.55</v>
      </c>
      <c r="H75" s="98" t="s">
        <v>964</v>
      </c>
      <c r="I75" s="99">
        <v>7.91</v>
      </c>
      <c r="J75" s="97">
        <v>37</v>
      </c>
      <c r="K75" s="88">
        <f t="shared" si="8"/>
        <v>191.1387375</v>
      </c>
    </row>
    <row r="76" spans="1:11" ht="12.75">
      <c r="A76" s="86" t="s">
        <v>211</v>
      </c>
      <c r="B76" s="95">
        <v>39721.59375</v>
      </c>
      <c r="C76" s="117">
        <f t="shared" si="9"/>
        <v>39721.59375</v>
      </c>
      <c r="D76" s="97">
        <v>1050</v>
      </c>
      <c r="E76" s="87">
        <f t="shared" si="7"/>
        <v>29.732692500000002</v>
      </c>
      <c r="F76" s="99">
        <v>5.03</v>
      </c>
      <c r="G76" s="99">
        <v>0.56</v>
      </c>
      <c r="H76" s="98" t="s">
        <v>964</v>
      </c>
      <c r="I76" s="99">
        <v>7.88</v>
      </c>
      <c r="J76" s="97">
        <v>37</v>
      </c>
      <c r="K76" s="88">
        <f>E76*F76</f>
        <v>149.55544327500002</v>
      </c>
    </row>
    <row r="77" spans="1:11" ht="12.75">
      <c r="A77" s="147" t="s">
        <v>1685</v>
      </c>
      <c r="B77" s="156"/>
      <c r="C77" s="148"/>
      <c r="D77" s="149"/>
      <c r="E77" s="150"/>
      <c r="F77" s="151"/>
      <c r="G77" s="152"/>
      <c r="H77" s="153"/>
      <c r="I77" s="152"/>
      <c r="J77" s="154"/>
      <c r="K77" s="154"/>
    </row>
    <row r="78" spans="1:11" ht="15">
      <c r="A78" s="24" t="s">
        <v>1741</v>
      </c>
      <c r="B78" s="8">
        <v>39736.864583333336</v>
      </c>
      <c r="C78" s="138">
        <v>39736.864583333336</v>
      </c>
      <c r="D78" s="136">
        <v>851</v>
      </c>
      <c r="E78" s="150">
        <f aca="true" t="shared" si="10" ref="E78:E95">D78*0.02831685</f>
        <v>24.09763935</v>
      </c>
      <c r="F78" s="151">
        <v>4.94</v>
      </c>
      <c r="G78" s="152">
        <v>0.55</v>
      </c>
      <c r="H78" s="153" t="s">
        <v>964</v>
      </c>
      <c r="I78" s="152">
        <v>7.67</v>
      </c>
      <c r="J78" s="1">
        <v>37</v>
      </c>
      <c r="K78" s="155">
        <f aca="true" t="shared" si="11" ref="K78:K95">E78*F78</f>
        <v>119.04233838900002</v>
      </c>
    </row>
    <row r="79" spans="1:11" ht="15">
      <c r="A79" s="24" t="s">
        <v>1742</v>
      </c>
      <c r="B79" s="8">
        <v>39756.458333333336</v>
      </c>
      <c r="C79" s="138">
        <v>39756.458333333336</v>
      </c>
      <c r="D79" s="136">
        <v>703</v>
      </c>
      <c r="E79" s="150">
        <f>D79*0.02831685</f>
        <v>19.90674555</v>
      </c>
      <c r="F79" s="151">
        <v>4.94</v>
      </c>
      <c r="G79" s="152">
        <v>0.56</v>
      </c>
      <c r="H79" s="153" t="s">
        <v>964</v>
      </c>
      <c r="I79" s="152">
        <v>7.73</v>
      </c>
      <c r="J79" s="1">
        <v>37</v>
      </c>
      <c r="K79" s="155">
        <f>E79*F79</f>
        <v>98.33932301700001</v>
      </c>
    </row>
    <row r="80" spans="1:11" ht="15">
      <c r="A80" s="24" t="s">
        <v>1743</v>
      </c>
      <c r="B80" s="8">
        <v>39784.43402777778</v>
      </c>
      <c r="C80" s="138">
        <v>39784.427083333336</v>
      </c>
      <c r="D80" s="136">
        <v>548</v>
      </c>
      <c r="E80" s="150">
        <f t="shared" si="10"/>
        <v>15.5176338</v>
      </c>
      <c r="F80" s="152">
        <v>5.01</v>
      </c>
      <c r="G80" s="152">
        <v>0.57</v>
      </c>
      <c r="H80" s="153" t="s">
        <v>964</v>
      </c>
      <c r="I80" s="152">
        <v>7.83</v>
      </c>
      <c r="J80" s="1">
        <v>37</v>
      </c>
      <c r="K80" s="155">
        <f t="shared" si="11"/>
        <v>77.743345338</v>
      </c>
    </row>
    <row r="81" spans="1:11" ht="15">
      <c r="A81" s="24" t="s">
        <v>1744</v>
      </c>
      <c r="B81" s="8">
        <v>39826.572916666664</v>
      </c>
      <c r="C81" s="138">
        <v>39826.572916666664</v>
      </c>
      <c r="D81" s="136">
        <v>230</v>
      </c>
      <c r="E81" s="150">
        <f t="shared" si="10"/>
        <v>6.5128755</v>
      </c>
      <c r="F81" s="152">
        <v>5.06</v>
      </c>
      <c r="G81" s="152">
        <v>0.59</v>
      </c>
      <c r="H81" s="153" t="s">
        <v>964</v>
      </c>
      <c r="I81" s="152">
        <v>8.07</v>
      </c>
      <c r="J81" s="1">
        <v>37</v>
      </c>
      <c r="K81" s="155">
        <f t="shared" si="11"/>
        <v>32.95515003</v>
      </c>
    </row>
    <row r="82" spans="1:11" ht="15">
      <c r="A82" s="24" t="s">
        <v>1745</v>
      </c>
      <c r="B82" s="8">
        <v>39848.604166666664</v>
      </c>
      <c r="C82" s="148" t="str">
        <f>HOUR(B82)&amp;":"&amp;MINUTE(B82)</f>
        <v>14:30</v>
      </c>
      <c r="D82" s="136">
        <v>200</v>
      </c>
      <c r="E82" s="150">
        <f t="shared" si="10"/>
        <v>5.6633700000000005</v>
      </c>
      <c r="F82" s="152">
        <v>5.48</v>
      </c>
      <c r="G82" s="152">
        <v>0.61</v>
      </c>
      <c r="H82" s="153" t="s">
        <v>964</v>
      </c>
      <c r="I82" s="152">
        <v>8.49</v>
      </c>
      <c r="J82" s="1">
        <v>55</v>
      </c>
      <c r="K82" s="155">
        <f t="shared" si="11"/>
        <v>31.035267600000005</v>
      </c>
    </row>
    <row r="83" spans="1:11" ht="15">
      <c r="A83" t="s">
        <v>1746</v>
      </c>
      <c r="B83" s="8">
        <v>39873.680555555555</v>
      </c>
      <c r="C83" s="148">
        <f aca="true" t="shared" si="12" ref="C83:C95">B83</f>
        <v>39873.680555555555</v>
      </c>
      <c r="D83" s="136">
        <v>210</v>
      </c>
      <c r="E83" s="150">
        <f t="shared" si="10"/>
        <v>5.9465385</v>
      </c>
      <c r="F83" s="9">
        <v>5.29</v>
      </c>
      <c r="G83" s="9">
        <v>0.57</v>
      </c>
      <c r="H83" s="12" t="s">
        <v>964</v>
      </c>
      <c r="I83" s="9">
        <v>8.25</v>
      </c>
      <c r="J83" s="154">
        <v>39.086453125</v>
      </c>
      <c r="K83" s="155">
        <f t="shared" si="11"/>
        <v>31.457188665</v>
      </c>
    </row>
    <row r="84" spans="1:11" ht="15">
      <c r="A84" t="s">
        <v>1747</v>
      </c>
      <c r="B84" s="8">
        <v>39919.5</v>
      </c>
      <c r="C84" s="148">
        <f t="shared" si="12"/>
        <v>39919.5</v>
      </c>
      <c r="D84" s="136">
        <v>698</v>
      </c>
      <c r="E84" s="150">
        <f t="shared" si="10"/>
        <v>19.7651613</v>
      </c>
      <c r="F84" s="9">
        <v>5.13</v>
      </c>
      <c r="G84" s="9">
        <v>0.56</v>
      </c>
      <c r="H84" s="12" t="s">
        <v>964</v>
      </c>
      <c r="I84" s="9">
        <v>8</v>
      </c>
      <c r="J84" s="154">
        <v>39.086453125</v>
      </c>
      <c r="K84" s="155">
        <f t="shared" si="11"/>
        <v>101.39527746899999</v>
      </c>
    </row>
    <row r="85" spans="1:11" ht="15">
      <c r="A85" t="s">
        <v>1748</v>
      </c>
      <c r="B85" s="8">
        <v>39932.614583333336</v>
      </c>
      <c r="C85" s="148">
        <f t="shared" si="12"/>
        <v>39932.614583333336</v>
      </c>
      <c r="D85" s="136">
        <v>774</v>
      </c>
      <c r="E85" s="150">
        <f t="shared" si="10"/>
        <v>21.9172419</v>
      </c>
      <c r="F85" s="9">
        <v>5.15</v>
      </c>
      <c r="G85" s="9">
        <v>0.58</v>
      </c>
      <c r="H85" s="12" t="s">
        <v>964</v>
      </c>
      <c r="I85" s="9">
        <v>8.04</v>
      </c>
      <c r="J85" s="154">
        <v>38.133125</v>
      </c>
      <c r="K85" s="155">
        <f t="shared" si="11"/>
        <v>112.87379578500001</v>
      </c>
    </row>
    <row r="86" spans="1:11" ht="15">
      <c r="A86" t="s">
        <v>1749</v>
      </c>
      <c r="B86" s="8">
        <v>39938.458333333336</v>
      </c>
      <c r="C86" s="148">
        <f t="shared" si="12"/>
        <v>39938.458333333336</v>
      </c>
      <c r="D86" s="136">
        <v>809</v>
      </c>
      <c r="E86" s="150">
        <f t="shared" si="10"/>
        <v>22.90833165</v>
      </c>
      <c r="F86" s="9">
        <v>5.13</v>
      </c>
      <c r="G86" s="9">
        <v>0.57</v>
      </c>
      <c r="H86" s="12" t="s">
        <v>964</v>
      </c>
      <c r="I86" s="9">
        <v>8.04</v>
      </c>
      <c r="J86" s="154">
        <v>37.97423697916667</v>
      </c>
      <c r="K86" s="155">
        <f t="shared" si="11"/>
        <v>117.5197413645</v>
      </c>
    </row>
    <row r="87" spans="1:11" ht="15">
      <c r="A87" t="s">
        <v>1750</v>
      </c>
      <c r="B87" s="8">
        <v>39947.791666666664</v>
      </c>
      <c r="C87" s="148">
        <f t="shared" si="12"/>
        <v>39947.791666666664</v>
      </c>
      <c r="D87" s="136">
        <v>916</v>
      </c>
      <c r="E87" s="150">
        <f t="shared" si="10"/>
        <v>25.9382346</v>
      </c>
      <c r="F87" s="9">
        <v>5.05</v>
      </c>
      <c r="G87" s="9">
        <v>0.57</v>
      </c>
      <c r="H87" s="12" t="s">
        <v>964</v>
      </c>
      <c r="I87" s="9">
        <v>7.97</v>
      </c>
      <c r="J87" s="154">
        <v>38.29201302083333</v>
      </c>
      <c r="K87" s="155">
        <f t="shared" si="11"/>
        <v>130.98808473</v>
      </c>
    </row>
    <row r="88" spans="1:11" ht="13.5">
      <c r="A88" t="s">
        <v>1751</v>
      </c>
      <c r="B88" s="8">
        <v>39955.510416666664</v>
      </c>
      <c r="C88" s="148">
        <f t="shared" si="12"/>
        <v>39955.510416666664</v>
      </c>
      <c r="D88" s="136">
        <v>1740</v>
      </c>
      <c r="E88" s="150">
        <f t="shared" si="10"/>
        <v>49.271319</v>
      </c>
      <c r="F88" s="9">
        <v>4.53</v>
      </c>
      <c r="G88" s="9">
        <v>0.48</v>
      </c>
      <c r="H88" s="12" t="s">
        <v>964</v>
      </c>
      <c r="I88" s="9">
        <v>8.34</v>
      </c>
      <c r="J88" s="154">
        <v>35.114252604166666</v>
      </c>
      <c r="K88" s="155">
        <f t="shared" si="11"/>
        <v>223.19907507</v>
      </c>
    </row>
    <row r="89" spans="1:11" ht="13.5">
      <c r="A89" t="s">
        <v>1752</v>
      </c>
      <c r="B89" s="8">
        <v>39961.5</v>
      </c>
      <c r="C89" s="148">
        <f t="shared" si="12"/>
        <v>39961.5</v>
      </c>
      <c r="D89" s="141">
        <v>3090</v>
      </c>
      <c r="E89" s="150">
        <f t="shared" si="10"/>
        <v>87.4990665</v>
      </c>
      <c r="F89" s="9">
        <v>4.9</v>
      </c>
      <c r="G89" s="9">
        <v>0.52</v>
      </c>
      <c r="H89" s="12" t="s">
        <v>964</v>
      </c>
      <c r="I89" s="9">
        <v>8.76</v>
      </c>
      <c r="J89" s="154">
        <v>36.54424479166667</v>
      </c>
      <c r="K89" s="155">
        <f t="shared" si="11"/>
        <v>428.74542585</v>
      </c>
    </row>
    <row r="90" spans="1:11" ht="13.5">
      <c r="A90" t="s">
        <v>1753</v>
      </c>
      <c r="B90" s="8">
        <v>39967.489583333336</v>
      </c>
      <c r="C90" s="148">
        <f t="shared" si="12"/>
        <v>39967.489583333336</v>
      </c>
      <c r="D90" s="141">
        <v>4760</v>
      </c>
      <c r="E90" s="150">
        <f t="shared" si="10"/>
        <v>134.788206</v>
      </c>
      <c r="F90" s="9">
        <v>4.66</v>
      </c>
      <c r="G90" s="9">
        <v>0.5</v>
      </c>
      <c r="H90" s="12" t="s">
        <v>964</v>
      </c>
      <c r="I90" s="9">
        <v>8.27</v>
      </c>
      <c r="J90" s="154">
        <v>35.749804687499996</v>
      </c>
      <c r="K90" s="155">
        <f t="shared" si="11"/>
        <v>628.11303996</v>
      </c>
    </row>
    <row r="91" spans="1:11" ht="13.5">
      <c r="A91" t="s">
        <v>1754</v>
      </c>
      <c r="B91" s="8">
        <v>39974.520833333336</v>
      </c>
      <c r="C91" s="148">
        <f t="shared" si="12"/>
        <v>39974.520833333336</v>
      </c>
      <c r="D91" s="141">
        <v>5840</v>
      </c>
      <c r="E91" s="150">
        <f t="shared" si="10"/>
        <v>165.370404</v>
      </c>
      <c r="F91" s="9">
        <v>4.76</v>
      </c>
      <c r="G91" s="9">
        <v>0.51</v>
      </c>
      <c r="H91" s="12" t="s">
        <v>964</v>
      </c>
      <c r="I91" s="9">
        <v>8.59</v>
      </c>
      <c r="J91" s="154">
        <v>36.86202083333334</v>
      </c>
      <c r="K91" s="155">
        <f t="shared" si="11"/>
        <v>787.16312304</v>
      </c>
    </row>
    <row r="92" spans="1:11" ht="13.5">
      <c r="A92" t="s">
        <v>1755</v>
      </c>
      <c r="B92" s="8">
        <v>39981.538194444445</v>
      </c>
      <c r="C92" s="148">
        <f t="shared" si="12"/>
        <v>39981.538194444445</v>
      </c>
      <c r="D92" s="141">
        <v>5950</v>
      </c>
      <c r="E92" s="150">
        <f t="shared" si="10"/>
        <v>168.48525750000002</v>
      </c>
      <c r="F92" s="9">
        <v>5.07</v>
      </c>
      <c r="G92" s="9">
        <v>0.5</v>
      </c>
      <c r="H92" s="12" t="s">
        <v>964</v>
      </c>
      <c r="I92" s="9">
        <v>9.04</v>
      </c>
      <c r="J92" s="154">
        <v>36.86202083333334</v>
      </c>
      <c r="K92" s="155">
        <f t="shared" si="11"/>
        <v>854.2202555250001</v>
      </c>
    </row>
    <row r="93" spans="1:11" ht="13.5">
      <c r="A93" t="s">
        <v>1756</v>
      </c>
      <c r="B93" s="8">
        <v>39988.520833333336</v>
      </c>
      <c r="C93" s="148">
        <f t="shared" si="12"/>
        <v>39988.520833333336</v>
      </c>
      <c r="D93" s="141">
        <v>6610</v>
      </c>
      <c r="E93" s="150">
        <f t="shared" si="10"/>
        <v>187.17437850000002</v>
      </c>
      <c r="F93" s="9">
        <v>4.98</v>
      </c>
      <c r="G93" s="9">
        <v>0.52</v>
      </c>
      <c r="H93" s="12" t="s">
        <v>964</v>
      </c>
      <c r="I93" s="9">
        <v>8.8</v>
      </c>
      <c r="J93" s="154">
        <v>37.49757291666666</v>
      </c>
      <c r="K93" s="155">
        <f t="shared" si="11"/>
        <v>932.1284049300002</v>
      </c>
    </row>
    <row r="94" spans="1:11" ht="13.5">
      <c r="A94" t="s">
        <v>1757</v>
      </c>
      <c r="B94" s="8">
        <v>39995.541666666664</v>
      </c>
      <c r="C94" s="148">
        <f t="shared" si="12"/>
        <v>39995.541666666664</v>
      </c>
      <c r="D94" s="141">
        <v>6880</v>
      </c>
      <c r="E94" s="150">
        <f t="shared" si="10"/>
        <v>194.819928</v>
      </c>
      <c r="F94" s="9">
        <v>4.49</v>
      </c>
      <c r="G94" s="9">
        <v>0.49</v>
      </c>
      <c r="H94" s="12" t="s">
        <v>964</v>
      </c>
      <c r="I94" s="9">
        <v>7.69</v>
      </c>
      <c r="J94" s="154">
        <v>36.067580729166664</v>
      </c>
      <c r="K94" s="155">
        <f t="shared" si="11"/>
        <v>874.74147672</v>
      </c>
    </row>
    <row r="95" spans="1:11" ht="13.5">
      <c r="A95" t="s">
        <v>1758</v>
      </c>
      <c r="B95" s="8">
        <v>40002.555555555555</v>
      </c>
      <c r="C95" s="148">
        <f t="shared" si="12"/>
        <v>40002.555555555555</v>
      </c>
      <c r="D95" s="141">
        <v>6640</v>
      </c>
      <c r="E95" s="150">
        <f t="shared" si="10"/>
        <v>188.023884</v>
      </c>
      <c r="F95" s="9">
        <v>4.65</v>
      </c>
      <c r="G95" s="9">
        <v>0.5</v>
      </c>
      <c r="H95" s="12" t="s">
        <v>964</v>
      </c>
      <c r="I95" s="9">
        <v>8.09</v>
      </c>
      <c r="J95" s="154">
        <v>36.54424479166667</v>
      </c>
      <c r="K95" s="155">
        <f t="shared" si="11"/>
        <v>874.3110606000001</v>
      </c>
    </row>
    <row r="96" spans="1:11" ht="13.5">
      <c r="A96" t="s">
        <v>1759</v>
      </c>
      <c r="B96" s="8">
        <v>40009.555555555555</v>
      </c>
      <c r="C96" s="148">
        <f>B96</f>
        <v>40009.555555555555</v>
      </c>
      <c r="D96" s="141">
        <v>5920</v>
      </c>
      <c r="E96" s="150">
        <f>D96*0.02831685</f>
        <v>167.635752</v>
      </c>
      <c r="F96" s="9">
        <v>4.53</v>
      </c>
      <c r="G96" s="9">
        <v>0.51</v>
      </c>
      <c r="H96" s="12" t="s">
        <v>964</v>
      </c>
      <c r="I96" s="9">
        <v>7.3</v>
      </c>
      <c r="J96" s="154">
        <v>36.38535677083334</v>
      </c>
      <c r="K96" s="155">
        <f>E96*F96</f>
        <v>759.38995656</v>
      </c>
    </row>
    <row r="97" spans="1:11" ht="13.5">
      <c r="A97" t="s">
        <v>1760</v>
      </c>
      <c r="B97" s="8">
        <v>40016.510416666664</v>
      </c>
      <c r="C97" s="138">
        <v>40016.510416666664</v>
      </c>
      <c r="D97" s="136">
        <v>5080</v>
      </c>
      <c r="E97" s="150">
        <f aca="true" t="shared" si="13" ref="E97:E103">D97*0.02831685</f>
        <v>143.84959800000001</v>
      </c>
      <c r="F97" s="9">
        <v>4.63</v>
      </c>
      <c r="G97" s="9">
        <v>0.51</v>
      </c>
      <c r="H97" s="12" t="s">
        <v>964</v>
      </c>
      <c r="I97" s="9">
        <v>7.64</v>
      </c>
      <c r="J97" s="154">
        <v>37.179796875</v>
      </c>
      <c r="K97" s="155">
        <f aca="true" t="shared" si="14" ref="K97:K103">E97*F97</f>
        <v>666.02363874</v>
      </c>
    </row>
    <row r="98" spans="1:11" ht="13.5">
      <c r="A98" t="s">
        <v>1761</v>
      </c>
      <c r="B98" s="8">
        <v>40023.520833333336</v>
      </c>
      <c r="C98" s="138">
        <v>40023.520833333336</v>
      </c>
      <c r="D98" s="136">
        <v>4310</v>
      </c>
      <c r="E98" s="150">
        <f t="shared" si="13"/>
        <v>122.0456235</v>
      </c>
      <c r="F98" s="9">
        <v>4.51</v>
      </c>
      <c r="G98" s="9">
        <v>0.51</v>
      </c>
      <c r="H98" s="12" t="s">
        <v>964</v>
      </c>
      <c r="I98" s="9">
        <v>7.2</v>
      </c>
      <c r="J98" s="154">
        <v>36.22646875</v>
      </c>
      <c r="K98" s="155">
        <f t="shared" si="14"/>
        <v>550.425761985</v>
      </c>
    </row>
    <row r="99" spans="1:11" ht="13.5">
      <c r="A99" t="s">
        <v>1762</v>
      </c>
      <c r="B99" s="8">
        <v>40030.572916666664</v>
      </c>
      <c r="C99" s="138">
        <v>40030.572916666664</v>
      </c>
      <c r="D99" s="136">
        <v>3570</v>
      </c>
      <c r="E99" s="150">
        <f t="shared" si="13"/>
        <v>101.0911545</v>
      </c>
      <c r="F99" s="135">
        <v>4.59</v>
      </c>
      <c r="G99" s="135">
        <v>0.51</v>
      </c>
      <c r="H99" s="139" t="s">
        <v>964</v>
      </c>
      <c r="I99" s="135">
        <v>7.38</v>
      </c>
      <c r="J99" s="154">
        <v>37.97423697916667</v>
      </c>
      <c r="K99" s="155">
        <f t="shared" si="14"/>
        <v>464.008399155</v>
      </c>
    </row>
    <row r="100" spans="1:11" ht="13.5">
      <c r="A100" t="s">
        <v>1763</v>
      </c>
      <c r="B100" s="8">
        <v>40044.510416666664</v>
      </c>
      <c r="C100" s="138">
        <v>40044.510416666664</v>
      </c>
      <c r="D100" s="136">
        <v>2460</v>
      </c>
      <c r="E100" s="150">
        <f t="shared" si="13"/>
        <v>69.659451</v>
      </c>
      <c r="F100" s="135">
        <v>4.56</v>
      </c>
      <c r="G100" s="135">
        <v>0.52</v>
      </c>
      <c r="H100" s="139" t="s">
        <v>964</v>
      </c>
      <c r="I100" s="135">
        <v>7.24</v>
      </c>
      <c r="J100" s="154">
        <v>37.49757291666666</v>
      </c>
      <c r="K100" s="155">
        <f t="shared" si="14"/>
        <v>317.64709655999997</v>
      </c>
    </row>
    <row r="101" spans="1:11" ht="13.5">
      <c r="A101" t="s">
        <v>1764</v>
      </c>
      <c r="B101" s="8">
        <v>40058.583333333336</v>
      </c>
      <c r="C101" s="138">
        <v>40058.583333333336</v>
      </c>
      <c r="D101" s="136">
        <v>1810</v>
      </c>
      <c r="E101" s="150">
        <f t="shared" si="13"/>
        <v>51.2534985</v>
      </c>
      <c r="F101" s="9">
        <v>4.61</v>
      </c>
      <c r="G101" s="9">
        <v>0.52</v>
      </c>
      <c r="H101" s="12" t="s">
        <v>964</v>
      </c>
      <c r="I101" s="9">
        <v>7.35</v>
      </c>
      <c r="J101" s="154">
        <v>37.49757291666666</v>
      </c>
      <c r="K101" s="155">
        <f t="shared" si="14"/>
        <v>236.278628085</v>
      </c>
    </row>
    <row r="102" spans="1:11" ht="13.5">
      <c r="A102" t="s">
        <v>1765</v>
      </c>
      <c r="B102" s="8">
        <v>40072.53125</v>
      </c>
      <c r="C102" s="138">
        <v>40072.53125</v>
      </c>
      <c r="D102" s="136">
        <v>1350</v>
      </c>
      <c r="E102" s="150">
        <f t="shared" si="13"/>
        <v>38.2277475</v>
      </c>
      <c r="F102" s="135">
        <v>4.72</v>
      </c>
      <c r="G102" s="135">
        <v>0.53</v>
      </c>
      <c r="H102" s="139" t="s">
        <v>964</v>
      </c>
      <c r="I102" s="135">
        <v>7.52</v>
      </c>
      <c r="J102" s="154">
        <v>36.067580729166664</v>
      </c>
      <c r="K102" s="155">
        <f t="shared" si="14"/>
        <v>180.4349682</v>
      </c>
    </row>
    <row r="103" spans="1:11" ht="13.5">
      <c r="A103" t="s">
        <v>1766</v>
      </c>
      <c r="B103" s="8">
        <v>40086.5</v>
      </c>
      <c r="C103" s="138">
        <v>40086.5</v>
      </c>
      <c r="D103" s="136">
        <v>1010</v>
      </c>
      <c r="E103" s="150">
        <f t="shared" si="13"/>
        <v>28.6000185</v>
      </c>
      <c r="F103" s="135">
        <v>4.76</v>
      </c>
      <c r="G103" s="135">
        <v>0.53</v>
      </c>
      <c r="H103" s="139">
        <v>0.01</v>
      </c>
      <c r="I103" s="135">
        <v>7.46</v>
      </c>
      <c r="J103" s="154">
        <v>36.7031328125</v>
      </c>
      <c r="K103" s="155">
        <f t="shared" si="14"/>
        <v>136.13608806</v>
      </c>
    </row>
    <row r="104" spans="1:11" ht="12">
      <c r="A104" s="147" t="s">
        <v>1713</v>
      </c>
      <c r="B104" s="156"/>
      <c r="C104" s="148"/>
      <c r="D104" s="149"/>
      <c r="E104" s="150"/>
      <c r="F104" s="151"/>
      <c r="G104" s="152"/>
      <c r="H104" s="153"/>
      <c r="I104" s="152"/>
      <c r="J104" s="154"/>
      <c r="K104" s="154"/>
    </row>
    <row r="105" spans="1:11" ht="13.5">
      <c r="A105" t="s">
        <v>1767</v>
      </c>
      <c r="B105" s="8">
        <v>40100.46875</v>
      </c>
      <c r="C105" s="138">
        <v>40100.46875</v>
      </c>
      <c r="D105" s="136">
        <v>821</v>
      </c>
      <c r="E105" s="150">
        <f aca="true" t="shared" si="15" ref="E105:E120">D105*0.02831685</f>
        <v>23.248133850000002</v>
      </c>
      <c r="F105" s="9">
        <v>4.9</v>
      </c>
      <c r="G105" s="9">
        <v>0.54</v>
      </c>
      <c r="H105" s="12" t="s">
        <v>964</v>
      </c>
      <c r="I105" s="9">
        <v>7.56</v>
      </c>
      <c r="J105" s="2">
        <v>37.02090885416667</v>
      </c>
      <c r="K105" s="155">
        <f aca="true" t="shared" si="16" ref="K105:K120">E105*F105</f>
        <v>113.91585586500001</v>
      </c>
    </row>
    <row r="106" spans="1:11" ht="13.5">
      <c r="A106" t="s">
        <v>1768</v>
      </c>
      <c r="B106" s="8">
        <v>40127.46527777778</v>
      </c>
      <c r="C106" s="138">
        <v>40127.46527777778</v>
      </c>
      <c r="D106" s="136">
        <v>648</v>
      </c>
      <c r="E106" s="150">
        <f>D106*0.02831685</f>
        <v>18.3493188</v>
      </c>
      <c r="F106" s="9">
        <v>4.91</v>
      </c>
      <c r="G106" s="9">
        <v>0.55</v>
      </c>
      <c r="H106" s="12" t="s">
        <v>964</v>
      </c>
      <c r="I106" s="9">
        <v>7.87</v>
      </c>
      <c r="J106" s="2">
        <v>37.02090885416667</v>
      </c>
      <c r="K106" s="155">
        <f>E106*F106</f>
        <v>90.095155308</v>
      </c>
    </row>
    <row r="107" spans="1:11" ht="13.5">
      <c r="A107" t="s">
        <v>1769</v>
      </c>
      <c r="B107" s="8">
        <v>40151.489583333336</v>
      </c>
      <c r="C107" s="138">
        <v>40151.489583333336</v>
      </c>
      <c r="D107" s="136">
        <v>470</v>
      </c>
      <c r="E107" s="150">
        <f t="shared" si="15"/>
        <v>13.3089195</v>
      </c>
      <c r="F107" s="9">
        <v>4.91</v>
      </c>
      <c r="G107" s="9">
        <v>0.55</v>
      </c>
      <c r="H107" s="12" t="s">
        <v>964</v>
      </c>
      <c r="I107" s="9">
        <v>7.62</v>
      </c>
      <c r="J107" s="2">
        <v>36.54424479166667</v>
      </c>
      <c r="K107" s="155">
        <f t="shared" si="16"/>
        <v>65.346794745</v>
      </c>
    </row>
    <row r="108" spans="1:11" ht="13.5">
      <c r="A108" t="s">
        <v>1770</v>
      </c>
      <c r="B108" s="8">
        <v>40191.59722222222</v>
      </c>
      <c r="C108" s="138">
        <v>40191.59722222222</v>
      </c>
      <c r="D108" s="136">
        <v>240</v>
      </c>
      <c r="E108" s="150">
        <f t="shared" si="15"/>
        <v>6.796044</v>
      </c>
      <c r="F108" s="9">
        <v>5.1</v>
      </c>
      <c r="G108" s="9">
        <v>0.59</v>
      </c>
      <c r="H108" s="12" t="s">
        <v>964</v>
      </c>
      <c r="I108" s="9">
        <v>8.09</v>
      </c>
      <c r="J108" s="2">
        <v>38.29201302083333</v>
      </c>
      <c r="K108" s="155">
        <f t="shared" si="16"/>
        <v>34.6598244</v>
      </c>
    </row>
    <row r="109" spans="1:11" ht="13.5">
      <c r="A109" t="s">
        <v>1771</v>
      </c>
      <c r="B109" s="8">
        <v>40233.493055555555</v>
      </c>
      <c r="C109" s="138">
        <v>40233.493055555555</v>
      </c>
      <c r="D109" s="136">
        <v>360</v>
      </c>
      <c r="E109" s="150">
        <f t="shared" si="15"/>
        <v>10.194066000000001</v>
      </c>
      <c r="F109" s="9">
        <v>5.05</v>
      </c>
      <c r="G109" s="9">
        <v>0.59</v>
      </c>
      <c r="H109" s="12" t="s">
        <v>964</v>
      </c>
      <c r="I109" s="9">
        <v>7.91</v>
      </c>
      <c r="J109" s="2">
        <v>38.6097890625</v>
      </c>
      <c r="K109" s="155">
        <f t="shared" si="16"/>
        <v>51.4800333</v>
      </c>
    </row>
    <row r="110" spans="1:11" ht="13.5">
      <c r="A110" t="s">
        <v>1772</v>
      </c>
      <c r="B110" s="8">
        <v>40277.59375</v>
      </c>
      <c r="C110" s="138">
        <v>40277.59375</v>
      </c>
      <c r="D110" s="136">
        <v>483</v>
      </c>
      <c r="E110" s="150">
        <f t="shared" si="15"/>
        <v>13.67703855</v>
      </c>
      <c r="F110" s="9">
        <v>5.11</v>
      </c>
      <c r="G110" s="9">
        <v>0.57</v>
      </c>
      <c r="H110" s="12" t="s">
        <v>964</v>
      </c>
      <c r="I110" s="9">
        <v>7.93</v>
      </c>
      <c r="J110" s="2">
        <v>37.97423697916667</v>
      </c>
      <c r="K110" s="155">
        <f t="shared" si="16"/>
        <v>69.8896669905</v>
      </c>
    </row>
    <row r="111" spans="1:11" ht="13.5">
      <c r="A111" t="s">
        <v>1773</v>
      </c>
      <c r="B111" s="8">
        <v>40303.48263888889</v>
      </c>
      <c r="C111" s="138">
        <v>40303.48263888889</v>
      </c>
      <c r="D111" s="136">
        <v>621</v>
      </c>
      <c r="E111" s="150">
        <f t="shared" si="15"/>
        <v>17.58476385</v>
      </c>
      <c r="F111" s="145">
        <v>5.01</v>
      </c>
      <c r="G111" s="145">
        <v>0.56</v>
      </c>
      <c r="H111" s="146" t="s">
        <v>964</v>
      </c>
      <c r="I111" s="145">
        <v>8.02</v>
      </c>
      <c r="J111" s="154">
        <v>38.133125</v>
      </c>
      <c r="K111" s="155">
        <f t="shared" si="16"/>
        <v>88.09966688850001</v>
      </c>
    </row>
    <row r="112" spans="1:11" ht="13.5">
      <c r="A112" t="s">
        <v>1774</v>
      </c>
      <c r="B112" s="8">
        <v>40315.708333333336</v>
      </c>
      <c r="C112" s="138">
        <v>40315.708333333336</v>
      </c>
      <c r="D112" s="136">
        <v>624</v>
      </c>
      <c r="E112" s="150">
        <f t="shared" si="15"/>
        <v>17.6697144</v>
      </c>
      <c r="F112" s="145">
        <v>5.04</v>
      </c>
      <c r="G112" s="145">
        <v>0.56</v>
      </c>
      <c r="H112" s="146">
        <v>0.01</v>
      </c>
      <c r="I112" s="145">
        <v>8.12</v>
      </c>
      <c r="J112" s="154">
        <v>37.81534895833334</v>
      </c>
      <c r="K112" s="155">
        <f t="shared" si="16"/>
        <v>89.055360576</v>
      </c>
    </row>
    <row r="113" spans="1:11" ht="13.5">
      <c r="A113" t="s">
        <v>1775</v>
      </c>
      <c r="B113" s="8">
        <v>40325.583333333336</v>
      </c>
      <c r="C113" s="138">
        <v>40325.583333333336</v>
      </c>
      <c r="D113" s="136">
        <v>902</v>
      </c>
      <c r="E113" s="150">
        <f t="shared" si="15"/>
        <v>25.5417987</v>
      </c>
      <c r="F113" s="145">
        <v>4.94</v>
      </c>
      <c r="G113" s="145">
        <v>0.53</v>
      </c>
      <c r="H113" s="146" t="s">
        <v>964</v>
      </c>
      <c r="I113" s="145">
        <v>8.32</v>
      </c>
      <c r="J113" s="154">
        <v>37.02090885416667</v>
      </c>
      <c r="K113" s="155">
        <f t="shared" si="16"/>
        <v>126.17648557800001</v>
      </c>
    </row>
    <row r="114" spans="1:11" ht="13.5">
      <c r="A114" t="s">
        <v>1776</v>
      </c>
      <c r="B114" s="8">
        <v>40333.572916666664</v>
      </c>
      <c r="C114" s="138">
        <v>40333.572916666664</v>
      </c>
      <c r="D114" s="136">
        <v>1600</v>
      </c>
      <c r="E114" s="150">
        <f t="shared" si="15"/>
        <v>45.306960000000004</v>
      </c>
      <c r="F114" s="145">
        <v>4.99</v>
      </c>
      <c r="G114" s="145">
        <v>0.53</v>
      </c>
      <c r="H114" s="146" t="s">
        <v>964</v>
      </c>
      <c r="I114" s="145">
        <v>8.73</v>
      </c>
      <c r="J114" s="154">
        <v>37.49757291666666</v>
      </c>
      <c r="K114" s="155">
        <f t="shared" si="16"/>
        <v>226.08173040000003</v>
      </c>
    </row>
    <row r="115" spans="1:11" ht="13.5">
      <c r="A115" t="s">
        <v>1777</v>
      </c>
      <c r="B115" s="8">
        <v>40339.59375</v>
      </c>
      <c r="C115" s="138">
        <v>40339.59375</v>
      </c>
      <c r="D115" s="136">
        <v>3600</v>
      </c>
      <c r="E115" s="150">
        <f t="shared" si="15"/>
        <v>101.94066000000001</v>
      </c>
      <c r="F115" s="145">
        <v>4.45</v>
      </c>
      <c r="G115" s="145">
        <v>0.47</v>
      </c>
      <c r="H115" s="146">
        <v>0.01</v>
      </c>
      <c r="I115" s="145">
        <v>8.57</v>
      </c>
      <c r="J115" s="154">
        <v>34.319812500000005</v>
      </c>
      <c r="K115" s="155">
        <f t="shared" si="16"/>
        <v>453.63593700000007</v>
      </c>
    </row>
    <row r="116" spans="1:11" ht="13.5">
      <c r="A116" t="s">
        <v>1778</v>
      </c>
      <c r="B116" s="8">
        <v>40345.458333333336</v>
      </c>
      <c r="C116" s="138">
        <v>40345.458333333336</v>
      </c>
      <c r="D116" s="136">
        <v>4340</v>
      </c>
      <c r="E116" s="150">
        <f t="shared" si="15"/>
        <v>122.89512900000001</v>
      </c>
      <c r="F116" s="145">
        <v>4.86</v>
      </c>
      <c r="G116" s="145">
        <v>0.51</v>
      </c>
      <c r="H116" s="146">
        <v>0.01</v>
      </c>
      <c r="I116" s="145">
        <v>8.61</v>
      </c>
      <c r="J116" s="154">
        <v>36.7031328125</v>
      </c>
      <c r="K116" s="155">
        <f t="shared" si="16"/>
        <v>597.2703269400001</v>
      </c>
    </row>
    <row r="117" spans="1:11" ht="13.5">
      <c r="A117" t="s">
        <v>1779</v>
      </c>
      <c r="B117" s="8">
        <v>40353.59722222222</v>
      </c>
      <c r="C117" s="138">
        <v>40353.59722222222</v>
      </c>
      <c r="D117" s="136">
        <v>4910</v>
      </c>
      <c r="E117" s="150">
        <f t="shared" si="15"/>
        <v>139.0357335</v>
      </c>
      <c r="F117" s="145">
        <v>4.93</v>
      </c>
      <c r="G117" s="145">
        <v>0.48</v>
      </c>
      <c r="H117" s="146" t="s">
        <v>964</v>
      </c>
      <c r="I117" s="145">
        <v>9.68</v>
      </c>
      <c r="J117" s="154">
        <v>35.590916666666665</v>
      </c>
      <c r="K117" s="155">
        <f t="shared" si="16"/>
        <v>685.4461661549999</v>
      </c>
    </row>
    <row r="118" spans="1:11" ht="13.5">
      <c r="A118" t="s">
        <v>1780</v>
      </c>
      <c r="B118" s="8">
        <v>40360.520833333336</v>
      </c>
      <c r="C118" s="138">
        <v>40360.520833333336</v>
      </c>
      <c r="D118" s="136">
        <v>5340</v>
      </c>
      <c r="E118" s="150">
        <f t="shared" si="15"/>
        <v>151.211979</v>
      </c>
      <c r="F118" s="145">
        <v>4.5</v>
      </c>
      <c r="G118" s="145">
        <v>0.45</v>
      </c>
      <c r="H118" s="146">
        <v>0.01</v>
      </c>
      <c r="I118" s="145">
        <v>8.08</v>
      </c>
      <c r="J118" s="154">
        <v>34.7964765625</v>
      </c>
      <c r="K118" s="155">
        <f t="shared" si="16"/>
        <v>680.4539055</v>
      </c>
    </row>
    <row r="119" spans="1:11" ht="13.5">
      <c r="A119" t="s">
        <v>1781</v>
      </c>
      <c r="B119" s="8">
        <v>40367.583333333336</v>
      </c>
      <c r="C119" s="138">
        <v>40367.583333333336</v>
      </c>
      <c r="D119" s="136">
        <v>5060</v>
      </c>
      <c r="E119" s="150">
        <f t="shared" si="15"/>
        <v>143.283261</v>
      </c>
      <c r="F119" s="145">
        <v>4.64</v>
      </c>
      <c r="G119" s="145">
        <v>0.51</v>
      </c>
      <c r="H119" s="146" t="s">
        <v>964</v>
      </c>
      <c r="I119" s="145">
        <v>7.58</v>
      </c>
      <c r="J119" s="154">
        <v>36.067580729166664</v>
      </c>
      <c r="K119" s="155">
        <f t="shared" si="16"/>
        <v>664.83433104</v>
      </c>
    </row>
    <row r="120" spans="1:11" ht="13.5">
      <c r="A120" t="s">
        <v>1782</v>
      </c>
      <c r="B120" s="8">
        <v>40372.72222222222</v>
      </c>
      <c r="C120" s="138">
        <v>40372.72222222222</v>
      </c>
      <c r="D120" s="136">
        <v>4750</v>
      </c>
      <c r="E120" s="150">
        <f t="shared" si="15"/>
        <v>134.50503750000001</v>
      </c>
      <c r="F120" s="145">
        <v>4.86</v>
      </c>
      <c r="G120" s="145">
        <v>0.52</v>
      </c>
      <c r="H120" s="146">
        <v>0.01</v>
      </c>
      <c r="I120" s="145">
        <v>7.85</v>
      </c>
      <c r="J120" s="154">
        <v>34.319812500000005</v>
      </c>
      <c r="K120" s="155">
        <f t="shared" si="16"/>
        <v>653.6944822500001</v>
      </c>
    </row>
    <row r="121" spans="1:11" ht="13.5">
      <c r="A121" t="s">
        <v>1783</v>
      </c>
      <c r="B121" s="8">
        <v>40378.6875</v>
      </c>
      <c r="C121" s="138">
        <v>40378.6875</v>
      </c>
      <c r="D121" s="136">
        <v>4180</v>
      </c>
      <c r="E121" s="150">
        <f>D121*0.02831685</f>
        <v>118.364433</v>
      </c>
      <c r="F121" s="145">
        <v>4.54</v>
      </c>
      <c r="G121" s="145">
        <v>0.49</v>
      </c>
      <c r="H121" s="146" t="s">
        <v>964</v>
      </c>
      <c r="I121" s="145">
        <v>7.54</v>
      </c>
      <c r="J121" s="154">
        <v>34.319812500000005</v>
      </c>
      <c r="K121" s="155">
        <f>E121*F121</f>
        <v>537.37452582</v>
      </c>
    </row>
    <row r="122" spans="1:11" ht="13.5">
      <c r="A122" t="s">
        <v>1784</v>
      </c>
      <c r="B122" s="8">
        <v>40386.572916666664</v>
      </c>
      <c r="C122" s="138">
        <v>40386.572916666664</v>
      </c>
      <c r="D122" s="136">
        <v>3430</v>
      </c>
      <c r="E122" s="150">
        <f aca="true" t="shared" si="17" ref="E122:E128">D122*0.02831685</f>
        <v>97.1267955</v>
      </c>
      <c r="F122" s="145">
        <v>4.82</v>
      </c>
      <c r="G122" s="145">
        <v>0.49</v>
      </c>
      <c r="H122" s="146">
        <v>0.01</v>
      </c>
      <c r="I122" s="145">
        <v>8.71</v>
      </c>
      <c r="J122" s="154">
        <v>35.273140625</v>
      </c>
      <c r="K122" s="155">
        <f aca="true" t="shared" si="18" ref="K122:K128">E122*F122</f>
        <v>468.15115431000004</v>
      </c>
    </row>
    <row r="123" spans="1:11" ht="13.5">
      <c r="A123" t="s">
        <v>1785</v>
      </c>
      <c r="B123" s="8">
        <v>40395.46527777778</v>
      </c>
      <c r="C123" s="138">
        <v>40395.46527777778</v>
      </c>
      <c r="D123" s="136">
        <v>2720</v>
      </c>
      <c r="E123" s="150">
        <f t="shared" si="17"/>
        <v>77.021832</v>
      </c>
      <c r="F123" s="145">
        <v>4.55</v>
      </c>
      <c r="G123" s="145">
        <v>0.5</v>
      </c>
      <c r="H123" s="146" t="s">
        <v>964</v>
      </c>
      <c r="I123" s="145">
        <v>7.38</v>
      </c>
      <c r="J123" s="154">
        <v>34.637588541666666</v>
      </c>
      <c r="K123" s="155">
        <f t="shared" si="18"/>
        <v>350.4493356</v>
      </c>
    </row>
    <row r="124" spans="1:11" ht="13.5">
      <c r="A124" t="s">
        <v>1786</v>
      </c>
      <c r="B124" s="8">
        <v>40402.57986111111</v>
      </c>
      <c r="C124" s="138">
        <v>40402.57986111111</v>
      </c>
      <c r="D124" s="136">
        <v>2290</v>
      </c>
      <c r="E124" s="150">
        <f t="shared" si="17"/>
        <v>64.8455865</v>
      </c>
      <c r="F124" s="145">
        <v>4.62</v>
      </c>
      <c r="G124" s="145">
        <v>0.5</v>
      </c>
      <c r="H124" s="146">
        <v>0.01</v>
      </c>
      <c r="I124" s="145">
        <v>7.48</v>
      </c>
      <c r="J124" s="154">
        <v>35.273140625</v>
      </c>
      <c r="K124" s="155">
        <f t="shared" si="18"/>
        <v>299.58660963</v>
      </c>
    </row>
    <row r="125" spans="1:11" ht="13.5">
      <c r="A125" t="s">
        <v>1787</v>
      </c>
      <c r="B125" s="8">
        <v>40409.53125</v>
      </c>
      <c r="C125" s="138">
        <v>40409.53125</v>
      </c>
      <c r="D125" s="136">
        <v>1920</v>
      </c>
      <c r="E125" s="150">
        <f t="shared" si="17"/>
        <v>54.368352</v>
      </c>
      <c r="F125" s="145">
        <v>4.66</v>
      </c>
      <c r="G125" s="145">
        <v>0.51</v>
      </c>
      <c r="H125" s="146">
        <v>0.01</v>
      </c>
      <c r="I125" s="145">
        <v>7.49</v>
      </c>
      <c r="J125" s="154">
        <v>35.749804687499996</v>
      </c>
      <c r="K125" s="155">
        <f t="shared" si="18"/>
        <v>253.35652032000002</v>
      </c>
    </row>
    <row r="126" spans="1:11" ht="13.5">
      <c r="A126" t="s">
        <v>1788</v>
      </c>
      <c r="B126" s="8">
        <v>40414.635416666664</v>
      </c>
      <c r="C126" s="138">
        <v>40414.635416666664</v>
      </c>
      <c r="D126" s="136">
        <v>1720</v>
      </c>
      <c r="E126" s="150">
        <f t="shared" si="17"/>
        <v>48.704982</v>
      </c>
      <c r="F126" s="145">
        <v>4.73</v>
      </c>
      <c r="G126" s="145">
        <v>0.52</v>
      </c>
      <c r="H126" s="146" t="s">
        <v>964</v>
      </c>
      <c r="I126" s="145">
        <v>7.61</v>
      </c>
      <c r="J126" s="154">
        <v>35.749804687499996</v>
      </c>
      <c r="K126" s="155">
        <f t="shared" si="18"/>
        <v>230.37456486000002</v>
      </c>
    </row>
    <row r="127" spans="1:11" ht="13.5">
      <c r="A127" t="s">
        <v>1789</v>
      </c>
      <c r="B127" s="8">
        <v>40428.55902777778</v>
      </c>
      <c r="C127" s="138">
        <v>40428.55902777778</v>
      </c>
      <c r="D127" s="136">
        <v>1280</v>
      </c>
      <c r="E127" s="150">
        <f t="shared" si="17"/>
        <v>36.245568</v>
      </c>
      <c r="F127" s="145">
        <v>4.82</v>
      </c>
      <c r="G127" s="145">
        <v>0.54</v>
      </c>
      <c r="H127" s="146">
        <v>0.01</v>
      </c>
      <c r="I127" s="145">
        <v>7.61</v>
      </c>
      <c r="J127" s="154">
        <v>35.908692708333334</v>
      </c>
      <c r="K127" s="155">
        <f t="shared" si="18"/>
        <v>174.70363776</v>
      </c>
    </row>
    <row r="128" spans="1:11" ht="13.5">
      <c r="A128" t="s">
        <v>1790</v>
      </c>
      <c r="B128" s="8">
        <v>40443.631944444445</v>
      </c>
      <c r="C128" s="138">
        <v>40443.631944444445</v>
      </c>
      <c r="D128" s="136">
        <v>989</v>
      </c>
      <c r="E128" s="150">
        <f t="shared" si="17"/>
        <v>28.00536465</v>
      </c>
      <c r="F128" s="145">
        <v>4.93</v>
      </c>
      <c r="G128" s="145">
        <v>0.55</v>
      </c>
      <c r="H128" s="146" t="s">
        <v>964</v>
      </c>
      <c r="I128" s="145">
        <v>7.8</v>
      </c>
      <c r="J128" s="154">
        <v>36.067580729166664</v>
      </c>
      <c r="K128" s="155">
        <f t="shared" si="18"/>
        <v>138.0664477245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70"/>
  <sheetViews>
    <sheetView zoomScale="125" zoomScaleNormal="12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28125" style="93" customWidth="1"/>
    <col min="2" max="2" width="17.00390625" style="95" customWidth="1"/>
    <col min="3" max="3" width="15.421875" style="107" bestFit="1" customWidth="1"/>
    <col min="4" max="4" width="11.421875" style="86" customWidth="1"/>
    <col min="5" max="5" width="10.8515625" style="86" customWidth="1"/>
    <col min="6" max="7" width="9.140625" style="110" customWidth="1"/>
    <col min="8" max="8" width="9.140625" style="109" customWidth="1"/>
    <col min="9" max="9" width="9.140625" style="110" customWidth="1"/>
    <col min="10" max="10" width="11.421875" style="86" customWidth="1"/>
    <col min="11" max="11" width="9.140625" style="110" customWidth="1"/>
    <col min="12" max="12" width="13.140625" style="0" customWidth="1"/>
    <col min="13" max="24" width="11.421875" style="0" customWidth="1"/>
    <col min="25" max="25" width="14.421875" style="0" customWidth="1"/>
  </cols>
  <sheetData>
    <row r="1" spans="1:8" ht="12.75">
      <c r="A1" s="14" t="s">
        <v>323</v>
      </c>
      <c r="H1" s="67"/>
    </row>
    <row r="2" ht="12.75">
      <c r="A2" s="93" t="s">
        <v>526</v>
      </c>
    </row>
    <row r="3" spans="1:24" ht="15.75">
      <c r="A3" s="14" t="s">
        <v>524</v>
      </c>
      <c r="B3" s="84" t="s">
        <v>1644</v>
      </c>
      <c r="C3" s="112" t="s">
        <v>1540</v>
      </c>
      <c r="D3" s="78" t="s">
        <v>970</v>
      </c>
      <c r="E3" s="79" t="s">
        <v>970</v>
      </c>
      <c r="F3" s="79" t="s">
        <v>324</v>
      </c>
      <c r="G3" s="79" t="s">
        <v>325</v>
      </c>
      <c r="H3" s="80" t="s">
        <v>326</v>
      </c>
      <c r="I3" s="79" t="s">
        <v>327</v>
      </c>
      <c r="J3" s="58" t="s">
        <v>971</v>
      </c>
      <c r="K3" s="79" t="s">
        <v>328</v>
      </c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3:24" ht="14.25">
      <c r="C4" s="96" t="s">
        <v>735</v>
      </c>
      <c r="D4" s="97" t="s">
        <v>968</v>
      </c>
      <c r="E4" s="99" t="s">
        <v>271</v>
      </c>
      <c r="F4" s="99" t="s">
        <v>969</v>
      </c>
      <c r="G4" s="99" t="s">
        <v>969</v>
      </c>
      <c r="H4" s="98" t="s">
        <v>969</v>
      </c>
      <c r="I4" s="99" t="s">
        <v>969</v>
      </c>
      <c r="J4" s="100" t="s">
        <v>969</v>
      </c>
      <c r="K4" s="99" t="s">
        <v>783</v>
      </c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11" ht="12.75">
      <c r="A5" s="14" t="s">
        <v>960</v>
      </c>
      <c r="C5" s="96"/>
      <c r="D5" s="97"/>
      <c r="E5" s="99"/>
      <c r="F5" s="99"/>
      <c r="G5" s="99"/>
      <c r="H5" s="98"/>
      <c r="I5" s="99"/>
      <c r="J5" s="100"/>
      <c r="K5" s="99"/>
    </row>
    <row r="6" spans="1:13" ht="12.75">
      <c r="A6" s="93" t="s">
        <v>1467</v>
      </c>
      <c r="B6" s="95">
        <v>37181</v>
      </c>
      <c r="C6" s="96">
        <v>0.576388888888889</v>
      </c>
      <c r="D6" s="97">
        <v>98</v>
      </c>
      <c r="E6" s="99">
        <f aca="true" t="shared" si="0" ref="E6:E32">D6*0.028317</f>
        <v>2.775066</v>
      </c>
      <c r="F6" s="99">
        <v>37</v>
      </c>
      <c r="G6" s="99">
        <v>1.4</v>
      </c>
      <c r="H6" s="98">
        <v>0.13</v>
      </c>
      <c r="I6" s="99">
        <v>140</v>
      </c>
      <c r="J6" s="100">
        <v>118.21268750000003</v>
      </c>
      <c r="K6" s="100">
        <f>E6*F6</f>
        <v>102.677442</v>
      </c>
      <c r="L6" s="1"/>
      <c r="M6" s="5"/>
    </row>
    <row r="7" spans="1:13" ht="12.75">
      <c r="A7" s="93" t="s">
        <v>1468</v>
      </c>
      <c r="B7" s="95">
        <v>37271</v>
      </c>
      <c r="C7" s="96">
        <v>0.4159722222222222</v>
      </c>
      <c r="D7" s="97">
        <v>82</v>
      </c>
      <c r="E7" s="99">
        <f t="shared" si="0"/>
        <v>2.3219939999999997</v>
      </c>
      <c r="F7" s="99">
        <v>46</v>
      </c>
      <c r="G7" s="99">
        <v>1.5</v>
      </c>
      <c r="H7" s="98">
        <v>0.14</v>
      </c>
      <c r="I7" s="99">
        <v>160</v>
      </c>
      <c r="J7" s="100">
        <v>138.23257812500003</v>
      </c>
      <c r="K7" s="100">
        <f aca="true" t="shared" si="1" ref="K7:K70">E7*F7</f>
        <v>106.81172399999998</v>
      </c>
      <c r="L7" s="1"/>
      <c r="M7" s="5"/>
    </row>
    <row r="8" spans="1:13" ht="12.75">
      <c r="A8" s="93" t="s">
        <v>1469</v>
      </c>
      <c r="B8" s="95">
        <v>37281</v>
      </c>
      <c r="C8" s="96">
        <v>0.6770833333333334</v>
      </c>
      <c r="D8" s="97">
        <v>84</v>
      </c>
      <c r="E8" s="99">
        <f t="shared" si="0"/>
        <v>2.378628</v>
      </c>
      <c r="F8" s="99">
        <v>44</v>
      </c>
      <c r="G8" s="99">
        <v>1.5</v>
      </c>
      <c r="H8" s="98">
        <v>0.15</v>
      </c>
      <c r="I8" s="99">
        <v>160</v>
      </c>
      <c r="J8" s="100">
        <v>141.0925625</v>
      </c>
      <c r="K8" s="100">
        <f t="shared" si="1"/>
        <v>104.659632</v>
      </c>
      <c r="L8" s="1"/>
      <c r="M8" s="5"/>
    </row>
    <row r="9" spans="1:13" ht="12.75">
      <c r="A9" s="93" t="s">
        <v>1470</v>
      </c>
      <c r="B9" s="95">
        <v>37300</v>
      </c>
      <c r="C9" s="96">
        <v>0.4611111111111111</v>
      </c>
      <c r="D9" s="97">
        <v>80</v>
      </c>
      <c r="E9" s="99">
        <f t="shared" si="0"/>
        <v>2.26536</v>
      </c>
      <c r="F9" s="99">
        <v>61</v>
      </c>
      <c r="G9" s="99">
        <v>1.6</v>
      </c>
      <c r="H9" s="98">
        <v>0.19</v>
      </c>
      <c r="I9" s="99">
        <v>220</v>
      </c>
      <c r="J9" s="100">
        <v>122.02600000000002</v>
      </c>
      <c r="K9" s="100">
        <f t="shared" si="1"/>
        <v>138.18696</v>
      </c>
      <c r="L9" s="1"/>
      <c r="M9" s="5"/>
    </row>
    <row r="10" spans="1:13" ht="12.75">
      <c r="A10" s="93" t="s">
        <v>1471</v>
      </c>
      <c r="B10" s="95">
        <v>37321</v>
      </c>
      <c r="C10" s="96">
        <v>0.6597222222222222</v>
      </c>
      <c r="D10" s="97">
        <v>88</v>
      </c>
      <c r="E10" s="99">
        <f t="shared" si="0"/>
        <v>2.4918959999999997</v>
      </c>
      <c r="F10" s="99">
        <v>46</v>
      </c>
      <c r="G10" s="99">
        <v>1.3</v>
      </c>
      <c r="H10" s="98">
        <v>0.14</v>
      </c>
      <c r="I10" s="99">
        <v>160</v>
      </c>
      <c r="J10" s="100">
        <v>138.86813020833335</v>
      </c>
      <c r="K10" s="100">
        <f t="shared" si="1"/>
        <v>114.62721599999999</v>
      </c>
      <c r="L10" s="1"/>
      <c r="M10" s="5"/>
    </row>
    <row r="11" spans="1:13" ht="12.75">
      <c r="A11" s="93" t="s">
        <v>1472</v>
      </c>
      <c r="B11" s="95">
        <v>37335</v>
      </c>
      <c r="C11" s="96">
        <v>0.7493055555555556</v>
      </c>
      <c r="D11" s="97">
        <v>84</v>
      </c>
      <c r="E11" s="99">
        <f t="shared" si="0"/>
        <v>2.378628</v>
      </c>
      <c r="F11" s="99">
        <v>47</v>
      </c>
      <c r="G11" s="99">
        <v>1.3</v>
      </c>
      <c r="H11" s="98">
        <v>0.15</v>
      </c>
      <c r="I11" s="99">
        <v>170</v>
      </c>
      <c r="J11" s="100">
        <v>149.03696354166667</v>
      </c>
      <c r="K11" s="100">
        <f t="shared" si="1"/>
        <v>111.79551599999999</v>
      </c>
      <c r="L11" s="1"/>
      <c r="M11" s="5"/>
    </row>
    <row r="12" spans="1:13" ht="12.75">
      <c r="A12" s="93" t="s">
        <v>1473</v>
      </c>
      <c r="B12" s="95">
        <v>37340</v>
      </c>
      <c r="C12" s="96">
        <v>0.65625</v>
      </c>
      <c r="D12" s="97">
        <v>88</v>
      </c>
      <c r="E12" s="99">
        <f t="shared" si="0"/>
        <v>2.4918959999999997</v>
      </c>
      <c r="F12" s="99">
        <v>44</v>
      </c>
      <c r="G12" s="99">
        <v>1.5</v>
      </c>
      <c r="H12" s="98">
        <v>0.14</v>
      </c>
      <c r="I12" s="99">
        <v>150</v>
      </c>
      <c r="J12" s="100">
        <v>211.9566197916667</v>
      </c>
      <c r="K12" s="100">
        <f t="shared" si="1"/>
        <v>109.64342399999998</v>
      </c>
      <c r="L12" s="1"/>
      <c r="M12" s="5"/>
    </row>
    <row r="13" spans="1:13" ht="12.75">
      <c r="A13" s="93" t="s">
        <v>1559</v>
      </c>
      <c r="B13" s="95">
        <v>37364</v>
      </c>
      <c r="C13" s="96">
        <v>0.545138888888889</v>
      </c>
      <c r="D13" s="97">
        <v>132</v>
      </c>
      <c r="E13" s="99">
        <f t="shared" si="0"/>
        <v>3.737844</v>
      </c>
      <c r="F13" s="99">
        <v>32</v>
      </c>
      <c r="G13" s="99">
        <v>1.3</v>
      </c>
      <c r="H13" s="98">
        <v>0.096</v>
      </c>
      <c r="I13" s="99">
        <v>120</v>
      </c>
      <c r="J13" s="100">
        <v>192.57228125</v>
      </c>
      <c r="K13" s="100">
        <f t="shared" si="1"/>
        <v>119.611008</v>
      </c>
      <c r="L13" s="1"/>
      <c r="M13" s="5"/>
    </row>
    <row r="14" spans="1:13" ht="12.75">
      <c r="A14" s="93" t="s">
        <v>1560</v>
      </c>
      <c r="B14" s="95">
        <v>37370</v>
      </c>
      <c r="C14" s="96">
        <v>0.6743055555555556</v>
      </c>
      <c r="D14" s="97">
        <v>138</v>
      </c>
      <c r="E14" s="99">
        <f t="shared" si="0"/>
        <v>3.907746</v>
      </c>
      <c r="F14" s="99">
        <v>34</v>
      </c>
      <c r="G14" s="99">
        <v>1.4</v>
      </c>
      <c r="H14" s="98">
        <v>0.14</v>
      </c>
      <c r="I14" s="99">
        <v>130</v>
      </c>
      <c r="J14" s="100">
        <v>192.57228125</v>
      </c>
      <c r="K14" s="100">
        <f t="shared" si="1"/>
        <v>132.863364</v>
      </c>
      <c r="L14" s="1"/>
      <c r="M14" s="5"/>
    </row>
    <row r="15" spans="1:13" ht="12.75">
      <c r="A15" s="93" t="s">
        <v>1561</v>
      </c>
      <c r="B15" s="95">
        <v>37377</v>
      </c>
      <c r="C15" s="96">
        <v>0.6027777777777777</v>
      </c>
      <c r="D15" s="97">
        <v>182</v>
      </c>
      <c r="E15" s="99">
        <f t="shared" si="0"/>
        <v>5.153694</v>
      </c>
      <c r="F15" s="99">
        <v>25</v>
      </c>
      <c r="G15" s="99">
        <v>1.2</v>
      </c>
      <c r="H15" s="98">
        <v>0.062</v>
      </c>
      <c r="I15" s="99">
        <v>91</v>
      </c>
      <c r="J15" s="100">
        <v>147.765859375</v>
      </c>
      <c r="K15" s="100">
        <f t="shared" si="1"/>
        <v>128.84234999999998</v>
      </c>
      <c r="L15" s="1"/>
      <c r="M15" s="5"/>
    </row>
    <row r="16" spans="1:13" ht="12.75">
      <c r="A16" s="93" t="s">
        <v>1562</v>
      </c>
      <c r="B16" s="95">
        <v>37384</v>
      </c>
      <c r="C16" s="96">
        <v>0.73125</v>
      </c>
      <c r="D16" s="97">
        <v>206</v>
      </c>
      <c r="E16" s="99">
        <f t="shared" si="0"/>
        <v>5.833302</v>
      </c>
      <c r="F16" s="99">
        <v>21</v>
      </c>
      <c r="G16" s="99">
        <v>1</v>
      </c>
      <c r="H16" s="98">
        <v>0.068</v>
      </c>
      <c r="I16" s="99">
        <v>82</v>
      </c>
      <c r="J16" s="100">
        <v>149.03696354166667</v>
      </c>
      <c r="K16" s="100">
        <f t="shared" si="1"/>
        <v>122.499342</v>
      </c>
      <c r="L16" s="1"/>
      <c r="M16" s="5"/>
    </row>
    <row r="17" spans="1:13" ht="12.75">
      <c r="A17" s="93" t="s">
        <v>1563</v>
      </c>
      <c r="B17" s="95">
        <v>37391</v>
      </c>
      <c r="C17" s="96">
        <v>0.7340277777777778</v>
      </c>
      <c r="D17" s="97">
        <v>416</v>
      </c>
      <c r="E17" s="99">
        <f t="shared" si="0"/>
        <v>11.779872</v>
      </c>
      <c r="F17" s="99">
        <v>11</v>
      </c>
      <c r="G17" s="99">
        <v>0.7</v>
      </c>
      <c r="H17" s="98" t="s">
        <v>381</v>
      </c>
      <c r="I17" s="99">
        <v>43</v>
      </c>
      <c r="J17" s="100">
        <v>104.23054166666665</v>
      </c>
      <c r="K17" s="100">
        <f t="shared" si="1"/>
        <v>129.578592</v>
      </c>
      <c r="L17" s="1"/>
      <c r="M17" s="5"/>
    </row>
    <row r="18" spans="1:13" ht="12.75">
      <c r="A18" s="93" t="s">
        <v>1564</v>
      </c>
      <c r="B18" s="95">
        <v>37399</v>
      </c>
      <c r="C18" s="96">
        <v>0.3159722222222222</v>
      </c>
      <c r="D18" s="97">
        <v>569</v>
      </c>
      <c r="E18" s="99">
        <f t="shared" si="0"/>
        <v>16.112372999999998</v>
      </c>
      <c r="F18" s="99">
        <v>7.8</v>
      </c>
      <c r="G18" s="99">
        <v>0.59</v>
      </c>
      <c r="H18" s="98" t="s">
        <v>381</v>
      </c>
      <c r="I18" s="99">
        <v>31</v>
      </c>
      <c r="J18" s="100">
        <v>90.88394791666667</v>
      </c>
      <c r="K18" s="100">
        <f t="shared" si="1"/>
        <v>125.67650939999999</v>
      </c>
      <c r="L18" s="1"/>
      <c r="M18" s="5"/>
    </row>
    <row r="19" spans="1:13" ht="12.75">
      <c r="A19" s="93" t="s">
        <v>1565</v>
      </c>
      <c r="B19" s="95">
        <v>37406</v>
      </c>
      <c r="C19" s="96">
        <v>0.6583333333333333</v>
      </c>
      <c r="D19" s="97">
        <v>1050</v>
      </c>
      <c r="E19" s="99">
        <f t="shared" si="0"/>
        <v>29.73285</v>
      </c>
      <c r="F19" s="99">
        <v>5.8</v>
      </c>
      <c r="G19" s="99">
        <v>0.48</v>
      </c>
      <c r="H19" s="98" t="s">
        <v>381</v>
      </c>
      <c r="I19" s="99">
        <v>24</v>
      </c>
      <c r="J19" s="100">
        <v>86.43508333333334</v>
      </c>
      <c r="K19" s="100">
        <f t="shared" si="1"/>
        <v>172.45053</v>
      </c>
      <c r="L19" s="1"/>
      <c r="M19" s="5"/>
    </row>
    <row r="20" spans="1:13" ht="12.75">
      <c r="A20" s="93" t="s">
        <v>1566</v>
      </c>
      <c r="B20" s="95">
        <v>37409</v>
      </c>
      <c r="C20" s="96" t="s">
        <v>1549</v>
      </c>
      <c r="D20" s="97">
        <v>1240</v>
      </c>
      <c r="E20" s="99">
        <f t="shared" si="0"/>
        <v>35.11308</v>
      </c>
      <c r="F20" s="99">
        <f>2294.7*(D20^-0.896)</f>
        <v>3.8816831801772356</v>
      </c>
      <c r="G20" s="99">
        <v>0.48</v>
      </c>
      <c r="H20" s="98" t="s">
        <v>381</v>
      </c>
      <c r="I20" s="99">
        <v>24</v>
      </c>
      <c r="J20" s="100">
        <v>84.52842708333334</v>
      </c>
      <c r="K20" s="100">
        <f t="shared" si="1"/>
        <v>136.29785204021766</v>
      </c>
      <c r="L20" s="1"/>
      <c r="M20" s="5"/>
    </row>
    <row r="21" spans="1:13" ht="12.75">
      <c r="A21" s="93" t="s">
        <v>1567</v>
      </c>
      <c r="B21" s="95">
        <v>37412</v>
      </c>
      <c r="C21" s="96">
        <v>0.3506944444444444</v>
      </c>
      <c r="D21" s="97">
        <v>730</v>
      </c>
      <c r="E21" s="99">
        <f t="shared" si="0"/>
        <v>20.671409999999998</v>
      </c>
      <c r="F21" s="99">
        <v>6</v>
      </c>
      <c r="G21" s="99">
        <v>0.52</v>
      </c>
      <c r="H21" s="98" t="s">
        <v>381</v>
      </c>
      <c r="I21" s="99">
        <v>32</v>
      </c>
      <c r="J21" s="100">
        <v>102.6416614583333</v>
      </c>
      <c r="K21" s="100">
        <f t="shared" si="1"/>
        <v>124.02846</v>
      </c>
      <c r="L21" s="1"/>
      <c r="M21" s="5"/>
    </row>
    <row r="22" spans="1:13" ht="12.75">
      <c r="A22" s="93" t="s">
        <v>1568</v>
      </c>
      <c r="B22" s="95">
        <v>37413</v>
      </c>
      <c r="C22" s="96">
        <v>0.7604166666666666</v>
      </c>
      <c r="D22" s="97">
        <v>743</v>
      </c>
      <c r="E22" s="99">
        <f t="shared" si="0"/>
        <v>21.039531</v>
      </c>
      <c r="F22" s="99">
        <v>8.2</v>
      </c>
      <c r="G22" s="99">
        <v>0.64</v>
      </c>
      <c r="H22" s="98" t="s">
        <v>381</v>
      </c>
      <c r="I22" s="99">
        <v>34</v>
      </c>
      <c r="J22" s="100">
        <v>104.54831770833333</v>
      </c>
      <c r="K22" s="100">
        <f t="shared" si="1"/>
        <v>172.5241542</v>
      </c>
      <c r="L22" s="1"/>
      <c r="M22" s="5"/>
    </row>
    <row r="23" spans="1:13" ht="12.75">
      <c r="A23" s="93" t="s">
        <v>1569</v>
      </c>
      <c r="B23" s="95">
        <v>37419</v>
      </c>
      <c r="C23" s="96">
        <v>0.3361111111111111</v>
      </c>
      <c r="D23" s="97">
        <v>500</v>
      </c>
      <c r="E23" s="99">
        <f t="shared" si="0"/>
        <v>14.1585</v>
      </c>
      <c r="F23" s="99">
        <v>8.6</v>
      </c>
      <c r="G23" s="99">
        <v>0.52</v>
      </c>
      <c r="H23" s="98" t="s">
        <v>381</v>
      </c>
      <c r="I23" s="99">
        <v>28</v>
      </c>
      <c r="J23" s="100">
        <v>92.47282812499999</v>
      </c>
      <c r="K23" s="100">
        <f t="shared" si="1"/>
        <v>121.7631</v>
      </c>
      <c r="L23" s="1"/>
      <c r="M23" s="5"/>
    </row>
    <row r="24" spans="1:13" ht="12.75">
      <c r="A24" s="93" t="s">
        <v>1570</v>
      </c>
      <c r="B24" s="95">
        <v>37426</v>
      </c>
      <c r="C24" s="96">
        <v>0.5694444444444444</v>
      </c>
      <c r="D24" s="97">
        <v>599</v>
      </c>
      <c r="E24" s="99">
        <f t="shared" si="0"/>
        <v>16.961883</v>
      </c>
      <c r="F24" s="99">
        <v>7.4</v>
      </c>
      <c r="G24" s="99">
        <v>0.62</v>
      </c>
      <c r="H24" s="98" t="s">
        <v>381</v>
      </c>
      <c r="I24" s="99">
        <v>38</v>
      </c>
      <c r="J24" s="100">
        <v>111.539390625</v>
      </c>
      <c r="K24" s="100">
        <f t="shared" si="1"/>
        <v>125.51793420000001</v>
      </c>
      <c r="L24" s="1"/>
      <c r="M24" s="5"/>
    </row>
    <row r="25" spans="1:13" ht="12.75">
      <c r="A25" s="93" t="s">
        <v>1571</v>
      </c>
      <c r="B25" s="95">
        <v>37433</v>
      </c>
      <c r="C25" s="96">
        <v>0.5715277777777777</v>
      </c>
      <c r="D25" s="97">
        <v>440</v>
      </c>
      <c r="E25" s="99">
        <f t="shared" si="0"/>
        <v>12.45948</v>
      </c>
      <c r="F25" s="99">
        <v>9.6</v>
      </c>
      <c r="G25" s="99">
        <v>0.8</v>
      </c>
      <c r="H25" s="98" t="s">
        <v>381</v>
      </c>
      <c r="I25" s="99">
        <v>50</v>
      </c>
      <c r="J25" s="100">
        <v>127.42819270833334</v>
      </c>
      <c r="K25" s="100">
        <f t="shared" si="1"/>
        <v>119.61100799999998</v>
      </c>
      <c r="L25" s="1"/>
      <c r="M25" s="5"/>
    </row>
    <row r="26" spans="1:13" ht="12.75">
      <c r="A26" s="93" t="s">
        <v>1572</v>
      </c>
      <c r="B26" s="95">
        <v>37440</v>
      </c>
      <c r="C26" s="96">
        <v>0.35555555555555557</v>
      </c>
      <c r="D26" s="97">
        <v>309</v>
      </c>
      <c r="E26" s="99">
        <f t="shared" si="0"/>
        <v>8.749953</v>
      </c>
      <c r="F26" s="99">
        <v>13</v>
      </c>
      <c r="G26" s="99">
        <v>0.94</v>
      </c>
      <c r="H26" s="98">
        <v>0.06</v>
      </c>
      <c r="I26" s="99">
        <v>67</v>
      </c>
      <c r="J26" s="100">
        <v>148.4014114583333</v>
      </c>
      <c r="K26" s="100">
        <f t="shared" si="1"/>
        <v>113.749389</v>
      </c>
      <c r="L26" s="1"/>
      <c r="M26" s="5"/>
    </row>
    <row r="27" spans="1:13" ht="12.75">
      <c r="A27" s="93" t="s">
        <v>1573</v>
      </c>
      <c r="B27" s="95">
        <v>37448</v>
      </c>
      <c r="C27" s="96">
        <v>0.5875</v>
      </c>
      <c r="D27" s="97">
        <v>223</v>
      </c>
      <c r="E27" s="99">
        <f t="shared" si="0"/>
        <v>6.314691</v>
      </c>
      <c r="F27" s="99">
        <v>18</v>
      </c>
      <c r="G27" s="99">
        <v>0.96</v>
      </c>
      <c r="H27" s="98">
        <v>0.05</v>
      </c>
      <c r="I27" s="99">
        <v>74</v>
      </c>
      <c r="J27" s="100">
        <v>141.41033854166668</v>
      </c>
      <c r="K27" s="100">
        <f t="shared" si="1"/>
        <v>113.66443799999999</v>
      </c>
      <c r="L27" s="1"/>
      <c r="M27" s="5"/>
    </row>
    <row r="28" spans="1:13" ht="12.75">
      <c r="A28" s="93" t="s">
        <v>1574</v>
      </c>
      <c r="B28" s="95">
        <v>37454</v>
      </c>
      <c r="C28" s="96">
        <v>0.3680555555555556</v>
      </c>
      <c r="D28" s="97">
        <v>195</v>
      </c>
      <c r="E28" s="99">
        <f t="shared" si="0"/>
        <v>5.521814999999999</v>
      </c>
      <c r="F28" s="99">
        <v>20</v>
      </c>
      <c r="G28" s="99">
        <v>0.94</v>
      </c>
      <c r="H28" s="98">
        <v>0.04</v>
      </c>
      <c r="I28" s="99">
        <v>68</v>
      </c>
      <c r="J28" s="100">
        <v>144.905875</v>
      </c>
      <c r="K28" s="100">
        <f t="shared" si="1"/>
        <v>110.43629999999999</v>
      </c>
      <c r="L28" s="1"/>
      <c r="M28" s="5"/>
    </row>
    <row r="29" spans="1:13" ht="12.75">
      <c r="A29" s="93" t="s">
        <v>1575</v>
      </c>
      <c r="B29" s="95">
        <v>37455</v>
      </c>
      <c r="C29" s="96">
        <v>0.4375</v>
      </c>
      <c r="D29" s="97">
        <v>202</v>
      </c>
      <c r="E29" s="99">
        <f t="shared" si="0"/>
        <v>5.720034</v>
      </c>
      <c r="F29" s="99">
        <v>18</v>
      </c>
      <c r="G29" s="99">
        <v>1.1</v>
      </c>
      <c r="H29" s="98">
        <v>0.068</v>
      </c>
      <c r="I29" s="99">
        <v>85</v>
      </c>
      <c r="J29" s="100">
        <v>164.92576562500003</v>
      </c>
      <c r="K29" s="100">
        <f t="shared" si="1"/>
        <v>102.960612</v>
      </c>
      <c r="L29" s="1"/>
      <c r="M29" s="5"/>
    </row>
    <row r="30" spans="1:13" ht="12.75">
      <c r="A30" s="93" t="s">
        <v>1576</v>
      </c>
      <c r="B30" s="95">
        <v>37462</v>
      </c>
      <c r="C30" s="96">
        <v>0.6506944444444445</v>
      </c>
      <c r="D30" s="97">
        <v>169</v>
      </c>
      <c r="E30" s="99">
        <f t="shared" si="0"/>
        <v>4.785572999999999</v>
      </c>
      <c r="F30" s="99">
        <v>23</v>
      </c>
      <c r="G30" s="99">
        <v>1.2</v>
      </c>
      <c r="H30" s="98">
        <v>0.092</v>
      </c>
      <c r="I30" s="99">
        <v>100</v>
      </c>
      <c r="J30" s="100">
        <v>257.7163697916667</v>
      </c>
      <c r="K30" s="100">
        <f t="shared" si="1"/>
        <v>110.06817899999999</v>
      </c>
      <c r="L30" s="1"/>
      <c r="M30" s="5"/>
    </row>
    <row r="31" spans="1:13" ht="12.75">
      <c r="A31" s="93" t="s">
        <v>1577</v>
      </c>
      <c r="B31" s="95">
        <v>37482</v>
      </c>
      <c r="C31" s="96">
        <v>0.5</v>
      </c>
      <c r="D31" s="97">
        <v>141</v>
      </c>
      <c r="E31" s="99">
        <f t="shared" si="0"/>
        <v>3.9926969999999997</v>
      </c>
      <c r="F31" s="99">
        <v>28</v>
      </c>
      <c r="G31" s="99">
        <v>1.2</v>
      </c>
      <c r="H31" s="98">
        <v>0.088</v>
      </c>
      <c r="I31" s="99">
        <v>110</v>
      </c>
      <c r="J31" s="100">
        <v>135.37259375</v>
      </c>
      <c r="K31" s="100">
        <f t="shared" si="1"/>
        <v>111.79551599999999</v>
      </c>
      <c r="L31" s="1"/>
      <c r="M31" s="5"/>
    </row>
    <row r="32" spans="1:13" ht="12.75">
      <c r="A32" s="93" t="s">
        <v>1578</v>
      </c>
      <c r="B32" s="95">
        <v>37496</v>
      </c>
      <c r="C32" s="96">
        <v>0.5888888888888889</v>
      </c>
      <c r="D32" s="97">
        <v>129</v>
      </c>
      <c r="E32" s="99">
        <f t="shared" si="0"/>
        <v>3.6528929999999997</v>
      </c>
      <c r="F32" s="99">
        <v>31</v>
      </c>
      <c r="G32" s="99">
        <v>1.6</v>
      </c>
      <c r="H32" s="98">
        <v>0.098</v>
      </c>
      <c r="I32" s="99">
        <v>110</v>
      </c>
      <c r="J32" s="100">
        <v>165.24354166666666</v>
      </c>
      <c r="K32" s="100">
        <f t="shared" si="1"/>
        <v>113.23968299999999</v>
      </c>
      <c r="L32" s="1"/>
      <c r="M32" s="5"/>
    </row>
    <row r="33" spans="1:11" ht="12.75">
      <c r="A33" s="14" t="s">
        <v>961</v>
      </c>
      <c r="C33" s="96"/>
      <c r="D33" s="97"/>
      <c r="E33" s="99"/>
      <c r="F33" s="99"/>
      <c r="G33" s="99"/>
      <c r="H33" s="98"/>
      <c r="I33" s="99"/>
      <c r="J33" s="100"/>
      <c r="K33" s="100"/>
    </row>
    <row r="34" spans="1:14" ht="12.75">
      <c r="A34" s="93" t="s">
        <v>1231</v>
      </c>
      <c r="B34" s="95">
        <v>37546</v>
      </c>
      <c r="C34" s="96">
        <v>0.4375</v>
      </c>
      <c r="D34" s="101">
        <v>107</v>
      </c>
      <c r="E34" s="99">
        <f aca="true" t="shared" si="2" ref="E34:E62">D34*0.028317</f>
        <v>3.029919</v>
      </c>
      <c r="F34" s="99">
        <v>36</v>
      </c>
      <c r="G34" s="99">
        <v>1.46</v>
      </c>
      <c r="H34" s="98">
        <v>0.06</v>
      </c>
      <c r="I34" s="99">
        <v>129.6</v>
      </c>
      <c r="J34" s="100">
        <v>122.02600000000002</v>
      </c>
      <c r="K34" s="100">
        <f t="shared" si="1"/>
        <v>109.077084</v>
      </c>
      <c r="M34" s="1"/>
      <c r="N34" s="1"/>
    </row>
    <row r="35" spans="1:13" ht="12.75">
      <c r="A35" s="93" t="s">
        <v>1474</v>
      </c>
      <c r="B35" s="95">
        <v>37581</v>
      </c>
      <c r="C35" s="96">
        <v>0.6979166666666666</v>
      </c>
      <c r="D35" s="101">
        <v>92</v>
      </c>
      <c r="E35" s="99">
        <f t="shared" si="2"/>
        <v>2.605164</v>
      </c>
      <c r="F35" s="99">
        <v>37.4</v>
      </c>
      <c r="G35" s="99">
        <v>1.5</v>
      </c>
      <c r="H35" s="98">
        <v>0.06</v>
      </c>
      <c r="I35" s="99">
        <v>135.4</v>
      </c>
      <c r="J35" s="100">
        <v>134.73704166666667</v>
      </c>
      <c r="K35" s="100">
        <f t="shared" si="1"/>
        <v>97.43313359999999</v>
      </c>
      <c r="M35" s="1"/>
    </row>
    <row r="36" spans="1:13" ht="12.75">
      <c r="A36" s="93" t="s">
        <v>1475</v>
      </c>
      <c r="B36" s="95">
        <v>37635</v>
      </c>
      <c r="C36" s="96">
        <v>0.625</v>
      </c>
      <c r="D36" s="101">
        <v>86</v>
      </c>
      <c r="E36" s="99">
        <f t="shared" si="2"/>
        <v>2.435262</v>
      </c>
      <c r="F36" s="99">
        <v>39.8</v>
      </c>
      <c r="G36" s="99">
        <v>1.54</v>
      </c>
      <c r="H36" s="98">
        <v>0.08</v>
      </c>
      <c r="I36" s="99">
        <v>141.4</v>
      </c>
      <c r="J36" s="100">
        <v>106.13719791666666</v>
      </c>
      <c r="K36" s="100">
        <f t="shared" si="1"/>
        <v>96.92342759999998</v>
      </c>
      <c r="M36" s="1"/>
    </row>
    <row r="37" spans="1:13" ht="12.75">
      <c r="A37" s="93" t="s">
        <v>1476</v>
      </c>
      <c r="B37" s="95">
        <v>37670</v>
      </c>
      <c r="C37" s="96">
        <v>0.4583333333333333</v>
      </c>
      <c r="D37" s="101">
        <v>76</v>
      </c>
      <c r="E37" s="99">
        <f t="shared" si="2"/>
        <v>2.1520919999999997</v>
      </c>
      <c r="F37" s="99">
        <v>45.4</v>
      </c>
      <c r="G37" s="99">
        <v>1.72</v>
      </c>
      <c r="H37" s="98">
        <v>0.1</v>
      </c>
      <c r="I37" s="99">
        <v>162.8</v>
      </c>
      <c r="J37" s="100">
        <v>100.41722916666667</v>
      </c>
      <c r="K37" s="100">
        <f t="shared" si="1"/>
        <v>97.70497679999998</v>
      </c>
      <c r="M37" s="1"/>
    </row>
    <row r="38" spans="1:13" ht="12.75">
      <c r="A38" s="93" t="s">
        <v>1477</v>
      </c>
      <c r="B38" s="95">
        <v>37685</v>
      </c>
      <c r="C38" s="96">
        <v>0.6777777777777777</v>
      </c>
      <c r="D38" s="101">
        <v>82</v>
      </c>
      <c r="E38" s="99">
        <f t="shared" si="2"/>
        <v>2.3219939999999997</v>
      </c>
      <c r="F38" s="99">
        <v>45.6</v>
      </c>
      <c r="G38" s="99">
        <v>1.72</v>
      </c>
      <c r="H38" s="98">
        <v>0.12</v>
      </c>
      <c r="I38" s="99">
        <v>162.4</v>
      </c>
      <c r="J38" s="100">
        <v>98.51057291666667</v>
      </c>
      <c r="K38" s="100">
        <f t="shared" si="1"/>
        <v>105.88292639999999</v>
      </c>
      <c r="M38" s="1"/>
    </row>
    <row r="39" spans="1:13" ht="12.75">
      <c r="A39" s="93" t="s">
        <v>1478</v>
      </c>
      <c r="B39" s="95">
        <v>37692</v>
      </c>
      <c r="C39" s="96">
        <v>0.4583333333333333</v>
      </c>
      <c r="D39" s="101">
        <v>86</v>
      </c>
      <c r="E39" s="99">
        <f t="shared" si="2"/>
        <v>2.435262</v>
      </c>
      <c r="F39" s="99">
        <v>42.4</v>
      </c>
      <c r="G39" s="99">
        <v>1.62</v>
      </c>
      <c r="H39" s="98">
        <v>0.08</v>
      </c>
      <c r="I39" s="99">
        <v>151.2</v>
      </c>
      <c r="J39" s="100">
        <v>140.45701041666666</v>
      </c>
      <c r="K39" s="100">
        <f t="shared" si="1"/>
        <v>103.25510879999999</v>
      </c>
      <c r="M39" s="1"/>
    </row>
    <row r="40" spans="1:13" ht="12.75">
      <c r="A40" s="93" t="s">
        <v>1479</v>
      </c>
      <c r="B40" s="95">
        <v>37721</v>
      </c>
      <c r="C40" s="96">
        <v>0.5840277777777778</v>
      </c>
      <c r="D40" s="101">
        <v>94</v>
      </c>
      <c r="E40" s="99">
        <f t="shared" si="2"/>
        <v>2.6617979999999997</v>
      </c>
      <c r="F40" s="99">
        <v>41.4</v>
      </c>
      <c r="G40" s="99">
        <v>1.7</v>
      </c>
      <c r="H40" s="98">
        <v>0.08</v>
      </c>
      <c r="I40" s="99">
        <v>148.4</v>
      </c>
      <c r="J40" s="100">
        <v>104.23054166666665</v>
      </c>
      <c r="K40" s="100">
        <f t="shared" si="1"/>
        <v>110.19843719999999</v>
      </c>
      <c r="M40" s="1"/>
    </row>
    <row r="41" spans="1:13" ht="12.75">
      <c r="A41" s="93" t="s">
        <v>1480</v>
      </c>
      <c r="B41" s="95">
        <v>37734</v>
      </c>
      <c r="C41" s="96">
        <v>0.34722222222222227</v>
      </c>
      <c r="D41" s="101">
        <v>212</v>
      </c>
      <c r="E41" s="99">
        <f t="shared" si="2"/>
        <v>6.003203999999999</v>
      </c>
      <c r="F41" s="99">
        <v>21.4</v>
      </c>
      <c r="G41" s="99">
        <v>1.08</v>
      </c>
      <c r="H41" s="98" t="s">
        <v>964</v>
      </c>
      <c r="I41" s="99">
        <v>77.4</v>
      </c>
      <c r="J41" s="100">
        <v>150.30806770833334</v>
      </c>
      <c r="K41" s="100">
        <f t="shared" si="1"/>
        <v>128.46856559999998</v>
      </c>
      <c r="M41" s="1"/>
    </row>
    <row r="42" spans="1:13" ht="12.75">
      <c r="A42" s="93" t="s">
        <v>1481</v>
      </c>
      <c r="B42" s="95">
        <v>37735</v>
      </c>
      <c r="C42" s="96">
        <v>0.3645833333333333</v>
      </c>
      <c r="D42" s="101">
        <v>226</v>
      </c>
      <c r="E42" s="99">
        <f t="shared" si="2"/>
        <v>6.399642</v>
      </c>
      <c r="F42" s="99">
        <v>18.02</v>
      </c>
      <c r="G42" s="99">
        <v>1</v>
      </c>
      <c r="H42" s="98" t="s">
        <v>964</v>
      </c>
      <c r="I42" s="99">
        <v>68.8</v>
      </c>
      <c r="J42" s="100">
        <v>138.55035416666666</v>
      </c>
      <c r="K42" s="100">
        <f t="shared" si="1"/>
        <v>115.32154883999999</v>
      </c>
      <c r="M42" s="1"/>
    </row>
    <row r="43" spans="1:13" ht="12.75">
      <c r="A43" s="93" t="s">
        <v>1482</v>
      </c>
      <c r="B43" s="95">
        <v>37755</v>
      </c>
      <c r="C43" s="96">
        <v>0.33888888888888885</v>
      </c>
      <c r="D43" s="101">
        <v>278</v>
      </c>
      <c r="E43" s="99">
        <f t="shared" si="2"/>
        <v>7.872126</v>
      </c>
      <c r="F43" s="99">
        <v>15.56</v>
      </c>
      <c r="G43" s="99">
        <v>0.92</v>
      </c>
      <c r="H43" s="98" t="s">
        <v>964</v>
      </c>
      <c r="I43" s="99">
        <v>61.2</v>
      </c>
      <c r="J43" s="100">
        <v>128.38152083333333</v>
      </c>
      <c r="K43" s="100">
        <f t="shared" si="1"/>
        <v>122.49028056</v>
      </c>
      <c r="M43" s="1"/>
    </row>
    <row r="44" spans="1:13" ht="12.75">
      <c r="A44" s="93" t="s">
        <v>1483</v>
      </c>
      <c r="B44" s="95">
        <v>37762</v>
      </c>
      <c r="C44" s="96">
        <v>0.5694444444444444</v>
      </c>
      <c r="D44" s="101">
        <v>329</v>
      </c>
      <c r="E44" s="99">
        <f t="shared" si="2"/>
        <v>9.316293</v>
      </c>
      <c r="F44" s="99">
        <v>13.76</v>
      </c>
      <c r="G44" s="99">
        <v>0.92</v>
      </c>
      <c r="H44" s="98" t="s">
        <v>964</v>
      </c>
      <c r="I44" s="99">
        <v>54.2</v>
      </c>
      <c r="J44" s="100">
        <v>112.49271875000001</v>
      </c>
      <c r="K44" s="100">
        <f t="shared" si="1"/>
        <v>128.19219168</v>
      </c>
      <c r="M44" s="1"/>
    </row>
    <row r="45" spans="1:13" ht="12.75">
      <c r="A45" s="93" t="s">
        <v>1484</v>
      </c>
      <c r="B45" s="95">
        <v>37769</v>
      </c>
      <c r="C45" s="96">
        <v>0.4277777777777778</v>
      </c>
      <c r="D45" s="101">
        <v>982</v>
      </c>
      <c r="E45" s="99">
        <f t="shared" si="2"/>
        <v>27.807294</v>
      </c>
      <c r="F45" s="99">
        <v>4.74</v>
      </c>
      <c r="G45" s="99">
        <v>0.46</v>
      </c>
      <c r="H45" s="98" t="s">
        <v>964</v>
      </c>
      <c r="I45" s="99">
        <v>19.74</v>
      </c>
      <c r="J45" s="100">
        <v>71.18183333333333</v>
      </c>
      <c r="K45" s="100">
        <f t="shared" si="1"/>
        <v>131.80657356</v>
      </c>
      <c r="M45" s="1"/>
    </row>
    <row r="46" spans="1:13" ht="12.75">
      <c r="A46" s="93" t="s">
        <v>1485</v>
      </c>
      <c r="B46" s="95">
        <v>37770</v>
      </c>
      <c r="C46" s="96">
        <v>0.4791666666666667</v>
      </c>
      <c r="D46" s="101">
        <v>1060</v>
      </c>
      <c r="E46" s="99">
        <f t="shared" si="2"/>
        <v>30.016019999999997</v>
      </c>
      <c r="F46" s="99">
        <v>4.34</v>
      </c>
      <c r="G46" s="99">
        <v>0.46</v>
      </c>
      <c r="H46" s="98" t="s">
        <v>964</v>
      </c>
      <c r="I46" s="99">
        <v>17.3</v>
      </c>
      <c r="J46" s="100">
        <v>69.91072916666667</v>
      </c>
      <c r="K46" s="100">
        <f t="shared" si="1"/>
        <v>130.2695268</v>
      </c>
      <c r="M46" s="1"/>
    </row>
    <row r="47" spans="1:13" ht="12.75">
      <c r="A47" s="93" t="s">
        <v>1486</v>
      </c>
      <c r="B47" s="95">
        <v>37776</v>
      </c>
      <c r="C47" s="96">
        <v>0.48055555555555557</v>
      </c>
      <c r="D47" s="101">
        <v>831</v>
      </c>
      <c r="E47" s="99">
        <f t="shared" si="2"/>
        <v>23.531426999999997</v>
      </c>
      <c r="F47" s="99">
        <v>5.48</v>
      </c>
      <c r="G47" s="99">
        <v>0.52</v>
      </c>
      <c r="H47" s="98" t="s">
        <v>964</v>
      </c>
      <c r="I47" s="99">
        <v>28.8</v>
      </c>
      <c r="J47" s="100">
        <v>67.36852083333333</v>
      </c>
      <c r="K47" s="100">
        <f t="shared" si="1"/>
        <v>128.95221996</v>
      </c>
      <c r="M47" s="1"/>
    </row>
    <row r="48" spans="1:13" ht="12.75">
      <c r="A48" s="93" t="s">
        <v>1487</v>
      </c>
      <c r="B48" s="95">
        <v>37783</v>
      </c>
      <c r="C48" s="96">
        <v>0.5694444444444444</v>
      </c>
      <c r="D48" s="101">
        <v>611</v>
      </c>
      <c r="E48" s="99">
        <f t="shared" si="2"/>
        <v>17.301686999999998</v>
      </c>
      <c r="F48" s="99">
        <v>6.95</v>
      </c>
      <c r="G48" s="99">
        <v>0.55</v>
      </c>
      <c r="H48" s="98" t="s">
        <v>964</v>
      </c>
      <c r="I48" s="99">
        <v>34.3</v>
      </c>
      <c r="J48" s="100">
        <v>72.77071354166668</v>
      </c>
      <c r="K48" s="100">
        <f t="shared" si="1"/>
        <v>120.24672464999999</v>
      </c>
      <c r="M48" s="1"/>
    </row>
    <row r="49" spans="1:13" ht="12.75">
      <c r="A49" s="93" t="s">
        <v>1488</v>
      </c>
      <c r="B49" s="95">
        <v>37790</v>
      </c>
      <c r="C49" s="96">
        <v>0.3375</v>
      </c>
      <c r="D49" s="101">
        <v>500</v>
      </c>
      <c r="E49" s="99">
        <f t="shared" si="2"/>
        <v>14.1585</v>
      </c>
      <c r="F49" s="99">
        <v>8.2</v>
      </c>
      <c r="G49" s="99">
        <v>0.57</v>
      </c>
      <c r="H49" s="98" t="s">
        <v>964</v>
      </c>
      <c r="I49" s="99">
        <v>35.3</v>
      </c>
      <c r="J49" s="100">
        <v>151.26139583333335</v>
      </c>
      <c r="K49" s="100">
        <f t="shared" si="1"/>
        <v>116.09969999999998</v>
      </c>
      <c r="M49" s="1"/>
    </row>
    <row r="50" spans="1:13" ht="12.75">
      <c r="A50" s="93" t="s">
        <v>1489</v>
      </c>
      <c r="B50" s="95">
        <v>37796</v>
      </c>
      <c r="C50" s="96">
        <v>0.34722222222222227</v>
      </c>
      <c r="D50" s="101">
        <v>338</v>
      </c>
      <c r="E50" s="99">
        <f t="shared" si="2"/>
        <v>9.571145999999999</v>
      </c>
      <c r="F50" s="99">
        <v>12.8</v>
      </c>
      <c r="G50" s="99">
        <v>0.81</v>
      </c>
      <c r="H50" s="98">
        <v>0.01</v>
      </c>
      <c r="I50" s="99">
        <v>55.1</v>
      </c>
      <c r="J50" s="100">
        <v>105.81942187499999</v>
      </c>
      <c r="K50" s="100">
        <f t="shared" si="1"/>
        <v>122.51066879999999</v>
      </c>
      <c r="M50" s="1"/>
    </row>
    <row r="51" spans="1:13" ht="12.75">
      <c r="A51" s="93" t="s">
        <v>1490</v>
      </c>
      <c r="B51" s="95">
        <v>37804</v>
      </c>
      <c r="C51" s="96">
        <v>0.720138888888889</v>
      </c>
      <c r="D51" s="101">
        <v>241</v>
      </c>
      <c r="E51" s="99">
        <f t="shared" si="2"/>
        <v>6.824396999999999</v>
      </c>
      <c r="F51" s="99" t="s">
        <v>784</v>
      </c>
      <c r="G51" s="99">
        <v>0.45</v>
      </c>
      <c r="H51" s="98" t="s">
        <v>964</v>
      </c>
      <c r="I51" s="99">
        <v>15.5</v>
      </c>
      <c r="J51" s="100">
        <v>36.22646875</v>
      </c>
      <c r="K51" s="100"/>
      <c r="M51" s="1"/>
    </row>
    <row r="52" spans="1:13" ht="12.75">
      <c r="A52" s="93" t="s">
        <v>1491</v>
      </c>
      <c r="B52" s="95">
        <v>37809</v>
      </c>
      <c r="C52" s="96">
        <v>0.4166666666666667</v>
      </c>
      <c r="D52" s="101">
        <v>216</v>
      </c>
      <c r="E52" s="99">
        <f t="shared" si="2"/>
        <v>6.116472</v>
      </c>
      <c r="F52" s="99">
        <v>22.4</v>
      </c>
      <c r="G52" s="99">
        <v>1.16</v>
      </c>
      <c r="H52" s="98" t="s">
        <v>964</v>
      </c>
      <c r="I52" s="99">
        <v>89.8</v>
      </c>
      <c r="J52" s="100">
        <v>148.7191875</v>
      </c>
      <c r="K52" s="100">
        <f t="shared" si="1"/>
        <v>137.00897279999998</v>
      </c>
      <c r="M52" s="1"/>
    </row>
    <row r="53" spans="1:13" ht="12.75">
      <c r="A53" s="93" t="s">
        <v>782</v>
      </c>
      <c r="B53" s="95">
        <v>37811</v>
      </c>
      <c r="C53" s="96">
        <v>0.35555555555555557</v>
      </c>
      <c r="D53" s="101">
        <v>206</v>
      </c>
      <c r="E53" s="99">
        <f t="shared" si="2"/>
        <v>5.833302</v>
      </c>
      <c r="F53" s="99">
        <v>18.3</v>
      </c>
      <c r="G53" s="99">
        <v>0.99</v>
      </c>
      <c r="H53" s="98">
        <v>0.02</v>
      </c>
      <c r="I53" s="99">
        <v>70.3</v>
      </c>
      <c r="J53" s="100">
        <v>137.27925000000002</v>
      </c>
      <c r="K53" s="100">
        <f t="shared" si="1"/>
        <v>106.7494266</v>
      </c>
      <c r="M53" s="1"/>
    </row>
    <row r="54" spans="1:13" ht="12.75">
      <c r="A54" s="93" t="s">
        <v>1492</v>
      </c>
      <c r="B54" s="95">
        <v>37818</v>
      </c>
      <c r="C54" s="96">
        <v>0.3284722222222222</v>
      </c>
      <c r="D54" s="101">
        <v>169</v>
      </c>
      <c r="E54" s="99">
        <f t="shared" si="2"/>
        <v>4.785572999999999</v>
      </c>
      <c r="F54" s="99">
        <v>21.4</v>
      </c>
      <c r="G54" s="99">
        <v>1.13</v>
      </c>
      <c r="H54" s="98">
        <v>0.02</v>
      </c>
      <c r="I54" s="99">
        <v>80.4</v>
      </c>
      <c r="J54" s="100">
        <v>151.26139583333335</v>
      </c>
      <c r="K54" s="100">
        <f t="shared" si="1"/>
        <v>102.41126219999998</v>
      </c>
      <c r="M54" s="1"/>
    </row>
    <row r="55" spans="1:13" ht="12.75">
      <c r="A55" s="93" t="s">
        <v>1493</v>
      </c>
      <c r="B55" s="95">
        <v>37825</v>
      </c>
      <c r="C55" s="96">
        <v>0.579861111111111</v>
      </c>
      <c r="D55" s="101">
        <v>147</v>
      </c>
      <c r="E55" s="99">
        <f t="shared" si="2"/>
        <v>4.162599</v>
      </c>
      <c r="F55" s="99">
        <v>23.6</v>
      </c>
      <c r="G55" s="99">
        <v>1.22</v>
      </c>
      <c r="H55" s="98">
        <v>0.02</v>
      </c>
      <c r="I55" s="99">
        <v>88</v>
      </c>
      <c r="J55" s="100">
        <v>161.112453125</v>
      </c>
      <c r="K55" s="100">
        <f t="shared" si="1"/>
        <v>98.2373364</v>
      </c>
      <c r="M55" s="1"/>
    </row>
    <row r="56" spans="1:13" ht="12.75">
      <c r="A56" s="93" t="s">
        <v>1494</v>
      </c>
      <c r="B56" s="95">
        <v>37846</v>
      </c>
      <c r="C56" s="96">
        <v>0.6069444444444444</v>
      </c>
      <c r="D56" s="101">
        <v>115</v>
      </c>
      <c r="E56" s="99">
        <f t="shared" si="2"/>
        <v>3.256455</v>
      </c>
      <c r="F56" s="99">
        <v>28.6</v>
      </c>
      <c r="G56" s="99">
        <v>1.36</v>
      </c>
      <c r="H56" s="98">
        <v>0.04</v>
      </c>
      <c r="I56" s="99">
        <v>105.6</v>
      </c>
      <c r="J56" s="100">
        <v>162.70133333333334</v>
      </c>
      <c r="K56" s="100">
        <f t="shared" si="1"/>
        <v>93.134613</v>
      </c>
      <c r="M56" s="1"/>
    </row>
    <row r="57" spans="1:13" ht="12.75">
      <c r="A57" s="93" t="s">
        <v>1495</v>
      </c>
      <c r="B57" s="95">
        <v>37854</v>
      </c>
      <c r="C57" s="96">
        <v>0.4798611111111111</v>
      </c>
      <c r="D57" s="101">
        <v>110</v>
      </c>
      <c r="E57" s="99">
        <f t="shared" si="2"/>
        <v>3.11487</v>
      </c>
      <c r="F57" s="99">
        <v>30.4</v>
      </c>
      <c r="G57" s="99">
        <v>1.4</v>
      </c>
      <c r="H57" s="98">
        <v>0.04</v>
      </c>
      <c r="I57" s="99">
        <v>111.4</v>
      </c>
      <c r="J57" s="100">
        <v>138.86813020833335</v>
      </c>
      <c r="K57" s="100">
        <f t="shared" si="1"/>
        <v>94.69204799999999</v>
      </c>
      <c r="M57" s="1"/>
    </row>
    <row r="58" spans="1:13" ht="12.75">
      <c r="A58" s="93" t="s">
        <v>1496</v>
      </c>
      <c r="B58" s="95">
        <v>37859</v>
      </c>
      <c r="C58" s="96">
        <v>0.4791666666666667</v>
      </c>
      <c r="D58" s="101">
        <v>107</v>
      </c>
      <c r="E58" s="99">
        <f t="shared" si="2"/>
        <v>3.029919</v>
      </c>
      <c r="F58" s="99">
        <v>30.6</v>
      </c>
      <c r="G58" s="99">
        <v>1.4</v>
      </c>
      <c r="H58" s="98">
        <v>0.04</v>
      </c>
      <c r="I58" s="99">
        <v>110.8</v>
      </c>
      <c r="J58" s="100">
        <v>144.58809895833332</v>
      </c>
      <c r="K58" s="100">
        <f t="shared" si="1"/>
        <v>92.7155214</v>
      </c>
      <c r="M58" s="1"/>
    </row>
    <row r="59" spans="1:13" ht="12.75">
      <c r="A59" s="93" t="s">
        <v>1497</v>
      </c>
      <c r="B59" s="95">
        <v>37860</v>
      </c>
      <c r="C59" s="96">
        <v>0.40625</v>
      </c>
      <c r="D59" s="101">
        <v>107</v>
      </c>
      <c r="E59" s="99">
        <f t="shared" si="2"/>
        <v>3.029919</v>
      </c>
      <c r="F59" s="99">
        <v>31.8</v>
      </c>
      <c r="G59" s="99">
        <v>1.44</v>
      </c>
      <c r="H59" s="98">
        <v>0.04</v>
      </c>
      <c r="I59" s="99">
        <v>116.4</v>
      </c>
      <c r="J59" s="100">
        <v>180.49679166666667</v>
      </c>
      <c r="K59" s="100">
        <f t="shared" si="1"/>
        <v>96.3514242</v>
      </c>
      <c r="M59" s="1"/>
    </row>
    <row r="60" spans="1:13" ht="12.75">
      <c r="A60" s="93" t="s">
        <v>1498</v>
      </c>
      <c r="B60" s="95">
        <v>37867</v>
      </c>
      <c r="C60" s="96">
        <v>0.475</v>
      </c>
      <c r="D60" s="101">
        <v>107</v>
      </c>
      <c r="E60" s="99">
        <f t="shared" si="2"/>
        <v>3.029919</v>
      </c>
      <c r="F60" s="99">
        <v>32.6</v>
      </c>
      <c r="G60" s="99">
        <v>1.42</v>
      </c>
      <c r="H60" s="98">
        <v>0.06</v>
      </c>
      <c r="I60" s="99">
        <v>119.4</v>
      </c>
      <c r="J60" s="100">
        <v>129.01707291666668</v>
      </c>
      <c r="K60" s="100">
        <f t="shared" si="1"/>
        <v>98.7753594</v>
      </c>
      <c r="M60" s="1"/>
    </row>
    <row r="61" spans="1:13" ht="12.75">
      <c r="A61" s="93" t="s">
        <v>1499</v>
      </c>
      <c r="B61" s="95">
        <v>37881</v>
      </c>
      <c r="C61" s="96">
        <v>0.4159722222222222</v>
      </c>
      <c r="D61" s="101">
        <v>110</v>
      </c>
      <c r="E61" s="99">
        <f t="shared" si="2"/>
        <v>3.11487</v>
      </c>
      <c r="F61" s="99">
        <v>32.2</v>
      </c>
      <c r="G61" s="99">
        <v>1.42</v>
      </c>
      <c r="H61" s="98">
        <v>0.04</v>
      </c>
      <c r="I61" s="99">
        <v>119</v>
      </c>
      <c r="J61" s="100">
        <v>181.76789583333334</v>
      </c>
      <c r="K61" s="100">
        <f t="shared" si="1"/>
        <v>100.29881400000001</v>
      </c>
      <c r="M61" s="1"/>
    </row>
    <row r="62" spans="1:13" ht="12.75">
      <c r="A62" s="93" t="s">
        <v>1500</v>
      </c>
      <c r="B62" s="95">
        <v>37888</v>
      </c>
      <c r="C62" s="96">
        <v>0.43333333333333335</v>
      </c>
      <c r="D62" s="101">
        <v>103</v>
      </c>
      <c r="E62" s="99">
        <f t="shared" si="2"/>
        <v>2.916651</v>
      </c>
      <c r="F62" s="99">
        <v>33.9</v>
      </c>
      <c r="G62" s="99">
        <v>1.42</v>
      </c>
      <c r="H62" s="98">
        <v>0.04</v>
      </c>
      <c r="I62" s="99">
        <v>124</v>
      </c>
      <c r="J62" s="100">
        <v>139.82145833333334</v>
      </c>
      <c r="K62" s="100">
        <f t="shared" si="1"/>
        <v>98.8744689</v>
      </c>
      <c r="M62" s="1"/>
    </row>
    <row r="63" spans="1:11" ht="12.75">
      <c r="A63" s="14" t="s">
        <v>963</v>
      </c>
      <c r="C63" s="96"/>
      <c r="D63" s="97"/>
      <c r="E63" s="99"/>
      <c r="F63" s="99"/>
      <c r="G63" s="99"/>
      <c r="H63" s="98"/>
      <c r="I63" s="99"/>
      <c r="J63" s="100"/>
      <c r="K63" s="100"/>
    </row>
    <row r="64" spans="1:13" ht="12.75">
      <c r="A64" s="93" t="s">
        <v>1501</v>
      </c>
      <c r="B64" s="95">
        <v>37895</v>
      </c>
      <c r="C64" s="96">
        <v>0.40208333333333335</v>
      </c>
      <c r="D64" s="101">
        <v>100</v>
      </c>
      <c r="E64" s="99">
        <f aca="true" t="shared" si="3" ref="E64:E98">D64*0.028317</f>
        <v>2.8316999999999997</v>
      </c>
      <c r="F64" s="99">
        <v>34.6</v>
      </c>
      <c r="G64" s="99">
        <v>1.44</v>
      </c>
      <c r="H64" s="98">
        <v>0.04</v>
      </c>
      <c r="I64" s="99">
        <v>127</v>
      </c>
      <c r="J64" s="100">
        <v>151.579171875</v>
      </c>
      <c r="K64" s="100">
        <f t="shared" si="1"/>
        <v>97.97681999999999</v>
      </c>
      <c r="M64" s="1"/>
    </row>
    <row r="65" spans="1:13" ht="12.75">
      <c r="A65" s="93" t="s">
        <v>1502</v>
      </c>
      <c r="B65" s="95">
        <v>37901</v>
      </c>
      <c r="C65" s="96">
        <v>0.4270833333333333</v>
      </c>
      <c r="D65" s="101">
        <v>100</v>
      </c>
      <c r="E65" s="99">
        <f t="shared" si="3"/>
        <v>2.8316999999999997</v>
      </c>
      <c r="F65" s="99">
        <v>38.4</v>
      </c>
      <c r="G65" s="99">
        <v>1.5</v>
      </c>
      <c r="H65" s="98">
        <v>0.06</v>
      </c>
      <c r="I65" s="99">
        <v>139.6</v>
      </c>
      <c r="J65" s="100">
        <v>155.71026041666667</v>
      </c>
      <c r="K65" s="100">
        <f t="shared" si="1"/>
        <v>108.73727999999998</v>
      </c>
      <c r="M65" s="1"/>
    </row>
    <row r="66" spans="1:13" ht="12.75">
      <c r="A66" s="93" t="s">
        <v>1503</v>
      </c>
      <c r="B66" s="95">
        <v>37943</v>
      </c>
      <c r="C66" s="96">
        <v>0.3611111111111111</v>
      </c>
      <c r="D66" s="101">
        <v>90</v>
      </c>
      <c r="E66" s="99">
        <f t="shared" si="3"/>
        <v>2.54853</v>
      </c>
      <c r="F66" s="99">
        <v>40</v>
      </c>
      <c r="G66" s="99">
        <v>1.56</v>
      </c>
      <c r="H66" s="98">
        <v>0.06</v>
      </c>
      <c r="I66" s="99">
        <v>144.2</v>
      </c>
      <c r="J66" s="100">
        <v>166.51464583333333</v>
      </c>
      <c r="K66" s="100">
        <f t="shared" si="1"/>
        <v>101.9412</v>
      </c>
      <c r="M66" s="1"/>
    </row>
    <row r="67" spans="1:13" ht="12.75">
      <c r="A67" s="93" t="s">
        <v>1504</v>
      </c>
      <c r="B67" s="95">
        <v>37994</v>
      </c>
      <c r="C67" s="96">
        <v>0.34722222222222227</v>
      </c>
      <c r="D67" s="101">
        <v>98</v>
      </c>
      <c r="E67" s="99">
        <f t="shared" si="3"/>
        <v>2.775066</v>
      </c>
      <c r="F67" s="99">
        <v>39.3</v>
      </c>
      <c r="G67" s="99">
        <v>1.54</v>
      </c>
      <c r="H67" s="98">
        <v>0.06</v>
      </c>
      <c r="I67" s="99">
        <v>142</v>
      </c>
      <c r="J67" s="100">
        <v>176.04792708333332</v>
      </c>
      <c r="K67" s="100">
        <f t="shared" si="1"/>
        <v>109.06009379999999</v>
      </c>
      <c r="M67" s="1"/>
    </row>
    <row r="68" spans="1:13" ht="12.75">
      <c r="A68" s="93" t="s">
        <v>1505</v>
      </c>
      <c r="B68" s="95">
        <v>38029</v>
      </c>
      <c r="C68" s="96">
        <v>0.6381944444444444</v>
      </c>
      <c r="D68" s="101">
        <v>92</v>
      </c>
      <c r="E68" s="99">
        <f t="shared" si="3"/>
        <v>2.605164</v>
      </c>
      <c r="F68" s="99">
        <v>51.2</v>
      </c>
      <c r="G68" s="99">
        <v>1.57</v>
      </c>
      <c r="H68" s="98">
        <v>0.07</v>
      </c>
      <c r="I68" s="99">
        <v>184</v>
      </c>
      <c r="J68" s="100">
        <v>139.82145833333334</v>
      </c>
      <c r="K68" s="100">
        <f t="shared" si="1"/>
        <v>133.3843968</v>
      </c>
      <c r="M68" s="1"/>
    </row>
    <row r="69" spans="1:13" ht="12.75">
      <c r="A69" s="93" t="s">
        <v>1506</v>
      </c>
      <c r="B69" s="95">
        <v>38041</v>
      </c>
      <c r="C69" s="96">
        <v>0.7083333333333334</v>
      </c>
      <c r="D69" s="101">
        <v>96</v>
      </c>
      <c r="E69" s="99">
        <f t="shared" si="3"/>
        <v>2.718432</v>
      </c>
      <c r="F69" s="99">
        <v>35.5</v>
      </c>
      <c r="G69" s="99">
        <v>1.52</v>
      </c>
      <c r="H69" s="98">
        <v>0.05</v>
      </c>
      <c r="I69" s="99">
        <v>129</v>
      </c>
      <c r="J69" s="100">
        <v>132.51260937499998</v>
      </c>
      <c r="K69" s="100">
        <f t="shared" si="1"/>
        <v>96.504336</v>
      </c>
      <c r="M69" s="1"/>
    </row>
    <row r="70" spans="1:13" ht="12.75">
      <c r="A70" s="93" t="s">
        <v>1507</v>
      </c>
      <c r="B70" s="95">
        <v>38054</v>
      </c>
      <c r="C70" s="96">
        <v>0.6236111111111111</v>
      </c>
      <c r="D70" s="101">
        <v>86</v>
      </c>
      <c r="E70" s="99">
        <f t="shared" si="3"/>
        <v>2.435262</v>
      </c>
      <c r="F70" s="99">
        <v>45.1</v>
      </c>
      <c r="G70" s="99">
        <v>1.6</v>
      </c>
      <c r="H70" s="98">
        <v>0.06</v>
      </c>
      <c r="I70" s="99">
        <v>161</v>
      </c>
      <c r="J70" s="100">
        <v>162.06578125000001</v>
      </c>
      <c r="K70" s="100">
        <f t="shared" si="1"/>
        <v>109.8303162</v>
      </c>
      <c r="M70" s="1"/>
    </row>
    <row r="71" spans="1:13" ht="12.75">
      <c r="A71" s="93" t="s">
        <v>1508</v>
      </c>
      <c r="B71" s="95">
        <v>38068</v>
      </c>
      <c r="C71" s="96">
        <v>0.44305555555555554</v>
      </c>
      <c r="D71" s="101">
        <v>94</v>
      </c>
      <c r="E71" s="99">
        <f t="shared" si="3"/>
        <v>2.6617979999999997</v>
      </c>
      <c r="F71" s="99">
        <v>40.5</v>
      </c>
      <c r="G71" s="99">
        <v>1.55</v>
      </c>
      <c r="H71" s="98">
        <v>0.05</v>
      </c>
      <c r="I71" s="99">
        <v>146</v>
      </c>
      <c r="J71" s="100">
        <v>204.965546875</v>
      </c>
      <c r="K71" s="100">
        <f aca="true" t="shared" si="4" ref="K71:K134">E71*F71</f>
        <v>107.80281899999999</v>
      </c>
      <c r="M71" s="1"/>
    </row>
    <row r="72" spans="1:13" ht="12.75">
      <c r="A72" s="93" t="s">
        <v>1509</v>
      </c>
      <c r="B72" s="95">
        <v>38084</v>
      </c>
      <c r="C72" s="96">
        <v>0.8298611111111112</v>
      </c>
      <c r="D72" s="101">
        <v>195</v>
      </c>
      <c r="E72" s="99">
        <f t="shared" si="3"/>
        <v>5.521814999999999</v>
      </c>
      <c r="F72" s="99">
        <v>27.1</v>
      </c>
      <c r="G72" s="99">
        <v>1.19</v>
      </c>
      <c r="H72" s="98">
        <v>0.03</v>
      </c>
      <c r="I72" s="99">
        <v>106</v>
      </c>
      <c r="J72" s="100">
        <v>165.87909374999998</v>
      </c>
      <c r="K72" s="100">
        <f t="shared" si="4"/>
        <v>149.64118649999998</v>
      </c>
      <c r="M72" s="1"/>
    </row>
    <row r="73" spans="1:13" ht="12.75">
      <c r="A73" s="93" t="s">
        <v>1510</v>
      </c>
      <c r="B73" s="95">
        <v>38090</v>
      </c>
      <c r="C73" s="96">
        <v>0.6</v>
      </c>
      <c r="D73" s="101">
        <v>172</v>
      </c>
      <c r="E73" s="99">
        <f t="shared" si="3"/>
        <v>4.870524</v>
      </c>
      <c r="F73" s="99">
        <v>25.2</v>
      </c>
      <c r="G73" s="99">
        <v>1.19</v>
      </c>
      <c r="H73" s="98">
        <v>0.02</v>
      </c>
      <c r="I73" s="99">
        <v>94.7</v>
      </c>
      <c r="J73" s="100">
        <v>160.47690104166668</v>
      </c>
      <c r="K73" s="100">
        <f t="shared" si="4"/>
        <v>122.73720479999999</v>
      </c>
      <c r="M73" s="1"/>
    </row>
    <row r="74" spans="1:13" ht="12.75">
      <c r="A74" s="93" t="s">
        <v>1511</v>
      </c>
      <c r="B74" s="95">
        <v>38103</v>
      </c>
      <c r="C74" s="96">
        <v>0.5895833333333333</v>
      </c>
      <c r="D74" s="101">
        <v>169</v>
      </c>
      <c r="E74" s="99">
        <f t="shared" si="3"/>
        <v>4.785572999999999</v>
      </c>
      <c r="F74" s="99">
        <v>24.3</v>
      </c>
      <c r="G74" s="99">
        <v>1.15</v>
      </c>
      <c r="H74" s="98">
        <v>0.03</v>
      </c>
      <c r="I74" s="99">
        <v>91.3</v>
      </c>
      <c r="J74" s="100">
        <v>157.93469270833336</v>
      </c>
      <c r="K74" s="100">
        <f t="shared" si="4"/>
        <v>116.28942389999999</v>
      </c>
      <c r="M74" s="1"/>
    </row>
    <row r="75" spans="1:13" ht="12.75">
      <c r="A75" s="93" t="s">
        <v>1512</v>
      </c>
      <c r="B75" s="95">
        <v>38111</v>
      </c>
      <c r="C75" s="96">
        <v>0.5277777777777778</v>
      </c>
      <c r="D75" s="101">
        <v>355</v>
      </c>
      <c r="E75" s="99">
        <f t="shared" si="3"/>
        <v>10.052534999999999</v>
      </c>
      <c r="F75" s="99">
        <v>12.1</v>
      </c>
      <c r="G75" s="99">
        <v>0.74</v>
      </c>
      <c r="H75" s="98">
        <v>0.02</v>
      </c>
      <c r="I75" s="99">
        <v>46</v>
      </c>
      <c r="J75" s="100">
        <v>106.45497395833334</v>
      </c>
      <c r="K75" s="100">
        <f t="shared" si="4"/>
        <v>121.63567349999998</v>
      </c>
      <c r="M75" s="1"/>
    </row>
    <row r="76" spans="1:11" ht="12.75">
      <c r="A76" s="93" t="s">
        <v>1513</v>
      </c>
      <c r="B76" s="95">
        <v>38113</v>
      </c>
      <c r="C76" s="96">
        <v>0.6236111111111111</v>
      </c>
      <c r="D76" s="97">
        <v>445</v>
      </c>
      <c r="E76" s="99">
        <f t="shared" si="3"/>
        <v>12.601065</v>
      </c>
      <c r="F76" s="99">
        <v>6.7</v>
      </c>
      <c r="G76" s="99">
        <v>0.5</v>
      </c>
      <c r="H76" s="98">
        <v>0.01</v>
      </c>
      <c r="I76" s="99">
        <v>25.6</v>
      </c>
      <c r="J76" s="100">
        <v>160.79467708333334</v>
      </c>
      <c r="K76" s="100">
        <f>E76*F76</f>
        <v>84.4271355</v>
      </c>
    </row>
    <row r="77" spans="1:13" ht="12.75">
      <c r="A77" s="93" t="s">
        <v>1514</v>
      </c>
      <c r="B77" s="95">
        <v>38118</v>
      </c>
      <c r="C77" s="96">
        <v>0.3444444444444445</v>
      </c>
      <c r="D77" s="101">
        <v>440</v>
      </c>
      <c r="E77" s="99">
        <f t="shared" si="3"/>
        <v>12.45948</v>
      </c>
      <c r="F77" s="99">
        <v>9.28</v>
      </c>
      <c r="G77" s="99">
        <v>0.64</v>
      </c>
      <c r="H77" s="98" t="s">
        <v>964</v>
      </c>
      <c r="I77" s="99">
        <v>36</v>
      </c>
      <c r="J77" s="100">
        <v>97.87502083333335</v>
      </c>
      <c r="K77" s="100">
        <f t="shared" si="4"/>
        <v>115.62397439999998</v>
      </c>
      <c r="M77" s="1"/>
    </row>
    <row r="78" spans="1:11" ht="12.75">
      <c r="A78" s="93" t="s">
        <v>1272</v>
      </c>
      <c r="B78" s="95">
        <v>38125</v>
      </c>
      <c r="C78" s="96">
        <v>0.3854166666666667</v>
      </c>
      <c r="D78" s="97">
        <v>313</v>
      </c>
      <c r="E78" s="99">
        <f t="shared" si="3"/>
        <v>8.863221</v>
      </c>
      <c r="F78" s="99">
        <v>12.9</v>
      </c>
      <c r="G78" s="99">
        <v>0.85</v>
      </c>
      <c r="H78" s="98">
        <v>0.02</v>
      </c>
      <c r="I78" s="99">
        <v>49.5</v>
      </c>
      <c r="J78" s="100">
        <v>139.18590625</v>
      </c>
      <c r="K78" s="100">
        <f t="shared" si="4"/>
        <v>114.3355509</v>
      </c>
    </row>
    <row r="79" spans="1:11" ht="12.75">
      <c r="A79" s="93" t="s">
        <v>1273</v>
      </c>
      <c r="B79" s="95">
        <v>38128</v>
      </c>
      <c r="C79" s="96">
        <v>0.5520833333333334</v>
      </c>
      <c r="D79" s="97">
        <v>317</v>
      </c>
      <c r="E79" s="99">
        <f t="shared" si="3"/>
        <v>8.976488999999999</v>
      </c>
      <c r="F79" s="99">
        <v>17.6</v>
      </c>
      <c r="G79" s="99">
        <v>0.89</v>
      </c>
      <c r="H79" s="98">
        <v>0.04</v>
      </c>
      <c r="I79" s="99">
        <v>65.7</v>
      </c>
      <c r="J79" s="100">
        <v>138.55035416666666</v>
      </c>
      <c r="K79" s="100">
        <f t="shared" si="4"/>
        <v>157.9862064</v>
      </c>
    </row>
    <row r="80" spans="1:11" ht="12.75">
      <c r="A80" s="93" t="s">
        <v>1274</v>
      </c>
      <c r="B80" s="95">
        <v>38131</v>
      </c>
      <c r="C80" s="96">
        <v>0.517361111111111</v>
      </c>
      <c r="D80" s="97">
        <v>282</v>
      </c>
      <c r="E80" s="99">
        <f t="shared" si="3"/>
        <v>7.985393999999999</v>
      </c>
      <c r="F80" s="99">
        <v>11.2</v>
      </c>
      <c r="G80" s="99">
        <v>0.78</v>
      </c>
      <c r="H80" s="98" t="s">
        <v>964</v>
      </c>
      <c r="I80" s="99">
        <v>43.1</v>
      </c>
      <c r="J80" s="100">
        <v>144.27032291666666</v>
      </c>
      <c r="K80" s="100">
        <f t="shared" si="4"/>
        <v>89.43641279999999</v>
      </c>
    </row>
    <row r="81" spans="1:11" ht="12.75">
      <c r="A81" s="93" t="s">
        <v>1275</v>
      </c>
      <c r="B81" s="95">
        <v>38139</v>
      </c>
      <c r="C81" s="96">
        <v>0.7048611111111112</v>
      </c>
      <c r="D81" s="97">
        <v>382</v>
      </c>
      <c r="E81" s="99">
        <f t="shared" si="3"/>
        <v>10.817093999999999</v>
      </c>
      <c r="F81" s="99">
        <v>10.9</v>
      </c>
      <c r="G81" s="99">
        <v>0.77</v>
      </c>
      <c r="H81" s="98">
        <v>0.02</v>
      </c>
      <c r="I81" s="99">
        <v>42</v>
      </c>
      <c r="J81" s="100">
        <v>126.47486458333334</v>
      </c>
      <c r="K81" s="100">
        <f t="shared" si="4"/>
        <v>117.90632459999999</v>
      </c>
    </row>
    <row r="82" spans="1:11" ht="12.75">
      <c r="A82" s="93" t="s">
        <v>1276</v>
      </c>
      <c r="B82" s="95">
        <v>38152</v>
      </c>
      <c r="C82" s="96">
        <v>0.71875</v>
      </c>
      <c r="D82" s="97">
        <v>411</v>
      </c>
      <c r="E82" s="99">
        <f t="shared" si="3"/>
        <v>11.638287</v>
      </c>
      <c r="F82" s="99">
        <v>9.83</v>
      </c>
      <c r="G82" s="99">
        <v>0.68</v>
      </c>
      <c r="H82" s="98">
        <v>0.02</v>
      </c>
      <c r="I82" s="99">
        <v>37.8</v>
      </c>
      <c r="J82" s="100">
        <v>114.399375</v>
      </c>
      <c r="K82" s="100">
        <f t="shared" si="4"/>
        <v>114.40436121</v>
      </c>
    </row>
    <row r="83" spans="1:11" ht="12.75">
      <c r="A83" s="93" t="s">
        <v>1277</v>
      </c>
      <c r="B83" s="95">
        <v>38159</v>
      </c>
      <c r="C83" s="96">
        <v>0.46527777777777773</v>
      </c>
      <c r="D83" s="97">
        <v>355</v>
      </c>
      <c r="E83" s="99">
        <f t="shared" si="3"/>
        <v>10.052534999999999</v>
      </c>
      <c r="F83" s="99">
        <v>11.3</v>
      </c>
      <c r="G83" s="99">
        <v>0.71</v>
      </c>
      <c r="H83" s="98">
        <v>0.03</v>
      </c>
      <c r="I83" s="99">
        <v>43.2</v>
      </c>
      <c r="J83" s="100">
        <v>113.76382291666667</v>
      </c>
      <c r="K83" s="100">
        <f t="shared" si="4"/>
        <v>113.5936455</v>
      </c>
    </row>
    <row r="84" spans="1:11" ht="12.75">
      <c r="A84" s="93" t="s">
        <v>1278</v>
      </c>
      <c r="B84" s="95">
        <v>38166</v>
      </c>
      <c r="C84" s="96">
        <v>0.5034722222222222</v>
      </c>
      <c r="D84" s="97">
        <v>342</v>
      </c>
      <c r="E84" s="99">
        <f t="shared" si="3"/>
        <v>9.684414</v>
      </c>
      <c r="F84" s="99">
        <v>11.5</v>
      </c>
      <c r="G84" s="99">
        <v>0.68</v>
      </c>
      <c r="H84" s="98">
        <v>0.02</v>
      </c>
      <c r="I84" s="99">
        <v>44.4</v>
      </c>
      <c r="J84" s="100">
        <v>106.13719791666666</v>
      </c>
      <c r="K84" s="100">
        <f t="shared" si="4"/>
        <v>111.370761</v>
      </c>
    </row>
    <row r="85" spans="1:11" ht="12.75">
      <c r="A85" s="93" t="s">
        <v>1279</v>
      </c>
      <c r="B85" s="95">
        <v>38174</v>
      </c>
      <c r="C85" s="96">
        <v>0.40625</v>
      </c>
      <c r="D85" s="97">
        <v>282</v>
      </c>
      <c r="E85" s="99">
        <f t="shared" si="3"/>
        <v>7.985393999999999</v>
      </c>
      <c r="F85" s="99">
        <v>13.9</v>
      </c>
      <c r="G85" s="99">
        <v>0.77</v>
      </c>
      <c r="H85" s="98">
        <v>0.03</v>
      </c>
      <c r="I85" s="99">
        <v>53.1</v>
      </c>
      <c r="J85" s="100">
        <v>111.85716666666666</v>
      </c>
      <c r="K85" s="100">
        <f t="shared" si="4"/>
        <v>110.9969766</v>
      </c>
    </row>
    <row r="86" spans="1:11" ht="12.75">
      <c r="A86" s="93" t="s">
        <v>1280</v>
      </c>
      <c r="B86" s="95">
        <v>38176</v>
      </c>
      <c r="C86" s="96">
        <v>0.40277777777777773</v>
      </c>
      <c r="D86" s="97">
        <v>266</v>
      </c>
      <c r="E86" s="99">
        <f t="shared" si="3"/>
        <v>7.532322</v>
      </c>
      <c r="F86" s="99">
        <v>19.1</v>
      </c>
      <c r="G86" s="99">
        <v>0.85</v>
      </c>
      <c r="H86" s="98">
        <v>0.04</v>
      </c>
      <c r="I86" s="99">
        <v>71.7</v>
      </c>
      <c r="J86" s="100">
        <v>110.58606249999998</v>
      </c>
      <c r="K86" s="100">
        <f t="shared" si="4"/>
        <v>143.8673502</v>
      </c>
    </row>
    <row r="87" spans="1:11" ht="12.75">
      <c r="A87" s="93" t="s">
        <v>1281</v>
      </c>
      <c r="B87" s="95">
        <v>38180</v>
      </c>
      <c r="C87" s="96">
        <v>0.375</v>
      </c>
      <c r="D87" s="97">
        <v>219</v>
      </c>
      <c r="E87" s="99">
        <f t="shared" si="3"/>
        <v>6.201422999999999</v>
      </c>
      <c r="F87" s="99">
        <v>16.9</v>
      </c>
      <c r="G87" s="99">
        <v>0.89</v>
      </c>
      <c r="H87" s="98">
        <v>0.04</v>
      </c>
      <c r="I87" s="99">
        <v>64.5</v>
      </c>
      <c r="J87" s="100">
        <v>128.38152083333333</v>
      </c>
      <c r="K87" s="100">
        <f t="shared" si="4"/>
        <v>104.80404869999998</v>
      </c>
    </row>
    <row r="88" spans="1:11" ht="12.75">
      <c r="A88" s="93" t="s">
        <v>1282</v>
      </c>
      <c r="B88" s="95">
        <v>38187</v>
      </c>
      <c r="C88" s="96">
        <v>0.4548611111111111</v>
      </c>
      <c r="D88" s="97">
        <v>230</v>
      </c>
      <c r="E88" s="99">
        <f t="shared" si="3"/>
        <v>6.51291</v>
      </c>
      <c r="F88" s="99">
        <v>16.3</v>
      </c>
      <c r="G88" s="99">
        <v>0.89</v>
      </c>
      <c r="H88" s="98">
        <v>0.03</v>
      </c>
      <c r="I88" s="99">
        <v>63.2</v>
      </c>
      <c r="J88" s="100">
        <v>117.25935937500002</v>
      </c>
      <c r="K88" s="100">
        <f t="shared" si="4"/>
        <v>106.160433</v>
      </c>
    </row>
    <row r="89" spans="1:11" ht="12.75">
      <c r="A89" s="93" t="s">
        <v>1283</v>
      </c>
      <c r="B89" s="95">
        <v>38194</v>
      </c>
      <c r="C89" s="96">
        <v>0.3854166666666667</v>
      </c>
      <c r="D89" s="97">
        <v>169</v>
      </c>
      <c r="E89" s="99">
        <f t="shared" si="3"/>
        <v>4.785572999999999</v>
      </c>
      <c r="F89" s="99">
        <v>21.4</v>
      </c>
      <c r="G89" s="99">
        <v>1.06</v>
      </c>
      <c r="H89" s="98">
        <v>0.04</v>
      </c>
      <c r="I89" s="99">
        <v>80.5</v>
      </c>
      <c r="J89" s="100">
        <v>87.7061875</v>
      </c>
      <c r="K89" s="100">
        <f t="shared" si="4"/>
        <v>102.41126219999998</v>
      </c>
    </row>
    <row r="90" spans="1:11" ht="12.75">
      <c r="A90" s="93" t="s">
        <v>1284</v>
      </c>
      <c r="B90" s="95">
        <v>38201</v>
      </c>
      <c r="C90" s="96">
        <v>0.3854166666666667</v>
      </c>
      <c r="D90" s="97">
        <v>144</v>
      </c>
      <c r="E90" s="99">
        <f t="shared" si="3"/>
        <v>4.077648</v>
      </c>
      <c r="F90" s="99">
        <v>24.6</v>
      </c>
      <c r="G90" s="99">
        <v>1.19</v>
      </c>
      <c r="H90" s="98">
        <v>0.05</v>
      </c>
      <c r="I90" s="99">
        <v>91</v>
      </c>
      <c r="J90" s="100">
        <v>163.01910937500003</v>
      </c>
      <c r="K90" s="100">
        <f t="shared" si="4"/>
        <v>100.3101408</v>
      </c>
    </row>
    <row r="91" spans="1:11" ht="12.75">
      <c r="A91" s="93" t="s">
        <v>1285</v>
      </c>
      <c r="B91" s="95">
        <v>38208</v>
      </c>
      <c r="C91" s="96">
        <v>0.53125</v>
      </c>
      <c r="D91" s="97">
        <v>135</v>
      </c>
      <c r="E91" s="99">
        <f t="shared" si="3"/>
        <v>3.8227949999999997</v>
      </c>
      <c r="F91" s="99">
        <v>25.8</v>
      </c>
      <c r="G91" s="99">
        <v>1.22</v>
      </c>
      <c r="H91" s="98">
        <v>0.05</v>
      </c>
      <c r="I91" s="99">
        <v>95.1</v>
      </c>
      <c r="J91" s="100">
        <v>165.56131770833335</v>
      </c>
      <c r="K91" s="100">
        <f t="shared" si="4"/>
        <v>98.62811099999999</v>
      </c>
    </row>
    <row r="92" spans="1:11" ht="12.75">
      <c r="A92" s="93" t="s">
        <v>1286</v>
      </c>
      <c r="B92" s="95">
        <v>38215</v>
      </c>
      <c r="C92" s="96">
        <v>0.3645833333333333</v>
      </c>
      <c r="D92" s="97">
        <v>123</v>
      </c>
      <c r="E92" s="99">
        <f t="shared" si="3"/>
        <v>3.4829909999999997</v>
      </c>
      <c r="F92" s="99">
        <v>28.2</v>
      </c>
      <c r="G92" s="99">
        <v>1.32</v>
      </c>
      <c r="H92" s="98">
        <v>0.06</v>
      </c>
      <c r="I92" s="99">
        <v>104.4</v>
      </c>
      <c r="J92" s="100">
        <v>176.36570312499998</v>
      </c>
      <c r="K92" s="100">
        <f t="shared" si="4"/>
        <v>98.2203462</v>
      </c>
    </row>
    <row r="93" spans="1:11" ht="12.75">
      <c r="A93" s="93" t="s">
        <v>1287</v>
      </c>
      <c r="B93" s="95">
        <v>38222</v>
      </c>
      <c r="C93" s="96">
        <v>0.4166666666666667</v>
      </c>
      <c r="D93" s="97">
        <v>150</v>
      </c>
      <c r="E93" s="99">
        <f t="shared" si="3"/>
        <v>4.2475499999999995</v>
      </c>
      <c r="F93" s="99">
        <v>25</v>
      </c>
      <c r="G93" s="99">
        <v>1.21</v>
      </c>
      <c r="H93" s="98">
        <v>0.05</v>
      </c>
      <c r="I93" s="99">
        <v>92.3</v>
      </c>
      <c r="J93" s="100">
        <v>165.87909374999998</v>
      </c>
      <c r="K93" s="100">
        <f t="shared" si="4"/>
        <v>106.18874999999998</v>
      </c>
    </row>
    <row r="94" spans="1:11" ht="12.75">
      <c r="A94" s="93" t="s">
        <v>1288</v>
      </c>
      <c r="B94" s="95">
        <v>38224</v>
      </c>
      <c r="C94" s="96">
        <v>0.4201388888888889</v>
      </c>
      <c r="D94" s="97">
        <v>141</v>
      </c>
      <c r="E94" s="99">
        <f t="shared" si="3"/>
        <v>3.9926969999999997</v>
      </c>
      <c r="F94" s="99">
        <v>31.2</v>
      </c>
      <c r="G94" s="99">
        <v>1.32</v>
      </c>
      <c r="H94" s="98">
        <v>0.08</v>
      </c>
      <c r="I94" s="99">
        <v>114</v>
      </c>
      <c r="J94" s="100">
        <v>183.67455208333334</v>
      </c>
      <c r="K94" s="100">
        <f t="shared" si="4"/>
        <v>124.5721464</v>
      </c>
    </row>
    <row r="95" spans="1:11" ht="12.75">
      <c r="A95" s="93" t="s">
        <v>1289</v>
      </c>
      <c r="B95" s="95">
        <v>38229</v>
      </c>
      <c r="C95" s="96">
        <v>0.3958333333333333</v>
      </c>
      <c r="D95" s="97">
        <v>123</v>
      </c>
      <c r="E95" s="99">
        <f t="shared" si="3"/>
        <v>3.4829909999999997</v>
      </c>
      <c r="F95" s="99">
        <v>28.8</v>
      </c>
      <c r="G95" s="99">
        <v>1.32</v>
      </c>
      <c r="H95" s="98">
        <v>0.06</v>
      </c>
      <c r="I95" s="99">
        <v>107</v>
      </c>
      <c r="J95" s="100">
        <v>171.5990625</v>
      </c>
      <c r="K95" s="100">
        <f t="shared" si="4"/>
        <v>100.3101408</v>
      </c>
    </row>
    <row r="96" spans="1:11" ht="12.75">
      <c r="A96" s="93" t="s">
        <v>1290</v>
      </c>
      <c r="B96" s="95">
        <v>38237</v>
      </c>
      <c r="C96" s="96">
        <v>0.3854166666666667</v>
      </c>
      <c r="D96" s="97">
        <v>117</v>
      </c>
      <c r="E96" s="99">
        <f t="shared" si="3"/>
        <v>3.3130889999999997</v>
      </c>
      <c r="F96" s="99">
        <v>31</v>
      </c>
      <c r="G96" s="99">
        <v>1.36</v>
      </c>
      <c r="H96" s="98">
        <v>0.08</v>
      </c>
      <c r="I96" s="99">
        <v>114</v>
      </c>
      <c r="J96" s="100">
        <v>135.69036979166668</v>
      </c>
      <c r="K96" s="100">
        <f t="shared" si="4"/>
        <v>102.70575899999999</v>
      </c>
    </row>
    <row r="97" spans="1:11" ht="12.75">
      <c r="A97" s="93" t="s">
        <v>1291</v>
      </c>
      <c r="B97" s="95">
        <v>38243</v>
      </c>
      <c r="C97" s="96">
        <v>0.4236111111111111</v>
      </c>
      <c r="D97" s="97">
        <v>132</v>
      </c>
      <c r="E97" s="99">
        <f t="shared" si="3"/>
        <v>3.737844</v>
      </c>
      <c r="F97" s="99">
        <v>28.4</v>
      </c>
      <c r="G97" s="99">
        <v>1.26</v>
      </c>
      <c r="H97" s="98">
        <v>0.06</v>
      </c>
      <c r="I97" s="99">
        <v>105.8</v>
      </c>
      <c r="J97" s="100">
        <v>110.26828645833334</v>
      </c>
      <c r="K97" s="100">
        <f t="shared" si="4"/>
        <v>106.1547696</v>
      </c>
    </row>
    <row r="98" spans="1:11" ht="12.75">
      <c r="A98" s="93" t="s">
        <v>1292</v>
      </c>
      <c r="B98" s="95">
        <v>38250</v>
      </c>
      <c r="C98" s="96">
        <v>0.4479166666666667</v>
      </c>
      <c r="D98" s="97">
        <v>138</v>
      </c>
      <c r="E98" s="99">
        <f t="shared" si="3"/>
        <v>3.907746</v>
      </c>
      <c r="F98" s="99">
        <v>27.4</v>
      </c>
      <c r="G98" s="99">
        <v>1.26</v>
      </c>
      <c r="H98" s="98">
        <v>0.06</v>
      </c>
      <c r="I98" s="99">
        <v>102.6</v>
      </c>
      <c r="J98" s="100">
        <v>174.77682291666665</v>
      </c>
      <c r="K98" s="100">
        <f t="shared" si="4"/>
        <v>107.0722404</v>
      </c>
    </row>
    <row r="99" spans="1:11" ht="12.75">
      <c r="A99" s="14" t="s">
        <v>822</v>
      </c>
      <c r="C99" s="96"/>
      <c r="D99" s="97"/>
      <c r="E99" s="99"/>
      <c r="F99" s="99"/>
      <c r="G99" s="99"/>
      <c r="H99" s="98"/>
      <c r="I99" s="99"/>
      <c r="J99" s="100"/>
      <c r="K99" s="100"/>
    </row>
    <row r="100" spans="1:11" ht="12.75">
      <c r="A100" s="93" t="s">
        <v>1006</v>
      </c>
      <c r="B100" s="95">
        <v>38278</v>
      </c>
      <c r="C100" s="96">
        <v>0.5069444444444444</v>
      </c>
      <c r="D100" s="97">
        <v>117</v>
      </c>
      <c r="E100" s="99">
        <f aca="true" t="shared" si="5" ref="E100:E163">D100*0.02831685</f>
        <v>3.3130714500000003</v>
      </c>
      <c r="F100" s="105">
        <v>32.2</v>
      </c>
      <c r="G100" s="99">
        <v>1.32</v>
      </c>
      <c r="H100" s="98">
        <v>0.08</v>
      </c>
      <c r="I100" s="99">
        <v>118.4</v>
      </c>
      <c r="J100" s="100">
        <v>119.80156770833335</v>
      </c>
      <c r="K100" s="100">
        <f t="shared" si="4"/>
        <v>106.68090069000002</v>
      </c>
    </row>
    <row r="101" spans="1:11" ht="12.75">
      <c r="A101" s="93" t="s">
        <v>1007</v>
      </c>
      <c r="B101" s="95" t="str">
        <f>MID(A101,4,2)&amp;"/"&amp;MID(A101,6,2)&amp;"/"&amp;RIGHT(A101,2)</f>
        <v>10/19/04</v>
      </c>
      <c r="C101" s="96">
        <v>0.7986111111111112</v>
      </c>
      <c r="D101" s="97">
        <v>112</v>
      </c>
      <c r="E101" s="99">
        <f t="shared" si="5"/>
        <v>3.1714872</v>
      </c>
      <c r="F101" s="105">
        <v>38.4</v>
      </c>
      <c r="G101" s="99">
        <v>1.4</v>
      </c>
      <c r="H101" s="98">
        <v>0.1</v>
      </c>
      <c r="I101" s="99">
        <v>140</v>
      </c>
      <c r="J101" s="100">
        <v>108.99718229166666</v>
      </c>
      <c r="K101" s="100">
        <f t="shared" si="4"/>
        <v>121.78510847999999</v>
      </c>
    </row>
    <row r="102" spans="1:11" ht="12.75">
      <c r="A102" s="93" t="s">
        <v>1008</v>
      </c>
      <c r="B102" s="95">
        <v>38306</v>
      </c>
      <c r="C102" s="96">
        <v>0.3625</v>
      </c>
      <c r="D102" s="97">
        <v>86</v>
      </c>
      <c r="E102" s="99">
        <f t="shared" si="5"/>
        <v>2.4352491</v>
      </c>
      <c r="F102" s="105">
        <v>46</v>
      </c>
      <c r="G102" s="99">
        <v>1.58</v>
      </c>
      <c r="H102" s="98">
        <v>0.1</v>
      </c>
      <c r="I102" s="99">
        <v>166.2</v>
      </c>
      <c r="J102" s="100">
        <v>160.79467708333334</v>
      </c>
      <c r="K102" s="100">
        <f t="shared" si="4"/>
        <v>112.0214586</v>
      </c>
    </row>
    <row r="103" spans="1:11" ht="12.75">
      <c r="A103" s="93" t="s">
        <v>1009</v>
      </c>
      <c r="B103" s="95" t="str">
        <f>MID(A103,4,2)&amp;"/"&amp;MID(A103,6,2)&amp;"/"&amp;RIGHT(A103,2)</f>
        <v>12/09/04</v>
      </c>
      <c r="C103" s="96">
        <v>0.4270833333333333</v>
      </c>
      <c r="D103" s="97">
        <v>94</v>
      </c>
      <c r="E103" s="99">
        <f t="shared" si="5"/>
        <v>2.6617839</v>
      </c>
      <c r="F103" s="105">
        <v>43</v>
      </c>
      <c r="G103" s="99">
        <v>1.5</v>
      </c>
      <c r="H103" s="98">
        <v>0.12</v>
      </c>
      <c r="I103" s="99">
        <v>156.4</v>
      </c>
      <c r="J103" s="100">
        <v>106.77274999999999</v>
      </c>
      <c r="K103" s="100">
        <f t="shared" si="4"/>
        <v>114.45670770000001</v>
      </c>
    </row>
    <row r="104" spans="1:11" ht="12.75">
      <c r="A104" s="93" t="s">
        <v>1010</v>
      </c>
      <c r="B104" s="95">
        <v>38334</v>
      </c>
      <c r="C104" s="96">
        <v>0.5972222222222222</v>
      </c>
      <c r="D104" s="97">
        <v>88</v>
      </c>
      <c r="E104" s="99">
        <f t="shared" si="5"/>
        <v>2.4918828</v>
      </c>
      <c r="F104" s="105">
        <v>46.6</v>
      </c>
      <c r="G104" s="99">
        <v>1.6</v>
      </c>
      <c r="H104" s="98">
        <v>0.1</v>
      </c>
      <c r="I104" s="99">
        <v>168.2</v>
      </c>
      <c r="J104" s="100">
        <v>164.92576562500003</v>
      </c>
      <c r="K104" s="100">
        <f t="shared" si="4"/>
        <v>116.12173848</v>
      </c>
    </row>
    <row r="105" spans="1:11" ht="12.75">
      <c r="A105" s="93" t="s">
        <v>1011</v>
      </c>
      <c r="B105" s="95" t="str">
        <f aca="true" t="shared" si="6" ref="B105:B146">MID(A105,4,2)&amp;"/"&amp;MID(A105,6,2)&amp;"/"&amp;RIGHT(A105,2)</f>
        <v>02/02/05</v>
      </c>
      <c r="C105" s="96">
        <v>0.4888888888888889</v>
      </c>
      <c r="D105" s="97">
        <v>66</v>
      </c>
      <c r="E105" s="99">
        <f t="shared" si="5"/>
        <v>1.8689121</v>
      </c>
      <c r="F105" s="105">
        <v>55.8</v>
      </c>
      <c r="G105" s="99">
        <v>1.6</v>
      </c>
      <c r="H105" s="98">
        <v>0.14</v>
      </c>
      <c r="I105" s="99">
        <v>204</v>
      </c>
      <c r="J105" s="100">
        <v>98.66946093749998</v>
      </c>
      <c r="K105" s="100">
        <f t="shared" si="4"/>
        <v>104.28529517999999</v>
      </c>
    </row>
    <row r="106" spans="1:11" ht="12.75">
      <c r="A106" s="93" t="s">
        <v>1012</v>
      </c>
      <c r="B106" s="95" t="str">
        <f t="shared" si="6"/>
        <v>02/16/05</v>
      </c>
      <c r="C106" s="96">
        <v>0.44305555555555554</v>
      </c>
      <c r="D106" s="97">
        <v>52</v>
      </c>
      <c r="E106" s="99">
        <f t="shared" si="5"/>
        <v>1.4724762</v>
      </c>
      <c r="F106" s="105">
        <v>65</v>
      </c>
      <c r="G106" s="99">
        <v>1.74</v>
      </c>
      <c r="H106" s="98">
        <v>0.18</v>
      </c>
      <c r="I106" s="99">
        <v>234</v>
      </c>
      <c r="J106" s="100">
        <v>105.97830989583335</v>
      </c>
      <c r="K106" s="100">
        <f t="shared" si="4"/>
        <v>95.710953</v>
      </c>
    </row>
    <row r="107" spans="1:11" ht="12.75">
      <c r="A107" s="93" t="s">
        <v>1013</v>
      </c>
      <c r="B107" s="95" t="str">
        <f t="shared" si="6"/>
        <v>03/01/05</v>
      </c>
      <c r="C107" s="96">
        <v>0.6631944444444444</v>
      </c>
      <c r="D107" s="97">
        <v>92</v>
      </c>
      <c r="E107" s="99">
        <f t="shared" si="5"/>
        <v>2.6051502</v>
      </c>
      <c r="F107" s="105">
        <v>46</v>
      </c>
      <c r="G107" s="99">
        <v>1.58</v>
      </c>
      <c r="H107" s="98">
        <v>0.12</v>
      </c>
      <c r="I107" s="99">
        <v>166.8</v>
      </c>
      <c r="J107" s="100">
        <v>130.54239791666666</v>
      </c>
      <c r="K107" s="100">
        <f t="shared" si="4"/>
        <v>119.83690920000001</v>
      </c>
    </row>
    <row r="108" spans="1:11" ht="12.75">
      <c r="A108" s="93" t="s">
        <v>1014</v>
      </c>
      <c r="B108" s="95" t="str">
        <f t="shared" si="6"/>
        <v>03/08/05</v>
      </c>
      <c r="C108" s="96">
        <v>0.3854166666666667</v>
      </c>
      <c r="D108" s="97">
        <v>90</v>
      </c>
      <c r="E108" s="99">
        <f t="shared" si="5"/>
        <v>2.5485165000000003</v>
      </c>
      <c r="F108" s="105">
        <v>44.2</v>
      </c>
      <c r="G108" s="99">
        <v>1.54</v>
      </c>
      <c r="H108" s="98">
        <v>0.12</v>
      </c>
      <c r="I108" s="99">
        <v>161</v>
      </c>
      <c r="J108" s="100">
        <v>115.28914791666666</v>
      </c>
      <c r="K108" s="100">
        <f t="shared" si="4"/>
        <v>112.64442930000003</v>
      </c>
    </row>
    <row r="109" spans="1:11" ht="12.75">
      <c r="A109" s="93" t="s">
        <v>1015</v>
      </c>
      <c r="B109" s="95" t="str">
        <f t="shared" si="6"/>
        <v>03/21/05</v>
      </c>
      <c r="C109" s="96">
        <v>0.6361111111111112</v>
      </c>
      <c r="D109" s="97">
        <v>90</v>
      </c>
      <c r="E109" s="99">
        <f t="shared" si="5"/>
        <v>2.5485165000000003</v>
      </c>
      <c r="F109" s="105">
        <v>44.6</v>
      </c>
      <c r="G109" s="99">
        <v>1.54</v>
      </c>
      <c r="H109" s="98">
        <v>0.12</v>
      </c>
      <c r="I109" s="99">
        <v>161.8</v>
      </c>
      <c r="J109" s="100">
        <v>108.42518541666666</v>
      </c>
      <c r="K109" s="100">
        <f t="shared" si="4"/>
        <v>113.66383590000002</v>
      </c>
    </row>
    <row r="110" spans="1:11" ht="12.75">
      <c r="A110" s="93" t="s">
        <v>1016</v>
      </c>
      <c r="B110" s="95" t="str">
        <f t="shared" si="6"/>
        <v>04/11/05</v>
      </c>
      <c r="C110" s="96">
        <v>0.6333333333333333</v>
      </c>
      <c r="D110" s="97">
        <v>94</v>
      </c>
      <c r="E110" s="99">
        <f t="shared" si="5"/>
        <v>2.6617839</v>
      </c>
      <c r="F110" s="105">
        <v>44.2</v>
      </c>
      <c r="G110" s="99">
        <v>1.52</v>
      </c>
      <c r="H110" s="98">
        <v>0.12</v>
      </c>
      <c r="I110" s="99">
        <v>159.8</v>
      </c>
      <c r="J110" s="100">
        <v>106.29608593750002</v>
      </c>
      <c r="K110" s="100">
        <f t="shared" si="4"/>
        <v>117.65084838000001</v>
      </c>
    </row>
    <row r="111" spans="1:11" ht="12.75">
      <c r="A111" s="93" t="s">
        <v>1017</v>
      </c>
      <c r="B111" s="95" t="str">
        <f t="shared" si="6"/>
        <v>04/19/05</v>
      </c>
      <c r="C111" s="96" t="s">
        <v>1549</v>
      </c>
      <c r="D111" s="97">
        <v>117</v>
      </c>
      <c r="E111" s="99">
        <f t="shared" si="5"/>
        <v>3.3130714500000003</v>
      </c>
      <c r="F111" s="105">
        <v>35.4</v>
      </c>
      <c r="G111" s="99">
        <v>1.42</v>
      </c>
      <c r="H111" s="98">
        <v>0.08</v>
      </c>
      <c r="I111" s="99">
        <v>128</v>
      </c>
      <c r="J111" s="100">
        <v>175.82548385416663</v>
      </c>
      <c r="K111" s="100">
        <f t="shared" si="4"/>
        <v>117.28272933000001</v>
      </c>
    </row>
    <row r="112" spans="1:11" ht="12.75">
      <c r="A112" s="93" t="s">
        <v>1018</v>
      </c>
      <c r="B112" s="95" t="str">
        <f t="shared" si="6"/>
        <v>04/20/05</v>
      </c>
      <c r="C112" s="96">
        <v>0.7638888888888888</v>
      </c>
      <c r="D112" s="97">
        <v>117</v>
      </c>
      <c r="E112" s="99">
        <f t="shared" si="5"/>
        <v>3.3130714500000003</v>
      </c>
      <c r="F112" s="105">
        <v>40</v>
      </c>
      <c r="G112" s="99">
        <v>1.48</v>
      </c>
      <c r="H112" s="98">
        <v>0.1</v>
      </c>
      <c r="I112" s="99">
        <v>145</v>
      </c>
      <c r="J112" s="100">
        <v>160.15912500000002</v>
      </c>
      <c r="K112" s="100">
        <f t="shared" si="4"/>
        <v>132.522858</v>
      </c>
    </row>
    <row r="113" spans="1:11" ht="12.75">
      <c r="A113" s="93" t="s">
        <v>1019</v>
      </c>
      <c r="B113" s="95" t="str">
        <f t="shared" si="6"/>
        <v>04/25/05</v>
      </c>
      <c r="C113" s="96" t="s">
        <v>1549</v>
      </c>
      <c r="D113" s="97">
        <v>169</v>
      </c>
      <c r="E113" s="99">
        <f t="shared" si="5"/>
        <v>4.78554765</v>
      </c>
      <c r="F113" s="105">
        <v>26.6</v>
      </c>
      <c r="G113" s="99">
        <v>1.24</v>
      </c>
      <c r="H113" s="98">
        <v>0.06</v>
      </c>
      <c r="I113" s="99">
        <v>93.8</v>
      </c>
      <c r="J113" s="100">
        <v>157.61691666666667</v>
      </c>
      <c r="K113" s="100">
        <f t="shared" si="4"/>
        <v>127.29556749</v>
      </c>
    </row>
    <row r="114" spans="1:11" ht="12.75">
      <c r="A114" s="93" t="s">
        <v>1020</v>
      </c>
      <c r="B114" s="95" t="str">
        <f t="shared" si="6"/>
        <v>05/09/05</v>
      </c>
      <c r="C114" s="96" t="s">
        <v>1549</v>
      </c>
      <c r="D114" s="97">
        <v>333</v>
      </c>
      <c r="E114" s="99">
        <f t="shared" si="5"/>
        <v>9.42951105</v>
      </c>
      <c r="F114" s="105">
        <v>13.48</v>
      </c>
      <c r="G114" s="99">
        <v>0.82</v>
      </c>
      <c r="H114" s="98">
        <v>0.02</v>
      </c>
      <c r="I114" s="99">
        <v>51.2</v>
      </c>
      <c r="J114" s="100">
        <v>119.80156770833335</v>
      </c>
      <c r="K114" s="100">
        <f t="shared" si="4"/>
        <v>127.109808954</v>
      </c>
    </row>
    <row r="115" spans="1:11" ht="12.75">
      <c r="A115" s="93" t="s">
        <v>1021</v>
      </c>
      <c r="B115" s="95" t="str">
        <f t="shared" si="6"/>
        <v>05/17/05</v>
      </c>
      <c r="C115" s="96">
        <v>0.5736111111111112</v>
      </c>
      <c r="D115" s="97">
        <v>605</v>
      </c>
      <c r="E115" s="99">
        <f t="shared" si="5"/>
        <v>17.13169425</v>
      </c>
      <c r="F115" s="105">
        <v>7.44</v>
      </c>
      <c r="G115" s="99">
        <v>0.52</v>
      </c>
      <c r="H115" s="98">
        <v>0.02</v>
      </c>
      <c r="I115" s="99">
        <v>28</v>
      </c>
      <c r="J115" s="100">
        <v>91.67838802083334</v>
      </c>
      <c r="K115" s="100">
        <f t="shared" si="4"/>
        <v>127.45980521999999</v>
      </c>
    </row>
    <row r="116" spans="1:11" ht="12.75">
      <c r="A116" s="93" t="s">
        <v>1022</v>
      </c>
      <c r="B116" s="95" t="str">
        <f t="shared" si="6"/>
        <v>05/23/05</v>
      </c>
      <c r="C116" s="96">
        <v>0.525</v>
      </c>
      <c r="D116" s="97">
        <v>894</v>
      </c>
      <c r="E116" s="99">
        <f t="shared" si="5"/>
        <v>25.3152639</v>
      </c>
      <c r="F116" s="105">
        <v>4.98</v>
      </c>
      <c r="G116" s="99">
        <v>0.44</v>
      </c>
      <c r="H116" s="98">
        <v>0.02</v>
      </c>
      <c r="I116" s="99">
        <v>19.64</v>
      </c>
      <c r="J116" s="100">
        <v>84.52842708333334</v>
      </c>
      <c r="K116" s="100">
        <f t="shared" si="4"/>
        <v>126.07001422200001</v>
      </c>
    </row>
    <row r="117" spans="1:11" ht="12.75">
      <c r="A117" s="93" t="s">
        <v>1023</v>
      </c>
      <c r="B117" s="95" t="str">
        <f t="shared" si="6"/>
        <v>05/31/05</v>
      </c>
      <c r="C117" s="96">
        <v>0.5534722222222223</v>
      </c>
      <c r="D117" s="97">
        <v>475</v>
      </c>
      <c r="E117" s="99">
        <f t="shared" si="5"/>
        <v>13.450503750000001</v>
      </c>
      <c r="F117" s="105">
        <v>8.4</v>
      </c>
      <c r="G117" s="99">
        <v>0.58</v>
      </c>
      <c r="H117" s="98">
        <v>0.02</v>
      </c>
      <c r="I117" s="99">
        <v>32</v>
      </c>
      <c r="J117" s="100">
        <v>101.05278125</v>
      </c>
      <c r="K117" s="100">
        <f t="shared" si="4"/>
        <v>112.9842315</v>
      </c>
    </row>
    <row r="118" spans="1:11" ht="12.75">
      <c r="A118" s="93" t="s">
        <v>1024</v>
      </c>
      <c r="B118" s="95" t="str">
        <f>MID(A118,4,2)&amp;"/"&amp;MID(A118,6,2)&amp;"/"&amp;MID(A118,8,2)</f>
        <v>06/06/05</v>
      </c>
      <c r="C118" s="96">
        <v>0.638888888888889</v>
      </c>
      <c r="D118" s="97">
        <v>623</v>
      </c>
      <c r="E118" s="99">
        <f t="shared" si="5"/>
        <v>17.64139755</v>
      </c>
      <c r="F118" s="105">
        <v>6.44</v>
      </c>
      <c r="G118" s="99">
        <v>0.52</v>
      </c>
      <c r="H118" s="98">
        <v>0.01</v>
      </c>
      <c r="I118" s="99">
        <v>25.3</v>
      </c>
      <c r="J118" s="100">
        <v>97.30302395833334</v>
      </c>
      <c r="K118" s="100">
        <f t="shared" si="4"/>
        <v>113.61060022200002</v>
      </c>
    </row>
    <row r="119" spans="1:11" ht="12.75">
      <c r="A119" s="93" t="s">
        <v>1025</v>
      </c>
      <c r="B119" s="95" t="str">
        <f t="shared" si="6"/>
        <v>06/12/05</v>
      </c>
      <c r="C119" s="96">
        <v>0.7416666666666667</v>
      </c>
      <c r="D119" s="97">
        <v>505</v>
      </c>
      <c r="E119" s="99">
        <f t="shared" si="5"/>
        <v>14.30000925</v>
      </c>
      <c r="F119" s="105">
        <v>9.22</v>
      </c>
      <c r="G119" s="99">
        <v>0.66</v>
      </c>
      <c r="H119" s="98">
        <v>0.02</v>
      </c>
      <c r="I119" s="99">
        <v>35</v>
      </c>
      <c r="J119" s="100">
        <v>110.395396875</v>
      </c>
      <c r="K119" s="100">
        <f t="shared" si="4"/>
        <v>131.84608528500002</v>
      </c>
    </row>
    <row r="120" spans="1:11" ht="12.75">
      <c r="A120" s="93" t="s">
        <v>1026</v>
      </c>
      <c r="B120" s="95" t="str">
        <f t="shared" si="6"/>
        <v>06/20/05</v>
      </c>
      <c r="C120" s="96">
        <v>0.5590277777777778</v>
      </c>
      <c r="D120" s="97">
        <v>470</v>
      </c>
      <c r="E120" s="99">
        <f t="shared" si="5"/>
        <v>13.3089195</v>
      </c>
      <c r="F120" s="105">
        <v>8.3</v>
      </c>
      <c r="G120" s="99">
        <v>0.56</v>
      </c>
      <c r="H120" s="98">
        <v>0.02</v>
      </c>
      <c r="I120" s="99">
        <v>32</v>
      </c>
      <c r="J120" s="100">
        <v>100.67145000000001</v>
      </c>
      <c r="K120" s="100">
        <f t="shared" si="4"/>
        <v>110.46403185000001</v>
      </c>
    </row>
    <row r="121" spans="1:11" ht="12.75">
      <c r="A121" s="93" t="s">
        <v>1027</v>
      </c>
      <c r="B121" s="95" t="str">
        <f t="shared" si="6"/>
        <v>06/29/05</v>
      </c>
      <c r="C121" s="96">
        <v>0.5979166666666667</v>
      </c>
      <c r="D121" s="97">
        <v>382</v>
      </c>
      <c r="E121" s="99">
        <f t="shared" si="5"/>
        <v>10.817036700000001</v>
      </c>
      <c r="F121" s="105">
        <v>9.84</v>
      </c>
      <c r="G121" s="99">
        <v>0.62</v>
      </c>
      <c r="H121" s="98">
        <v>0.02</v>
      </c>
      <c r="I121" s="99">
        <v>37.8</v>
      </c>
      <c r="J121" s="100">
        <v>108.93362708333333</v>
      </c>
      <c r="K121" s="100">
        <f t="shared" si="4"/>
        <v>106.439641128</v>
      </c>
    </row>
    <row r="122" spans="1:11" ht="12.75">
      <c r="A122" s="93" t="s">
        <v>1028</v>
      </c>
      <c r="B122" s="95" t="str">
        <f t="shared" si="6"/>
        <v>07/05/05</v>
      </c>
      <c r="C122" s="96">
        <v>0.4479166666666667</v>
      </c>
      <c r="D122" s="97">
        <v>282</v>
      </c>
      <c r="E122" s="99">
        <f t="shared" si="5"/>
        <v>7.985351700000001</v>
      </c>
      <c r="F122" s="105">
        <v>13.26</v>
      </c>
      <c r="G122" s="99">
        <v>0.78</v>
      </c>
      <c r="H122" s="98">
        <v>0.04</v>
      </c>
      <c r="I122" s="99">
        <v>50.8</v>
      </c>
      <c r="J122" s="100">
        <v>126.63375260416667</v>
      </c>
      <c r="K122" s="100">
        <f t="shared" si="4"/>
        <v>105.885763542</v>
      </c>
    </row>
    <row r="123" spans="1:11" ht="12.75">
      <c r="A123" s="93" t="s">
        <v>1029</v>
      </c>
      <c r="B123" s="95" t="str">
        <f>MID(A123,4,2)&amp;"/"&amp;MID(A123,6,2)&amp;"/"&amp;MID(A123,8,2)</f>
        <v>07/11/05</v>
      </c>
      <c r="C123" s="96">
        <v>0.5513888888888888</v>
      </c>
      <c r="D123" s="97">
        <v>282</v>
      </c>
      <c r="E123" s="99">
        <f t="shared" si="5"/>
        <v>7.985351700000001</v>
      </c>
      <c r="F123" s="105">
        <v>13.6</v>
      </c>
      <c r="G123" s="99">
        <v>0.78</v>
      </c>
      <c r="H123" s="98">
        <v>0.03</v>
      </c>
      <c r="I123" s="99">
        <v>49.9</v>
      </c>
      <c r="J123" s="100">
        <v>128.76285208333337</v>
      </c>
      <c r="K123" s="100">
        <f t="shared" si="4"/>
        <v>108.60078312</v>
      </c>
    </row>
    <row r="124" spans="1:11" ht="12.75">
      <c r="A124" s="93" t="s">
        <v>789</v>
      </c>
      <c r="B124" s="95" t="str">
        <f t="shared" si="6"/>
        <v>07/20/05</v>
      </c>
      <c r="C124" s="96" t="s">
        <v>1549</v>
      </c>
      <c r="D124" s="97">
        <v>185</v>
      </c>
      <c r="E124" s="99">
        <f t="shared" si="5"/>
        <v>5.23861725</v>
      </c>
      <c r="F124" s="105">
        <v>19.68</v>
      </c>
      <c r="G124" s="99">
        <v>1.02</v>
      </c>
      <c r="H124" s="98">
        <v>0.04</v>
      </c>
      <c r="I124" s="99">
        <v>73.8</v>
      </c>
      <c r="J124" s="100">
        <v>154.82048749999998</v>
      </c>
      <c r="K124" s="100">
        <f t="shared" si="4"/>
        <v>103.09598747999999</v>
      </c>
    </row>
    <row r="125" spans="1:11" ht="12.75">
      <c r="A125" s="93" t="s">
        <v>790</v>
      </c>
      <c r="B125" s="95" t="str">
        <f>MID(A125,4,2)&amp;"/"&amp;MID(A125,6,2)&amp;"/"&amp;MID(A125,8,2)</f>
        <v>07/21/05</v>
      </c>
      <c r="C125" s="96" t="s">
        <v>1549</v>
      </c>
      <c r="D125" s="97">
        <v>182</v>
      </c>
      <c r="E125" s="99">
        <f t="shared" si="5"/>
        <v>5.1536667000000005</v>
      </c>
      <c r="F125" s="105">
        <v>24.9</v>
      </c>
      <c r="G125" s="99">
        <v>1.09</v>
      </c>
      <c r="H125" s="98">
        <v>0.06</v>
      </c>
      <c r="I125" s="99">
        <v>93.4</v>
      </c>
      <c r="J125" s="100">
        <v>169.75596145833336</v>
      </c>
      <c r="K125" s="100">
        <f t="shared" si="4"/>
        <v>128.32630083</v>
      </c>
    </row>
    <row r="126" spans="1:11" ht="12.75">
      <c r="A126" s="93" t="s">
        <v>791</v>
      </c>
      <c r="B126" s="95" t="str">
        <f t="shared" si="6"/>
        <v>07/25/05</v>
      </c>
      <c r="C126" s="96">
        <v>0.3506944444444444</v>
      </c>
      <c r="D126" s="97">
        <v>169</v>
      </c>
      <c r="E126" s="99">
        <f t="shared" si="5"/>
        <v>4.78554765</v>
      </c>
      <c r="F126" s="105">
        <v>21.2</v>
      </c>
      <c r="G126" s="99">
        <v>1.08</v>
      </c>
      <c r="H126" s="98">
        <v>0.06</v>
      </c>
      <c r="I126" s="99">
        <v>79.4</v>
      </c>
      <c r="J126" s="100">
        <v>158.25246875</v>
      </c>
      <c r="K126" s="100">
        <f t="shared" si="4"/>
        <v>101.45361018</v>
      </c>
    </row>
    <row r="127" spans="1:11" ht="12.75">
      <c r="A127" s="93" t="s">
        <v>792</v>
      </c>
      <c r="B127" s="95" t="str">
        <f>MID(A127,4,2)&amp;"/"&amp;MID(A127,6,2)&amp;"/"&amp;MID(A127,8,2)</f>
        <v>08/01/05</v>
      </c>
      <c r="C127" s="96">
        <v>0.3840277777777778</v>
      </c>
      <c r="D127" s="97">
        <v>156</v>
      </c>
      <c r="E127" s="99">
        <f t="shared" si="5"/>
        <v>4.4174286</v>
      </c>
      <c r="F127" s="105">
        <v>23</v>
      </c>
      <c r="G127" s="99">
        <v>1.14</v>
      </c>
      <c r="H127" s="98">
        <v>0.05</v>
      </c>
      <c r="I127" s="99">
        <v>86.5</v>
      </c>
      <c r="J127" s="100">
        <v>164.2902135416667</v>
      </c>
      <c r="K127" s="100">
        <f t="shared" si="4"/>
        <v>101.6008578</v>
      </c>
    </row>
    <row r="128" spans="1:11" ht="12.75">
      <c r="A128" s="93" t="s">
        <v>793</v>
      </c>
      <c r="B128" s="95" t="str">
        <f>MID(A128,4,2)&amp;"/"&amp;MID(A128,6,2)&amp;"/"&amp;MID(A128,8,2)</f>
        <v>08/15/05</v>
      </c>
      <c r="C128" s="96">
        <v>0.3756944444444445</v>
      </c>
      <c r="D128" s="97">
        <v>138</v>
      </c>
      <c r="E128" s="99">
        <f t="shared" si="5"/>
        <v>3.9077253</v>
      </c>
      <c r="F128" s="105">
        <v>25.9</v>
      </c>
      <c r="G128" s="99">
        <v>1.23</v>
      </c>
      <c r="H128" s="98">
        <v>0.06</v>
      </c>
      <c r="I128" s="99">
        <v>96.9</v>
      </c>
      <c r="J128" s="100">
        <v>176.84236718750003</v>
      </c>
      <c r="K128" s="100">
        <f t="shared" si="4"/>
        <v>101.21008527</v>
      </c>
    </row>
    <row r="129" spans="1:11" ht="12.75">
      <c r="A129" s="93" t="s">
        <v>794</v>
      </c>
      <c r="B129" s="95" t="str">
        <f t="shared" si="6"/>
        <v>08/30/05</v>
      </c>
      <c r="C129" s="96">
        <v>0.7</v>
      </c>
      <c r="D129" s="97">
        <v>123</v>
      </c>
      <c r="E129" s="99">
        <f t="shared" si="5"/>
        <v>3.48297255</v>
      </c>
      <c r="F129" s="105">
        <v>29.2</v>
      </c>
      <c r="G129" s="99">
        <v>1.32</v>
      </c>
      <c r="H129" s="98">
        <v>0.06</v>
      </c>
      <c r="I129" s="99">
        <v>108.4</v>
      </c>
      <c r="J129" s="100">
        <v>186.280315625</v>
      </c>
      <c r="K129" s="100">
        <f t="shared" si="4"/>
        <v>101.70279846</v>
      </c>
    </row>
    <row r="130" spans="1:11" ht="12.75">
      <c r="A130" s="93" t="s">
        <v>795</v>
      </c>
      <c r="B130" s="95" t="str">
        <f t="shared" si="6"/>
        <v>09/09/05</v>
      </c>
      <c r="C130" s="96" t="s">
        <v>1549</v>
      </c>
      <c r="D130" s="97">
        <v>115</v>
      </c>
      <c r="E130" s="99">
        <f t="shared" si="5"/>
        <v>3.25643775</v>
      </c>
      <c r="F130" s="105">
        <v>35</v>
      </c>
      <c r="G130" s="99">
        <v>1.4</v>
      </c>
      <c r="H130" s="98">
        <v>0.08</v>
      </c>
      <c r="I130" s="99">
        <v>129.4</v>
      </c>
      <c r="J130" s="100">
        <v>150.78473177083336</v>
      </c>
      <c r="K130" s="100">
        <f t="shared" si="4"/>
        <v>113.97532125</v>
      </c>
    </row>
    <row r="131" spans="1:11" ht="12.75">
      <c r="A131" s="93" t="s">
        <v>796</v>
      </c>
      <c r="B131" s="95" t="str">
        <f t="shared" si="6"/>
        <v>09/12/05</v>
      </c>
      <c r="C131" s="96">
        <v>0.3520833333333333</v>
      </c>
      <c r="D131" s="97">
        <v>117</v>
      </c>
      <c r="E131" s="99">
        <f t="shared" si="5"/>
        <v>3.3130714500000003</v>
      </c>
      <c r="F131" s="105">
        <v>30.8</v>
      </c>
      <c r="G131" s="99">
        <v>1.36</v>
      </c>
      <c r="H131" s="98">
        <v>0.08</v>
      </c>
      <c r="I131" s="99">
        <v>113.8</v>
      </c>
      <c r="J131" s="100">
        <v>174.77682291666665</v>
      </c>
      <c r="K131" s="100">
        <f t="shared" si="4"/>
        <v>102.04260066</v>
      </c>
    </row>
    <row r="132" spans="1:11" ht="12.75">
      <c r="A132" s="93" t="s">
        <v>797</v>
      </c>
      <c r="B132" s="95" t="str">
        <f t="shared" si="6"/>
        <v>09/27/05</v>
      </c>
      <c r="C132" s="96">
        <v>0.3645833333333333</v>
      </c>
      <c r="D132" s="97">
        <v>112</v>
      </c>
      <c r="E132" s="99">
        <f t="shared" si="5"/>
        <v>3.1714872</v>
      </c>
      <c r="F132" s="105">
        <v>31.4</v>
      </c>
      <c r="G132" s="99">
        <v>1.36</v>
      </c>
      <c r="H132" s="98">
        <v>0.08</v>
      </c>
      <c r="I132" s="99">
        <v>116</v>
      </c>
      <c r="J132" s="100">
        <v>173.50571875</v>
      </c>
      <c r="K132" s="100">
        <f t="shared" si="4"/>
        <v>99.58469808</v>
      </c>
    </row>
    <row r="133" spans="1:11" ht="12.75">
      <c r="A133" s="14" t="s">
        <v>1267</v>
      </c>
      <c r="B133" s="83" t="s">
        <v>823</v>
      </c>
      <c r="C133" s="96"/>
      <c r="D133" s="97"/>
      <c r="E133" s="99"/>
      <c r="F133" s="105"/>
      <c r="G133" s="99"/>
      <c r="H133" s="98"/>
      <c r="I133" s="99"/>
      <c r="J133" s="100"/>
      <c r="K133" s="100"/>
    </row>
    <row r="134" spans="1:11" ht="12.75">
      <c r="A134" s="93" t="s">
        <v>798</v>
      </c>
      <c r="B134" s="95" t="str">
        <f t="shared" si="6"/>
        <v>10/24/05</v>
      </c>
      <c r="C134" s="96">
        <v>0.6951388888888889</v>
      </c>
      <c r="D134" s="97">
        <v>105</v>
      </c>
      <c r="E134" s="99">
        <f t="shared" si="5"/>
        <v>2.97326925</v>
      </c>
      <c r="F134" s="105">
        <v>34.2</v>
      </c>
      <c r="G134" s="99">
        <v>1.4</v>
      </c>
      <c r="H134" s="98">
        <v>0.08</v>
      </c>
      <c r="I134" s="99">
        <v>126.8</v>
      </c>
      <c r="J134" s="100">
        <v>156.18692447916666</v>
      </c>
      <c r="K134" s="100">
        <f t="shared" si="4"/>
        <v>101.68580835</v>
      </c>
    </row>
    <row r="135" spans="1:11" ht="12.75">
      <c r="A135" s="93" t="s">
        <v>799</v>
      </c>
      <c r="B135" s="95" t="str">
        <f t="shared" si="6"/>
        <v>11/17/05</v>
      </c>
      <c r="C135" s="96">
        <v>0.6583333333333333</v>
      </c>
      <c r="D135" s="97">
        <v>112</v>
      </c>
      <c r="E135" s="99">
        <f t="shared" si="5"/>
        <v>3.1714872</v>
      </c>
      <c r="F135" s="105">
        <v>32.6</v>
      </c>
      <c r="G135" s="99">
        <v>1.38</v>
      </c>
      <c r="H135" s="98">
        <v>0.08</v>
      </c>
      <c r="I135" s="99">
        <v>121.4</v>
      </c>
      <c r="J135" s="100">
        <v>188.05986145833333</v>
      </c>
      <c r="K135" s="100">
        <f aca="true" t="shared" si="7" ref="K135:K183">E135*F135</f>
        <v>103.39048272000001</v>
      </c>
    </row>
    <row r="136" spans="1:11" ht="12.75">
      <c r="A136" s="93" t="s">
        <v>800</v>
      </c>
      <c r="B136" s="95" t="str">
        <f t="shared" si="6"/>
        <v>03/07/06</v>
      </c>
      <c r="C136" s="96">
        <v>0.5631944444444444</v>
      </c>
      <c r="D136" s="97">
        <v>96</v>
      </c>
      <c r="E136" s="99">
        <f t="shared" si="5"/>
        <v>2.7184176</v>
      </c>
      <c r="F136" s="105">
        <v>41.7</v>
      </c>
      <c r="G136" s="99">
        <v>1.55</v>
      </c>
      <c r="H136" s="98">
        <v>0.1</v>
      </c>
      <c r="I136" s="99">
        <v>151</v>
      </c>
      <c r="J136" s="100">
        <v>191.93672916666665</v>
      </c>
      <c r="K136" s="100">
        <f t="shared" si="7"/>
        <v>113.35801392</v>
      </c>
    </row>
    <row r="137" spans="1:11" ht="12.75">
      <c r="A137" s="93" t="s">
        <v>801</v>
      </c>
      <c r="B137" s="95" t="str">
        <f t="shared" si="6"/>
        <v>03/21/06</v>
      </c>
      <c r="C137" s="96">
        <v>0.5</v>
      </c>
      <c r="D137" s="97">
        <v>92</v>
      </c>
      <c r="E137" s="99">
        <f t="shared" si="5"/>
        <v>2.6051502</v>
      </c>
      <c r="F137" s="105">
        <v>43.6</v>
      </c>
      <c r="G137" s="99">
        <v>1.6</v>
      </c>
      <c r="H137" s="98">
        <v>0.1</v>
      </c>
      <c r="I137" s="99">
        <v>157</v>
      </c>
      <c r="J137" s="100">
        <v>211.00329166666668</v>
      </c>
      <c r="K137" s="100">
        <f t="shared" si="7"/>
        <v>113.58454872000002</v>
      </c>
    </row>
    <row r="138" spans="1:11" ht="12.75">
      <c r="A138" s="93" t="s">
        <v>802</v>
      </c>
      <c r="B138" s="95" t="str">
        <f t="shared" si="6"/>
        <v>04/12/06</v>
      </c>
      <c r="C138" s="96">
        <v>0.5548611111111111</v>
      </c>
      <c r="D138" s="97">
        <v>120</v>
      </c>
      <c r="E138" s="99">
        <f t="shared" si="5"/>
        <v>3.398022</v>
      </c>
      <c r="F138" s="105">
        <v>34.3</v>
      </c>
      <c r="G138" s="99">
        <v>1.41</v>
      </c>
      <c r="H138" s="98">
        <v>0.07</v>
      </c>
      <c r="I138" s="99">
        <v>126</v>
      </c>
      <c r="J138" s="100">
        <v>197.02114583333335</v>
      </c>
      <c r="K138" s="100">
        <f t="shared" si="7"/>
        <v>116.5521546</v>
      </c>
    </row>
    <row r="139" spans="1:11" ht="12.75">
      <c r="A139" s="93" t="s">
        <v>803</v>
      </c>
      <c r="B139" s="95" t="str">
        <f t="shared" si="6"/>
        <v>04/26/06</v>
      </c>
      <c r="C139" s="96">
        <v>0.45555555555555555</v>
      </c>
      <c r="D139" s="97">
        <v>212</v>
      </c>
      <c r="E139" s="99">
        <f t="shared" si="5"/>
        <v>6.0031722</v>
      </c>
      <c r="F139" s="105">
        <v>20.2</v>
      </c>
      <c r="G139" s="99">
        <v>1.01</v>
      </c>
      <c r="H139" s="98">
        <v>0.04</v>
      </c>
      <c r="I139" s="99">
        <v>76.9</v>
      </c>
      <c r="J139" s="100">
        <v>161.112453125</v>
      </c>
      <c r="K139" s="100">
        <f t="shared" si="7"/>
        <v>121.26407843999999</v>
      </c>
    </row>
    <row r="140" spans="1:11" ht="12.75">
      <c r="A140" s="93" t="s">
        <v>804</v>
      </c>
      <c r="B140" s="95" t="str">
        <f t="shared" si="6"/>
        <v>05/04/06</v>
      </c>
      <c r="C140" s="96">
        <v>0.3958333333333333</v>
      </c>
      <c r="D140" s="97">
        <v>378</v>
      </c>
      <c r="E140" s="99">
        <f t="shared" si="5"/>
        <v>10.703769300000001</v>
      </c>
      <c r="F140" s="105">
        <v>11.6</v>
      </c>
      <c r="G140" s="99">
        <v>0.76</v>
      </c>
      <c r="H140" s="98">
        <v>0.02</v>
      </c>
      <c r="I140" s="99">
        <v>45.7</v>
      </c>
      <c r="J140" s="100">
        <v>121.70822395833335</v>
      </c>
      <c r="K140" s="100">
        <f t="shared" si="7"/>
        <v>124.16372388</v>
      </c>
    </row>
    <row r="141" spans="1:11" ht="12.75">
      <c r="A141" s="93" t="s">
        <v>805</v>
      </c>
      <c r="B141" s="95" t="str">
        <f t="shared" si="6"/>
        <v>05/09/06</v>
      </c>
      <c r="C141" s="96">
        <v>0.4125</v>
      </c>
      <c r="D141" s="97">
        <v>505</v>
      </c>
      <c r="E141" s="99">
        <f t="shared" si="5"/>
        <v>14.30000925</v>
      </c>
      <c r="F141" s="105">
        <v>9.14</v>
      </c>
      <c r="G141" s="99">
        <v>0.66</v>
      </c>
      <c r="H141" s="98">
        <v>0.02</v>
      </c>
      <c r="I141" s="99">
        <v>35.6</v>
      </c>
      <c r="J141" s="100">
        <v>107.0905260416667</v>
      </c>
      <c r="K141" s="100">
        <f t="shared" si="7"/>
        <v>130.70208454500002</v>
      </c>
    </row>
    <row r="142" spans="1:11" ht="12.75">
      <c r="A142" s="93" t="s">
        <v>806</v>
      </c>
      <c r="B142" s="95" t="str">
        <f t="shared" si="6"/>
        <v>05/17/06</v>
      </c>
      <c r="C142" s="96">
        <v>0.43402777777777773</v>
      </c>
      <c r="D142" s="97">
        <v>930</v>
      </c>
      <c r="E142" s="99">
        <f t="shared" si="5"/>
        <v>26.3346705</v>
      </c>
      <c r="F142" s="105">
        <v>4.94</v>
      </c>
      <c r="G142" s="99">
        <v>0.48</v>
      </c>
      <c r="H142" s="98" t="s">
        <v>964</v>
      </c>
      <c r="I142" s="99">
        <v>19.3</v>
      </c>
      <c r="J142" s="100">
        <v>78.49068229166666</v>
      </c>
      <c r="K142" s="100">
        <f t="shared" si="7"/>
        <v>130.09327227000003</v>
      </c>
    </row>
    <row r="143" spans="1:11" ht="12.75">
      <c r="A143" s="93" t="s">
        <v>807</v>
      </c>
      <c r="B143" s="95" t="str">
        <f t="shared" si="6"/>
        <v>05/23/06</v>
      </c>
      <c r="C143" s="96">
        <v>0.7333333333333334</v>
      </c>
      <c r="D143" s="97">
        <v>1110</v>
      </c>
      <c r="E143" s="99">
        <f t="shared" si="5"/>
        <v>31.4317035</v>
      </c>
      <c r="F143" s="105">
        <v>4.47</v>
      </c>
      <c r="G143" s="99">
        <v>0.47</v>
      </c>
      <c r="H143" s="98">
        <v>0.05</v>
      </c>
      <c r="I143" s="99">
        <v>16.8</v>
      </c>
      <c r="J143" s="100">
        <v>81.98621874999999</v>
      </c>
      <c r="K143" s="100">
        <f t="shared" si="7"/>
        <v>140.49971464499998</v>
      </c>
    </row>
    <row r="144" spans="1:11" ht="12.75">
      <c r="A144" s="93" t="s">
        <v>808</v>
      </c>
      <c r="B144" s="95" t="str">
        <f t="shared" si="6"/>
        <v>05/31/06</v>
      </c>
      <c r="C144" s="96">
        <v>0.7791666666666667</v>
      </c>
      <c r="D144" s="97">
        <v>547</v>
      </c>
      <c r="E144" s="99">
        <f t="shared" si="5"/>
        <v>15.489316950000001</v>
      </c>
      <c r="F144" s="105">
        <v>8.05</v>
      </c>
      <c r="G144" s="99">
        <v>0.7</v>
      </c>
      <c r="H144" s="98">
        <v>0.02</v>
      </c>
      <c r="I144" s="99">
        <v>31.1</v>
      </c>
      <c r="J144" s="100">
        <v>101.05278125</v>
      </c>
      <c r="K144" s="100">
        <f t="shared" si="7"/>
        <v>124.68900144750002</v>
      </c>
    </row>
    <row r="145" spans="1:11" ht="12.75">
      <c r="A145" s="93" t="s">
        <v>809</v>
      </c>
      <c r="B145" s="95" t="str">
        <f t="shared" si="6"/>
        <v>06/07/06</v>
      </c>
      <c r="C145" s="96">
        <v>0.74375</v>
      </c>
      <c r="D145" s="97">
        <v>770</v>
      </c>
      <c r="E145" s="99">
        <f t="shared" si="5"/>
        <v>21.803974500000002</v>
      </c>
      <c r="F145" s="105">
        <v>5.45</v>
      </c>
      <c r="G145" s="99">
        <v>0.48</v>
      </c>
      <c r="H145" s="98">
        <v>0.01</v>
      </c>
      <c r="I145" s="99">
        <v>20.9</v>
      </c>
      <c r="J145" s="100">
        <v>84.21065104166668</v>
      </c>
      <c r="K145" s="100">
        <f t="shared" si="7"/>
        <v>118.83166102500002</v>
      </c>
    </row>
    <row r="146" spans="1:11" ht="12.75">
      <c r="A146" s="93" t="s">
        <v>810</v>
      </c>
      <c r="B146" s="95" t="str">
        <f t="shared" si="6"/>
        <v>06/13/06</v>
      </c>
      <c r="C146" s="96">
        <v>0.686111111111111</v>
      </c>
      <c r="D146" s="97">
        <v>660</v>
      </c>
      <c r="E146" s="99">
        <f t="shared" si="5"/>
        <v>18.689121</v>
      </c>
      <c r="F146" s="105">
        <v>6.23</v>
      </c>
      <c r="G146" s="99">
        <v>0.5</v>
      </c>
      <c r="H146" s="98">
        <v>0.01</v>
      </c>
      <c r="I146" s="99">
        <v>24.1</v>
      </c>
      <c r="J146" s="100">
        <v>89.93061979166667</v>
      </c>
      <c r="K146" s="100">
        <f t="shared" si="7"/>
        <v>116.43322383</v>
      </c>
    </row>
    <row r="147" spans="1:11" ht="12.75">
      <c r="A147" s="93" t="s">
        <v>811</v>
      </c>
      <c r="B147" s="95" t="str">
        <f>MID(A147,5,2)&amp;"/"&amp;MID(A147,7,2)&amp;"/"&amp;MID(A147,9,2)</f>
        <v>06/21/06</v>
      </c>
      <c r="C147" s="96">
        <v>0.7333333333333334</v>
      </c>
      <c r="D147" s="97">
        <v>465</v>
      </c>
      <c r="E147" s="99">
        <f t="shared" si="5"/>
        <v>13.16733525</v>
      </c>
      <c r="F147" s="105">
        <v>8.77</v>
      </c>
      <c r="G147" s="99">
        <v>0.61</v>
      </c>
      <c r="H147" s="98">
        <v>0.02</v>
      </c>
      <c r="I147" s="99">
        <v>34</v>
      </c>
      <c r="J147" s="100">
        <v>107.72607812500002</v>
      </c>
      <c r="K147" s="100">
        <f t="shared" si="7"/>
        <v>115.4775301425</v>
      </c>
    </row>
    <row r="148" spans="1:11" ht="12.75">
      <c r="A148" s="93" t="s">
        <v>812</v>
      </c>
      <c r="B148" s="95" t="str">
        <f aca="true" t="shared" si="8" ref="B148:B156">MID(A148,5,2)&amp;"/"&amp;MID(A148,7,2)&amp;"/"&amp;MID(A148,9,2)</f>
        <v>06/27/06</v>
      </c>
      <c r="C148" s="96">
        <v>0.7708333333333334</v>
      </c>
      <c r="D148" s="97">
        <v>373</v>
      </c>
      <c r="E148" s="99">
        <f t="shared" si="5"/>
        <v>10.56218505</v>
      </c>
      <c r="F148" s="105">
        <v>10.7</v>
      </c>
      <c r="G148" s="99">
        <v>0.68</v>
      </c>
      <c r="H148" s="98">
        <v>0.02</v>
      </c>
      <c r="I148" s="99">
        <v>44.2</v>
      </c>
      <c r="J148" s="100">
        <v>118.53046354166668</v>
      </c>
      <c r="K148" s="100">
        <f t="shared" si="7"/>
        <v>113.01538003499999</v>
      </c>
    </row>
    <row r="149" spans="1:11" ht="12.75">
      <c r="A149" s="93" t="s">
        <v>813</v>
      </c>
      <c r="B149" s="95" t="str">
        <f t="shared" si="8"/>
        <v>07/06/06</v>
      </c>
      <c r="C149" s="96">
        <v>0.3576388888888889</v>
      </c>
      <c r="D149" s="97">
        <v>301</v>
      </c>
      <c r="E149" s="99">
        <f t="shared" si="5"/>
        <v>8.52337185</v>
      </c>
      <c r="F149" s="105">
        <v>12.1</v>
      </c>
      <c r="G149" s="99">
        <v>0.73</v>
      </c>
      <c r="H149" s="98">
        <v>0.02</v>
      </c>
      <c r="I149" s="99">
        <v>46.2</v>
      </c>
      <c r="J149" s="100">
        <v>124.25043229166667</v>
      </c>
      <c r="K149" s="100">
        <f t="shared" si="7"/>
        <v>103.132799385</v>
      </c>
    </row>
    <row r="150" spans="1:11" ht="12.75">
      <c r="A150" s="93" t="s">
        <v>814</v>
      </c>
      <c r="B150" s="95" t="str">
        <f t="shared" si="8"/>
        <v>07/11/06</v>
      </c>
      <c r="C150" s="96">
        <v>0.6729166666666666</v>
      </c>
      <c r="D150" s="97">
        <v>252</v>
      </c>
      <c r="E150" s="99">
        <f t="shared" si="5"/>
        <v>7.1358462000000005</v>
      </c>
      <c r="F150" s="105">
        <v>15</v>
      </c>
      <c r="G150" s="99">
        <v>0.84</v>
      </c>
      <c r="H150" s="98">
        <v>0.02</v>
      </c>
      <c r="I150" s="99">
        <v>57</v>
      </c>
      <c r="J150" s="100">
        <v>138.23257812500003</v>
      </c>
      <c r="K150" s="100">
        <f t="shared" si="7"/>
        <v>107.037693</v>
      </c>
    </row>
    <row r="151" spans="1:11" ht="12.75">
      <c r="A151" s="93" t="s">
        <v>815</v>
      </c>
      <c r="B151" s="95" t="str">
        <f t="shared" si="8"/>
        <v>07/18/06</v>
      </c>
      <c r="C151" s="96">
        <v>0.7291666666666666</v>
      </c>
      <c r="D151" s="97">
        <v>209</v>
      </c>
      <c r="E151" s="99">
        <f t="shared" si="5"/>
        <v>5.9182216500000004</v>
      </c>
      <c r="F151" s="105">
        <v>17.8</v>
      </c>
      <c r="G151" s="99">
        <v>0.96</v>
      </c>
      <c r="H151" s="98">
        <v>0.04</v>
      </c>
      <c r="I151" s="99">
        <v>68</v>
      </c>
      <c r="J151" s="100">
        <v>149.03696354166667</v>
      </c>
      <c r="K151" s="100">
        <f t="shared" si="7"/>
        <v>105.34434537000001</v>
      </c>
    </row>
    <row r="152" spans="1:11" ht="12.75">
      <c r="A152" s="93" t="s">
        <v>816</v>
      </c>
      <c r="B152" s="95" t="str">
        <f t="shared" si="8"/>
        <v>07/25/06</v>
      </c>
      <c r="C152" s="96">
        <v>0.6986111111111111</v>
      </c>
      <c r="D152" s="97">
        <v>195</v>
      </c>
      <c r="E152" s="99">
        <f t="shared" si="5"/>
        <v>5.52178575</v>
      </c>
      <c r="F152" s="105">
        <v>19</v>
      </c>
      <c r="G152" s="99">
        <v>1.04</v>
      </c>
      <c r="H152" s="98">
        <v>0.04</v>
      </c>
      <c r="I152" s="99">
        <v>72</v>
      </c>
      <c r="J152" s="100">
        <v>151.26139583333335</v>
      </c>
      <c r="K152" s="100">
        <f t="shared" si="7"/>
        <v>104.91392925000001</v>
      </c>
    </row>
    <row r="153" spans="1:11" ht="12.75">
      <c r="A153" s="93" t="s">
        <v>817</v>
      </c>
      <c r="B153" s="95" t="str">
        <f t="shared" si="8"/>
        <v>08/02/06</v>
      </c>
      <c r="C153" s="96">
        <v>0.6986111111111111</v>
      </c>
      <c r="D153" s="97">
        <v>169</v>
      </c>
      <c r="E153" s="99">
        <f t="shared" si="5"/>
        <v>4.78554765</v>
      </c>
      <c r="F153" s="105">
        <v>21.7</v>
      </c>
      <c r="G153" s="99">
        <v>1.1</v>
      </c>
      <c r="H153" s="98">
        <v>0.04</v>
      </c>
      <c r="I153" s="99">
        <v>81.5</v>
      </c>
      <c r="J153" s="100">
        <v>163.01910937500003</v>
      </c>
      <c r="K153" s="100">
        <f t="shared" si="7"/>
        <v>103.84638400499999</v>
      </c>
    </row>
    <row r="154" spans="1:11" ht="12.75">
      <c r="A154" s="93" t="s">
        <v>818</v>
      </c>
      <c r="B154" s="95" t="str">
        <f t="shared" si="8"/>
        <v>08/14/06</v>
      </c>
      <c r="C154" s="96">
        <v>0.7118055555555555</v>
      </c>
      <c r="D154" s="97">
        <v>144</v>
      </c>
      <c r="E154" s="99">
        <f t="shared" si="5"/>
        <v>4.0776264</v>
      </c>
      <c r="F154" s="105">
        <v>25.1</v>
      </c>
      <c r="G154" s="99">
        <v>1.21</v>
      </c>
      <c r="H154" s="98">
        <v>0.06</v>
      </c>
      <c r="I154" s="99">
        <v>94</v>
      </c>
      <c r="J154" s="100">
        <v>174.14127083333332</v>
      </c>
      <c r="K154" s="100">
        <f t="shared" si="7"/>
        <v>102.34842264</v>
      </c>
    </row>
    <row r="155" spans="1:11" ht="12.75">
      <c r="A155" s="93" t="s">
        <v>819</v>
      </c>
      <c r="B155" s="95" t="str">
        <f t="shared" si="8"/>
        <v>08/31/06</v>
      </c>
      <c r="C155" s="96">
        <v>0.6840277777777778</v>
      </c>
      <c r="D155" s="97">
        <v>126</v>
      </c>
      <c r="E155" s="99">
        <f t="shared" si="5"/>
        <v>3.5679231000000002</v>
      </c>
      <c r="F155" s="105">
        <v>28.5</v>
      </c>
      <c r="G155" s="99">
        <v>1.3</v>
      </c>
      <c r="H155" s="98">
        <v>0.06</v>
      </c>
      <c r="I155" s="99">
        <v>106</v>
      </c>
      <c r="J155" s="100">
        <v>182.40344791666666</v>
      </c>
      <c r="K155" s="100">
        <f t="shared" si="7"/>
        <v>101.68580835</v>
      </c>
    </row>
    <row r="156" spans="1:11" ht="12.75">
      <c r="A156" s="93" t="s">
        <v>820</v>
      </c>
      <c r="B156" s="95" t="str">
        <f t="shared" si="8"/>
        <v>09/14/06</v>
      </c>
      <c r="C156" s="96">
        <v>0.6145833333333334</v>
      </c>
      <c r="D156" s="97">
        <v>123</v>
      </c>
      <c r="E156" s="99">
        <f t="shared" si="5"/>
        <v>3.48297255</v>
      </c>
      <c r="F156" s="105">
        <v>30.7</v>
      </c>
      <c r="G156" s="99">
        <v>1.36</v>
      </c>
      <c r="H156" s="98">
        <v>0.07</v>
      </c>
      <c r="I156" s="99">
        <v>114</v>
      </c>
      <c r="J156" s="100">
        <v>182.40344791666666</v>
      </c>
      <c r="K156" s="100">
        <f t="shared" si="7"/>
        <v>106.927257285</v>
      </c>
    </row>
    <row r="157" spans="1:24" ht="12.75">
      <c r="A157" s="14" t="s">
        <v>1268</v>
      </c>
      <c r="C157" s="96"/>
      <c r="D157" s="97"/>
      <c r="E157" s="99"/>
      <c r="F157" s="105"/>
      <c r="G157" s="99"/>
      <c r="H157" s="98"/>
      <c r="I157" s="99"/>
      <c r="J157" s="100"/>
      <c r="K157" s="100"/>
      <c r="L157" s="36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>
      <c r="A158" s="93" t="s">
        <v>821</v>
      </c>
      <c r="B158" s="95">
        <v>38995.55972222222</v>
      </c>
      <c r="C158" s="96">
        <v>0.5597222222222222</v>
      </c>
      <c r="D158" s="97">
        <v>126</v>
      </c>
      <c r="E158" s="99">
        <f t="shared" si="5"/>
        <v>3.5679231000000002</v>
      </c>
      <c r="F158" s="105">
        <v>30.2</v>
      </c>
      <c r="G158" s="99">
        <v>1.33</v>
      </c>
      <c r="H158" s="98">
        <v>0.07</v>
      </c>
      <c r="I158" s="99">
        <v>112</v>
      </c>
      <c r="J158" s="100">
        <v>182.72122395833335</v>
      </c>
      <c r="K158" s="100">
        <f t="shared" si="7"/>
        <v>107.75127762000001</v>
      </c>
      <c r="L158" s="36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4.25">
      <c r="A159" s="93" t="s">
        <v>567</v>
      </c>
      <c r="B159" s="95">
        <v>39008.569444444445</v>
      </c>
      <c r="C159" s="96">
        <f>B159</f>
        <v>39008.569444444445</v>
      </c>
      <c r="D159" s="97">
        <v>105</v>
      </c>
      <c r="E159" s="99">
        <f t="shared" si="5"/>
        <v>2.97326925</v>
      </c>
      <c r="F159" s="99">
        <v>35.3</v>
      </c>
      <c r="G159" s="99">
        <v>1.48</v>
      </c>
      <c r="H159" s="98">
        <v>0.08</v>
      </c>
      <c r="I159" s="99">
        <v>130</v>
      </c>
      <c r="J159" s="100">
        <v>196.70336979166666</v>
      </c>
      <c r="K159" s="100">
        <f t="shared" si="7"/>
        <v>104.956404525</v>
      </c>
      <c r="L159" s="36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1:24" ht="14.25">
      <c r="A160" s="93" t="s">
        <v>568</v>
      </c>
      <c r="B160" s="95">
        <v>39034.479166666664</v>
      </c>
      <c r="C160" s="96">
        <f aca="true" t="shared" si="9" ref="C160:C183">B160</f>
        <v>39034.479166666664</v>
      </c>
      <c r="D160" s="97">
        <v>98</v>
      </c>
      <c r="E160" s="99">
        <f t="shared" si="5"/>
        <v>2.7750513</v>
      </c>
      <c r="F160" s="99">
        <v>37.2</v>
      </c>
      <c r="G160" s="99">
        <v>1.47</v>
      </c>
      <c r="H160" s="98">
        <v>0.1</v>
      </c>
      <c r="I160" s="99">
        <v>136</v>
      </c>
      <c r="J160" s="100" t="s">
        <v>608</v>
      </c>
      <c r="K160" s="100">
        <f t="shared" si="7"/>
        <v>103.23190836</v>
      </c>
      <c r="L160" s="36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1:24" ht="14.25">
      <c r="A161" s="93" t="s">
        <v>569</v>
      </c>
      <c r="B161" s="95">
        <v>39063.364583333336</v>
      </c>
      <c r="C161" s="96">
        <f t="shared" si="9"/>
        <v>39063.364583333336</v>
      </c>
      <c r="D161" s="97">
        <v>103</v>
      </c>
      <c r="E161" s="99">
        <f t="shared" si="5"/>
        <v>2.91663555</v>
      </c>
      <c r="F161" s="99">
        <v>36.5</v>
      </c>
      <c r="G161" s="99">
        <v>1.48</v>
      </c>
      <c r="H161" s="98">
        <v>0.08</v>
      </c>
      <c r="I161" s="99">
        <v>134</v>
      </c>
      <c r="J161" s="100">
        <v>203.05889062500003</v>
      </c>
      <c r="K161" s="100">
        <f t="shared" si="7"/>
        <v>106.45719757500001</v>
      </c>
      <c r="L161" s="36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  <row r="162" spans="1:24" ht="14.25">
      <c r="A162" s="93" t="s">
        <v>570</v>
      </c>
      <c r="B162" s="95">
        <v>39090.38888888889</v>
      </c>
      <c r="C162" s="96">
        <f t="shared" si="9"/>
        <v>39090.38888888889</v>
      </c>
      <c r="D162" s="97">
        <v>100</v>
      </c>
      <c r="E162" s="99">
        <f t="shared" si="5"/>
        <v>2.8316850000000002</v>
      </c>
      <c r="F162" s="99">
        <v>36.4</v>
      </c>
      <c r="G162" s="99">
        <v>1.51</v>
      </c>
      <c r="H162" s="98">
        <v>0.08</v>
      </c>
      <c r="I162" s="99">
        <v>134</v>
      </c>
      <c r="J162" s="100">
        <v>196.38559375</v>
      </c>
      <c r="K162" s="100">
        <f t="shared" si="7"/>
        <v>103.073334</v>
      </c>
      <c r="L162" s="36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  <row r="163" spans="1:24" ht="14.25">
      <c r="A163" s="93" t="s">
        <v>420</v>
      </c>
      <c r="B163" s="95">
        <v>39119.385416666664</v>
      </c>
      <c r="C163" s="96">
        <f t="shared" si="9"/>
        <v>39119.385416666664</v>
      </c>
      <c r="D163" s="97">
        <v>92</v>
      </c>
      <c r="E163" s="99">
        <f t="shared" si="5"/>
        <v>2.6051502</v>
      </c>
      <c r="F163" s="99">
        <v>39.8</v>
      </c>
      <c r="G163" s="99">
        <v>1.5</v>
      </c>
      <c r="H163" s="98">
        <v>0.08</v>
      </c>
      <c r="I163" s="99">
        <v>145.6</v>
      </c>
      <c r="J163" s="100">
        <v>182</v>
      </c>
      <c r="K163" s="100">
        <f t="shared" si="7"/>
        <v>103.68497796</v>
      </c>
      <c r="L163" s="36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1:24" ht="14.25">
      <c r="A164" s="93" t="s">
        <v>421</v>
      </c>
      <c r="B164" s="95">
        <v>39147.34722222222</v>
      </c>
      <c r="C164" s="96">
        <f t="shared" si="9"/>
        <v>39147.34722222222</v>
      </c>
      <c r="D164" s="97">
        <v>90</v>
      </c>
      <c r="E164" s="99">
        <f>D164*0.02831685</f>
        <v>2.5485165000000003</v>
      </c>
      <c r="F164" s="99">
        <v>40.6</v>
      </c>
      <c r="G164" s="99">
        <v>1.52</v>
      </c>
      <c r="H164" s="98">
        <v>0.08</v>
      </c>
      <c r="I164" s="99">
        <v>149.2</v>
      </c>
      <c r="J164" s="100">
        <v>188</v>
      </c>
      <c r="K164" s="100">
        <f t="shared" si="7"/>
        <v>103.46976990000002</v>
      </c>
      <c r="L164" s="36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1:37" ht="14.25">
      <c r="A165" s="93" t="s">
        <v>422</v>
      </c>
      <c r="B165" s="95">
        <v>39160.541666666664</v>
      </c>
      <c r="C165" s="96">
        <f t="shared" si="9"/>
        <v>39160.541666666664</v>
      </c>
      <c r="D165" s="97">
        <v>107</v>
      </c>
      <c r="E165" s="99">
        <f>D165*0.02831685</f>
        <v>3.0299029500000003</v>
      </c>
      <c r="F165" s="99">
        <v>36.6</v>
      </c>
      <c r="G165" s="99">
        <v>1.42</v>
      </c>
      <c r="H165" s="98">
        <v>0.04</v>
      </c>
      <c r="I165" s="99">
        <v>134.6</v>
      </c>
      <c r="J165" s="100">
        <v>203</v>
      </c>
      <c r="K165" s="100">
        <f t="shared" si="7"/>
        <v>110.89444797000002</v>
      </c>
      <c r="L165" s="36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36"/>
      <c r="Z165" s="62">
        <v>62.311684574363035</v>
      </c>
      <c r="AA165" s="62">
        <v>29.618563697412604</v>
      </c>
      <c r="AB165" s="62">
        <v>11.319511159391666</v>
      </c>
      <c r="AC165" s="62">
        <v>17.537827770096783</v>
      </c>
      <c r="AD165" s="62">
        <v>12.575037724669171</v>
      </c>
      <c r="AE165" s="62">
        <v>261.57462512344466</v>
      </c>
      <c r="AF165" s="62">
        <v>53.42413825794984</v>
      </c>
      <c r="AG165" s="62">
        <v>418.54510389097385</v>
      </c>
      <c r="AH165" s="62">
        <v>67.8280926328264</v>
      </c>
      <c r="AI165" s="62">
        <v>681.1281046810192</v>
      </c>
      <c r="AJ165" s="62">
        <v>20.938624135887817</v>
      </c>
      <c r="AK165" s="62">
        <v>88.27241497136087</v>
      </c>
    </row>
    <row r="166" spans="1:24" ht="14.25">
      <c r="A166" s="93" t="s">
        <v>423</v>
      </c>
      <c r="B166" s="95">
        <v>39170.34722222222</v>
      </c>
      <c r="C166" s="96">
        <f t="shared" si="9"/>
        <v>39170.34722222222</v>
      </c>
      <c r="D166" s="97">
        <v>100</v>
      </c>
      <c r="E166" s="99">
        <f>D166*0.02831685</f>
        <v>2.8316850000000002</v>
      </c>
      <c r="F166" s="99">
        <v>39.8</v>
      </c>
      <c r="G166" s="99">
        <v>1.4</v>
      </c>
      <c r="H166" s="98">
        <v>0.06</v>
      </c>
      <c r="I166" s="99">
        <v>146.8</v>
      </c>
      <c r="J166" s="100">
        <v>218</v>
      </c>
      <c r="K166" s="100">
        <f t="shared" si="7"/>
        <v>112.701063</v>
      </c>
      <c r="L166" s="36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1:24" ht="14.25">
      <c r="A167" s="93" t="s">
        <v>424</v>
      </c>
      <c r="B167" s="95">
        <v>39185.604166666664</v>
      </c>
      <c r="C167" s="96">
        <f t="shared" si="9"/>
        <v>39185.604166666664</v>
      </c>
      <c r="D167" s="97">
        <v>110</v>
      </c>
      <c r="E167" s="99">
        <f>D167*0.02831685</f>
        <v>3.1148535</v>
      </c>
      <c r="F167" s="99">
        <v>36.8</v>
      </c>
      <c r="G167" s="99">
        <v>1.44</v>
      </c>
      <c r="H167" s="98">
        <v>0.08</v>
      </c>
      <c r="I167" s="99">
        <v>134.2</v>
      </c>
      <c r="J167" s="100">
        <v>204</v>
      </c>
      <c r="K167" s="100">
        <f t="shared" si="7"/>
        <v>114.6266088</v>
      </c>
      <c r="L167" s="36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1:24" ht="14.25">
      <c r="A168" s="93" t="s">
        <v>425</v>
      </c>
      <c r="B168" s="95">
        <v>39195.5</v>
      </c>
      <c r="C168" s="96">
        <f t="shared" si="9"/>
        <v>39195.5</v>
      </c>
      <c r="D168" s="97">
        <v>166</v>
      </c>
      <c r="E168" s="99">
        <f>D168*0.02831685</f>
        <v>4.7005971</v>
      </c>
      <c r="F168" s="99">
        <v>24.2</v>
      </c>
      <c r="G168" s="99">
        <v>1.14</v>
      </c>
      <c r="H168" s="98">
        <v>0.04</v>
      </c>
      <c r="I168" s="99">
        <v>89.7</v>
      </c>
      <c r="J168" s="100">
        <v>167</v>
      </c>
      <c r="K168" s="100">
        <f t="shared" si="7"/>
        <v>113.75444982</v>
      </c>
      <c r="L168" s="36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1:24" ht="14.25">
      <c r="A169" s="93" t="s">
        <v>685</v>
      </c>
      <c r="B169" s="95">
        <v>39202.3125</v>
      </c>
      <c r="C169" s="96">
        <f t="shared" si="9"/>
        <v>39202.3125</v>
      </c>
      <c r="D169" s="100">
        <v>485</v>
      </c>
      <c r="E169" s="99">
        <f aca="true" t="shared" si="10" ref="E169:E183">D169*0.02831685</f>
        <v>13.73367225</v>
      </c>
      <c r="F169" s="99">
        <v>8.62</v>
      </c>
      <c r="G169" s="99">
        <v>0.62</v>
      </c>
      <c r="H169" s="98" t="s">
        <v>964</v>
      </c>
      <c r="I169" s="99">
        <v>34</v>
      </c>
      <c r="J169" s="100">
        <v>93.74393229166667</v>
      </c>
      <c r="K169" s="100">
        <f t="shared" si="7"/>
        <v>118.38425479499999</v>
      </c>
      <c r="L169" s="45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</row>
    <row r="170" spans="1:24" ht="14.25">
      <c r="A170" s="93" t="s">
        <v>686</v>
      </c>
      <c r="B170" s="95">
        <v>39209.69097222222</v>
      </c>
      <c r="C170" s="96">
        <f t="shared" si="9"/>
        <v>39209.69097222222</v>
      </c>
      <c r="D170" s="100">
        <v>305</v>
      </c>
      <c r="E170" s="99">
        <f t="shared" si="10"/>
        <v>8.63663925</v>
      </c>
      <c r="F170" s="99">
        <v>13.2</v>
      </c>
      <c r="G170" s="99">
        <v>0.81</v>
      </c>
      <c r="H170" s="98">
        <v>0.03</v>
      </c>
      <c r="I170" s="99">
        <v>49.9</v>
      </c>
      <c r="J170" s="100">
        <v>121.072671875</v>
      </c>
      <c r="K170" s="100">
        <f t="shared" si="7"/>
        <v>114.00363809999999</v>
      </c>
      <c r="L170" s="45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</row>
    <row r="171" spans="1:24" ht="14.25">
      <c r="A171" s="93" t="s">
        <v>445</v>
      </c>
      <c r="B171" s="95">
        <v>39216.416666666664</v>
      </c>
      <c r="C171" s="96">
        <f t="shared" si="9"/>
        <v>39216.416666666664</v>
      </c>
      <c r="D171" s="100">
        <v>605</v>
      </c>
      <c r="E171" s="99">
        <f t="shared" si="10"/>
        <v>17.13169425</v>
      </c>
      <c r="F171" s="99">
        <v>6.59</v>
      </c>
      <c r="G171" s="99">
        <v>0.48</v>
      </c>
      <c r="H171" s="98">
        <v>0.01</v>
      </c>
      <c r="I171" s="99">
        <v>25.5</v>
      </c>
      <c r="J171" s="100">
        <v>85.16397916666668</v>
      </c>
      <c r="K171" s="100">
        <f t="shared" si="7"/>
        <v>112.8978651075</v>
      </c>
      <c r="L171" s="45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  <row r="172" spans="1:24" ht="14.25">
      <c r="A172" s="93" t="s">
        <v>446</v>
      </c>
      <c r="B172" s="95">
        <v>39223.67361111111</v>
      </c>
      <c r="C172" s="96">
        <f t="shared" si="9"/>
        <v>39223.67361111111</v>
      </c>
      <c r="D172" s="100">
        <v>490</v>
      </c>
      <c r="E172" s="99">
        <f t="shared" si="10"/>
        <v>13.8752565</v>
      </c>
      <c r="F172" s="99">
        <v>8.01</v>
      </c>
      <c r="G172" s="99">
        <v>0.54</v>
      </c>
      <c r="H172" s="98">
        <v>0.01</v>
      </c>
      <c r="I172" s="99">
        <v>30.8</v>
      </c>
      <c r="J172" s="100">
        <v>95.96836458333333</v>
      </c>
      <c r="K172" s="100">
        <f t="shared" si="7"/>
        <v>111.140804565</v>
      </c>
      <c r="L172" s="45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</row>
    <row r="173" spans="1:24" ht="14.25">
      <c r="A173" s="93" t="s">
        <v>447</v>
      </c>
      <c r="B173" s="95">
        <v>39232.3125</v>
      </c>
      <c r="C173" s="96">
        <f t="shared" si="9"/>
        <v>39232.3125</v>
      </c>
      <c r="D173" s="100">
        <v>282</v>
      </c>
      <c r="E173" s="99">
        <f t="shared" si="10"/>
        <v>7.985351700000001</v>
      </c>
      <c r="F173" s="99">
        <v>13.5</v>
      </c>
      <c r="G173" s="99">
        <v>0.77</v>
      </c>
      <c r="H173" s="98">
        <v>0.02</v>
      </c>
      <c r="I173" s="99">
        <v>51.2</v>
      </c>
      <c r="J173" s="100">
        <v>122.979328125</v>
      </c>
      <c r="K173" s="100">
        <f t="shared" si="7"/>
        <v>107.80224795000001</v>
      </c>
      <c r="L173" s="45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</row>
    <row r="174" spans="1:24" ht="14.25">
      <c r="A174" s="93" t="s">
        <v>448</v>
      </c>
      <c r="B174" s="95">
        <v>39237.625</v>
      </c>
      <c r="C174" s="96">
        <f t="shared" si="9"/>
        <v>39237.625</v>
      </c>
      <c r="D174" s="100">
        <v>293</v>
      </c>
      <c r="E174" s="99">
        <f t="shared" si="10"/>
        <v>8.29683705</v>
      </c>
      <c r="F174" s="99">
        <v>13.2</v>
      </c>
      <c r="G174" s="99">
        <v>0.73</v>
      </c>
      <c r="H174" s="98">
        <v>0.02</v>
      </c>
      <c r="I174" s="99">
        <v>50.2</v>
      </c>
      <c r="J174" s="100">
        <v>114.71715104166667</v>
      </c>
      <c r="K174" s="100">
        <f t="shared" si="7"/>
        <v>109.51824906</v>
      </c>
      <c r="L174" s="45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</row>
    <row r="175" spans="1:24" ht="14.25">
      <c r="A175" s="93" t="s">
        <v>449</v>
      </c>
      <c r="B175" s="95">
        <v>39244.302083333336</v>
      </c>
      <c r="C175" s="96">
        <f t="shared" si="9"/>
        <v>39244.302083333336</v>
      </c>
      <c r="D175" s="90">
        <v>259</v>
      </c>
      <c r="E175" s="99">
        <f t="shared" si="10"/>
        <v>7.334064150000001</v>
      </c>
      <c r="F175" s="99">
        <v>14.8</v>
      </c>
      <c r="G175" s="99">
        <v>0.79</v>
      </c>
      <c r="H175" s="98">
        <v>0.03</v>
      </c>
      <c r="I175" s="99">
        <v>57.1</v>
      </c>
      <c r="J175" s="100">
        <v>126.63375260416667</v>
      </c>
      <c r="K175" s="100">
        <f t="shared" si="7"/>
        <v>108.54414942000001</v>
      </c>
      <c r="L175" s="45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</row>
    <row r="176" spans="1:24" ht="14.25">
      <c r="A176" s="93" t="s">
        <v>450</v>
      </c>
      <c r="B176" s="95">
        <v>39251.3125</v>
      </c>
      <c r="C176" s="96">
        <f t="shared" si="9"/>
        <v>39251.3125</v>
      </c>
      <c r="D176" s="90">
        <v>230</v>
      </c>
      <c r="E176" s="99">
        <f t="shared" si="10"/>
        <v>6.5128755</v>
      </c>
      <c r="F176" s="99">
        <v>17.1</v>
      </c>
      <c r="G176" s="99">
        <v>0.85</v>
      </c>
      <c r="H176" s="98">
        <v>0.04</v>
      </c>
      <c r="I176" s="99">
        <v>64.5</v>
      </c>
      <c r="J176" s="100">
        <v>136.6436979166667</v>
      </c>
      <c r="K176" s="100">
        <f t="shared" si="7"/>
        <v>111.37017105000001</v>
      </c>
      <c r="L176" s="46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1:24" ht="14.25">
      <c r="A177" s="93" t="s">
        <v>534</v>
      </c>
      <c r="B177" s="95">
        <v>39261.520833333336</v>
      </c>
      <c r="C177" s="96">
        <f t="shared" si="9"/>
        <v>39261.520833333336</v>
      </c>
      <c r="D177" s="90">
        <v>179</v>
      </c>
      <c r="E177" s="99">
        <f t="shared" si="10"/>
        <v>5.06871615</v>
      </c>
      <c r="F177" s="99">
        <v>22.2</v>
      </c>
      <c r="G177" s="99">
        <v>1.05</v>
      </c>
      <c r="H177" s="98">
        <v>0.04</v>
      </c>
      <c r="I177" s="99">
        <v>83.4</v>
      </c>
      <c r="J177" s="100">
        <v>161.90689322916668</v>
      </c>
      <c r="K177" s="100">
        <f t="shared" si="7"/>
        <v>112.52549853000001</v>
      </c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  <row r="178" spans="1:24" ht="14.25">
      <c r="A178" s="93" t="s">
        <v>535</v>
      </c>
      <c r="B178" s="95">
        <v>39273.5</v>
      </c>
      <c r="C178" s="96">
        <f t="shared" si="9"/>
        <v>39273.5</v>
      </c>
      <c r="D178" s="90">
        <v>144</v>
      </c>
      <c r="E178" s="99">
        <f t="shared" si="10"/>
        <v>4.0776264</v>
      </c>
      <c r="F178" s="99">
        <v>27</v>
      </c>
      <c r="G178" s="99">
        <v>1.21</v>
      </c>
      <c r="H178" s="98">
        <v>0.05</v>
      </c>
      <c r="I178" s="99">
        <v>99.7</v>
      </c>
      <c r="J178" s="100">
        <v>180.97345572916666</v>
      </c>
      <c r="K178" s="100">
        <f t="shared" si="7"/>
        <v>110.0959128</v>
      </c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  <row r="179" spans="1:24" ht="14.25">
      <c r="A179" s="93" t="s">
        <v>536</v>
      </c>
      <c r="B179" s="95">
        <v>39289.5625</v>
      </c>
      <c r="C179" s="96">
        <f t="shared" si="9"/>
        <v>39289.5625</v>
      </c>
      <c r="D179" s="90">
        <v>132</v>
      </c>
      <c r="E179" s="99">
        <f t="shared" si="10"/>
        <v>3.7378242</v>
      </c>
      <c r="F179" s="99">
        <v>28.3</v>
      </c>
      <c r="G179" s="99">
        <v>1.24</v>
      </c>
      <c r="H179" s="98">
        <v>0.05</v>
      </c>
      <c r="I179" s="99">
        <v>107</v>
      </c>
      <c r="J179" s="100">
        <v>183.99232812500003</v>
      </c>
      <c r="K179" s="100">
        <f t="shared" si="7"/>
        <v>105.78042486</v>
      </c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1:24" ht="14.25">
      <c r="A180" s="93" t="s">
        <v>537</v>
      </c>
      <c r="B180" s="95">
        <v>39302.680555555555</v>
      </c>
      <c r="C180" s="96">
        <f t="shared" si="9"/>
        <v>39302.680555555555</v>
      </c>
      <c r="D180" s="90">
        <v>107</v>
      </c>
      <c r="E180" s="99">
        <f t="shared" si="10"/>
        <v>3.0299029500000003</v>
      </c>
      <c r="F180" s="99">
        <v>32.2</v>
      </c>
      <c r="G180" s="99">
        <v>1.35</v>
      </c>
      <c r="H180" s="98">
        <v>0.07</v>
      </c>
      <c r="I180" s="99">
        <v>118</v>
      </c>
      <c r="J180" s="100">
        <v>195.432265625</v>
      </c>
      <c r="K180" s="100">
        <f t="shared" si="7"/>
        <v>97.56287499000003</v>
      </c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1:24" ht="14.25">
      <c r="A181" s="93" t="s">
        <v>538</v>
      </c>
      <c r="B181" s="95">
        <v>39316.333333333336</v>
      </c>
      <c r="C181" s="96">
        <f t="shared" si="9"/>
        <v>39316.333333333336</v>
      </c>
      <c r="D181" s="90">
        <v>105</v>
      </c>
      <c r="E181" s="99">
        <f t="shared" si="10"/>
        <v>2.97326925</v>
      </c>
      <c r="F181" s="99">
        <v>34.3</v>
      </c>
      <c r="G181" s="99">
        <v>1.41</v>
      </c>
      <c r="H181" s="98">
        <v>0.07</v>
      </c>
      <c r="I181" s="99">
        <v>125</v>
      </c>
      <c r="J181" s="100">
        <v>204.6477708333334</v>
      </c>
      <c r="K181" s="100">
        <f t="shared" si="7"/>
        <v>101.983135275</v>
      </c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  <row r="182" spans="1:24" ht="14.25">
      <c r="A182" s="93" t="s">
        <v>539</v>
      </c>
      <c r="B182" s="95">
        <v>39330.53125</v>
      </c>
      <c r="C182" s="96">
        <f t="shared" si="9"/>
        <v>39330.53125</v>
      </c>
      <c r="D182" s="90">
        <v>98</v>
      </c>
      <c r="E182" s="99">
        <f t="shared" si="10"/>
        <v>2.7750513</v>
      </c>
      <c r="F182" s="99">
        <v>35.5</v>
      </c>
      <c r="G182" s="99">
        <v>1.41</v>
      </c>
      <c r="H182" s="98">
        <v>0.07</v>
      </c>
      <c r="I182" s="99">
        <v>130</v>
      </c>
      <c r="J182" s="100">
        <v>196.38559375</v>
      </c>
      <c r="K182" s="100">
        <f t="shared" si="7"/>
        <v>98.51432115</v>
      </c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</row>
    <row r="183" spans="1:24" ht="12.75">
      <c r="A183" s="93" t="s">
        <v>540</v>
      </c>
      <c r="B183" s="95">
        <v>39342.583333333336</v>
      </c>
      <c r="C183" s="96">
        <f t="shared" si="9"/>
        <v>39342.583333333336</v>
      </c>
      <c r="D183" s="90">
        <v>92</v>
      </c>
      <c r="E183" s="99">
        <f t="shared" si="10"/>
        <v>2.6051502</v>
      </c>
      <c r="F183" s="99">
        <v>38.2</v>
      </c>
      <c r="G183" s="99">
        <v>1.46</v>
      </c>
      <c r="H183" s="98">
        <v>0.08</v>
      </c>
      <c r="I183" s="99">
        <v>139</v>
      </c>
      <c r="J183" s="97" t="s">
        <v>608</v>
      </c>
      <c r="K183" s="100">
        <f t="shared" si="7"/>
        <v>99.51673764000002</v>
      </c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  <row r="184" spans="1:24" ht="12.75">
      <c r="A184" s="82" t="s">
        <v>384</v>
      </c>
      <c r="C184" s="96"/>
      <c r="D184" s="90"/>
      <c r="E184" s="99"/>
      <c r="F184" s="99"/>
      <c r="G184" s="99"/>
      <c r="H184" s="98"/>
      <c r="I184" s="99"/>
      <c r="J184" s="97"/>
      <c r="K184" s="34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</row>
    <row r="185" spans="1:24" ht="12.75">
      <c r="A185" s="86" t="s">
        <v>212</v>
      </c>
      <c r="B185" s="95">
        <v>39356.40625</v>
      </c>
      <c r="C185" s="96">
        <f aca="true" t="shared" si="11" ref="C185:C214">B185</f>
        <v>39356.40625</v>
      </c>
      <c r="D185" s="90">
        <v>90</v>
      </c>
      <c r="E185" s="99">
        <f aca="true" t="shared" si="12" ref="E185:E214">D185*0.02831685</f>
        <v>2.5485165000000003</v>
      </c>
      <c r="F185" s="99">
        <v>38.3</v>
      </c>
      <c r="G185" s="99">
        <v>1.47</v>
      </c>
      <c r="H185" s="98">
        <v>0.08</v>
      </c>
      <c r="I185" s="99">
        <v>139</v>
      </c>
      <c r="J185" s="100">
        <v>200.83445833333334</v>
      </c>
      <c r="K185" s="100">
        <f aca="true" t="shared" si="13" ref="K185:K214">E185*F185</f>
        <v>97.60818195</v>
      </c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  <row r="186" spans="1:24" s="24" customFormat="1" ht="12">
      <c r="A186" s="89" t="s">
        <v>212</v>
      </c>
      <c r="B186" s="102">
        <v>39356.40625</v>
      </c>
      <c r="C186" s="103">
        <f t="shared" si="11"/>
        <v>39356.40625</v>
      </c>
      <c r="D186" s="90">
        <v>90</v>
      </c>
      <c r="E186" s="105">
        <f>D186*0.02831685</f>
        <v>2.5485165000000003</v>
      </c>
      <c r="F186" s="105">
        <f>19.3*2</f>
        <v>38.6</v>
      </c>
      <c r="G186" s="105">
        <f>0.74*2</f>
        <v>1.48</v>
      </c>
      <c r="H186" s="91">
        <f>0.04*2</f>
        <v>0.08</v>
      </c>
      <c r="I186" s="105">
        <f>70.3*2</f>
        <v>140.6</v>
      </c>
      <c r="J186" s="90">
        <v>200.83445833333334</v>
      </c>
      <c r="K186" s="90">
        <f t="shared" si="13"/>
        <v>98.37273690000002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:11" s="24" customFormat="1" ht="12">
      <c r="A187" s="89" t="s">
        <v>234</v>
      </c>
      <c r="B187" s="102">
        <v>39372.416666666664</v>
      </c>
      <c r="C187" s="103">
        <f t="shared" si="11"/>
        <v>39372.416666666664</v>
      </c>
      <c r="D187" s="90">
        <v>95</v>
      </c>
      <c r="E187" s="105">
        <f t="shared" si="12"/>
        <v>2.69010075</v>
      </c>
      <c r="F187" s="105">
        <f>18.7*2</f>
        <v>37.4</v>
      </c>
      <c r="G187" s="105">
        <f>0.71*2</f>
        <v>1.42</v>
      </c>
      <c r="H187" s="91">
        <f>0.04*2</f>
        <v>0.08</v>
      </c>
      <c r="I187" s="105">
        <f>68.6*2</f>
        <v>137.2</v>
      </c>
      <c r="J187" s="90">
        <v>176</v>
      </c>
      <c r="K187" s="90">
        <f t="shared" si="13"/>
        <v>100.60976805</v>
      </c>
    </row>
    <row r="188" spans="1:11" s="24" customFormat="1" ht="12">
      <c r="A188" s="89" t="s">
        <v>235</v>
      </c>
      <c r="B188" s="102">
        <v>39391.354166666664</v>
      </c>
      <c r="C188" s="103">
        <f t="shared" si="11"/>
        <v>39391.354166666664</v>
      </c>
      <c r="D188" s="90">
        <v>96</v>
      </c>
      <c r="E188" s="105">
        <f t="shared" si="12"/>
        <v>2.7184176</v>
      </c>
      <c r="F188" s="105">
        <f>20.1*2</f>
        <v>40.2</v>
      </c>
      <c r="G188" s="105">
        <f>0.74*2</f>
        <v>1.48</v>
      </c>
      <c r="H188" s="91">
        <f>0.05*2</f>
        <v>0.1</v>
      </c>
      <c r="I188" s="105">
        <f>74.5*2</f>
        <v>149</v>
      </c>
      <c r="J188" s="90">
        <v>198</v>
      </c>
      <c r="K188" s="90">
        <f t="shared" si="13"/>
        <v>109.28038752</v>
      </c>
    </row>
    <row r="189" spans="1:11" s="24" customFormat="1" ht="12">
      <c r="A189" s="89" t="s">
        <v>236</v>
      </c>
      <c r="B189" s="102">
        <v>39422.68402777778</v>
      </c>
      <c r="C189" s="103">
        <f t="shared" si="11"/>
        <v>39422.68402777778</v>
      </c>
      <c r="D189" s="90">
        <v>94</v>
      </c>
      <c r="E189" s="105">
        <f t="shared" si="12"/>
        <v>2.6617839</v>
      </c>
      <c r="F189" s="105">
        <f>19.8*2</f>
        <v>39.6</v>
      </c>
      <c r="G189" s="105">
        <f>0.75*2</f>
        <v>1.5</v>
      </c>
      <c r="H189" s="91">
        <f>0.05*2</f>
        <v>0.1</v>
      </c>
      <c r="I189" s="105">
        <f>70.9*2</f>
        <v>141.8</v>
      </c>
      <c r="J189" s="90">
        <v>197</v>
      </c>
      <c r="K189" s="90">
        <f t="shared" si="13"/>
        <v>105.40664244000001</v>
      </c>
    </row>
    <row r="190" spans="1:11" s="24" customFormat="1" ht="12">
      <c r="A190" s="89" t="s">
        <v>237</v>
      </c>
      <c r="B190" s="102">
        <v>39450.458333333336</v>
      </c>
      <c r="C190" s="103">
        <f t="shared" si="11"/>
        <v>39450.458333333336</v>
      </c>
      <c r="D190" s="90">
        <v>88</v>
      </c>
      <c r="E190" s="105">
        <f t="shared" si="12"/>
        <v>2.4918828</v>
      </c>
      <c r="F190" s="105">
        <f>22.4*2</f>
        <v>44.8</v>
      </c>
      <c r="G190" s="105">
        <f>0.77*2</f>
        <v>1.54</v>
      </c>
      <c r="H190" s="91">
        <f>0.05*2</f>
        <v>0.1</v>
      </c>
      <c r="I190" s="105">
        <f>79.7*2</f>
        <v>159.4</v>
      </c>
      <c r="J190" s="90">
        <v>193</v>
      </c>
      <c r="K190" s="90">
        <f t="shared" si="13"/>
        <v>111.63634943999999</v>
      </c>
    </row>
    <row r="191" spans="1:11" s="24" customFormat="1" ht="12">
      <c r="A191" s="89" t="s">
        <v>238</v>
      </c>
      <c r="B191" s="102">
        <v>39483.625</v>
      </c>
      <c r="C191" s="103">
        <f t="shared" si="11"/>
        <v>39483.625</v>
      </c>
      <c r="D191" s="90">
        <v>86</v>
      </c>
      <c r="E191" s="105">
        <f t="shared" si="12"/>
        <v>2.4352491</v>
      </c>
      <c r="F191" s="105">
        <f>19.9*2</f>
        <v>39.8</v>
      </c>
      <c r="G191" s="105">
        <f>0.74*2</f>
        <v>1.48</v>
      </c>
      <c r="H191" s="91">
        <f>0.05*2</f>
        <v>0.1</v>
      </c>
      <c r="I191" s="105">
        <f>71.7*2</f>
        <v>143.4</v>
      </c>
      <c r="J191" s="90">
        <v>206</v>
      </c>
      <c r="K191" s="90">
        <f t="shared" si="13"/>
        <v>96.92291417999999</v>
      </c>
    </row>
    <row r="192" spans="1:11" ht="12">
      <c r="A192" s="86" t="s">
        <v>213</v>
      </c>
      <c r="B192" s="95">
        <v>39510.666666666664</v>
      </c>
      <c r="C192" s="96">
        <f t="shared" si="11"/>
        <v>39510.666666666664</v>
      </c>
      <c r="D192" s="90">
        <v>85</v>
      </c>
      <c r="E192" s="99">
        <f>D192*0.02831685</f>
        <v>2.40693225</v>
      </c>
      <c r="F192" s="99">
        <v>41.2</v>
      </c>
      <c r="G192" s="99">
        <v>1.58</v>
      </c>
      <c r="H192" s="98">
        <v>0.1</v>
      </c>
      <c r="I192" s="99">
        <v>146.6</v>
      </c>
      <c r="J192" s="100">
        <v>202.42333854166668</v>
      </c>
      <c r="K192" s="100">
        <f t="shared" si="13"/>
        <v>99.1656087</v>
      </c>
    </row>
    <row r="193" spans="1:11" ht="12">
      <c r="A193" s="86" t="s">
        <v>214</v>
      </c>
      <c r="B193" s="95">
        <v>39524.677083333336</v>
      </c>
      <c r="C193" s="96">
        <f t="shared" si="11"/>
        <v>39524.677083333336</v>
      </c>
      <c r="D193" s="90">
        <v>80</v>
      </c>
      <c r="E193" s="99">
        <f>D193*0.02831685</f>
        <v>2.265348</v>
      </c>
      <c r="F193" s="99">
        <v>46.2</v>
      </c>
      <c r="G193" s="99">
        <v>1.62</v>
      </c>
      <c r="H193" s="98">
        <v>0.1</v>
      </c>
      <c r="I193" s="99">
        <v>166</v>
      </c>
      <c r="J193" s="100">
        <v>203.6944427083333</v>
      </c>
      <c r="K193" s="100">
        <f t="shared" si="13"/>
        <v>104.6590776</v>
      </c>
    </row>
    <row r="194" spans="1:11" ht="12">
      <c r="A194" s="86" t="s">
        <v>215</v>
      </c>
      <c r="B194" s="95">
        <v>39539.458333333336</v>
      </c>
      <c r="C194" s="96">
        <f t="shared" si="11"/>
        <v>39539.458333333336</v>
      </c>
      <c r="D194" s="90">
        <v>78</v>
      </c>
      <c r="E194" s="99">
        <f>D194*0.02831685</f>
        <v>2.2087143</v>
      </c>
      <c r="F194" s="99">
        <v>53.8</v>
      </c>
      <c r="G194" s="99">
        <v>1.68</v>
      </c>
      <c r="H194" s="98">
        <v>0.12</v>
      </c>
      <c r="I194" s="99">
        <v>191.8</v>
      </c>
      <c r="J194" s="100">
        <v>210.04996354166659</v>
      </c>
      <c r="K194" s="100">
        <f t="shared" si="13"/>
        <v>118.82882934</v>
      </c>
    </row>
    <row r="195" spans="1:11" s="24" customFormat="1" ht="12">
      <c r="A195" s="89" t="s">
        <v>239</v>
      </c>
      <c r="B195" s="102">
        <v>39553.447916666664</v>
      </c>
      <c r="C195" s="103">
        <f t="shared" si="11"/>
        <v>39553.447916666664</v>
      </c>
      <c r="D195" s="104">
        <v>97</v>
      </c>
      <c r="E195" s="105">
        <f t="shared" si="12"/>
        <v>2.74673445</v>
      </c>
      <c r="F195" s="105">
        <f>19.7*2</f>
        <v>39.4</v>
      </c>
      <c r="G195" s="105">
        <f>0.76*2</f>
        <v>1.52</v>
      </c>
      <c r="H195" s="91">
        <f>0.04*2</f>
        <v>0.08</v>
      </c>
      <c r="I195" s="105">
        <f>69.2*2</f>
        <v>138.4</v>
      </c>
      <c r="J195" s="90">
        <v>198</v>
      </c>
      <c r="K195" s="90">
        <f t="shared" si="13"/>
        <v>108.22133733</v>
      </c>
    </row>
    <row r="196" spans="1:11" s="24" customFormat="1" ht="12">
      <c r="A196" s="89" t="s">
        <v>216</v>
      </c>
      <c r="B196" s="102">
        <v>39566.614583333336</v>
      </c>
      <c r="C196" s="103">
        <f t="shared" si="11"/>
        <v>39566.614583333336</v>
      </c>
      <c r="D196" s="104">
        <v>92</v>
      </c>
      <c r="E196" s="105">
        <f t="shared" si="12"/>
        <v>2.6051502</v>
      </c>
      <c r="F196" s="105">
        <f>21.3*2</f>
        <v>42.6</v>
      </c>
      <c r="G196" s="105">
        <f>0.8*2</f>
        <v>1.6</v>
      </c>
      <c r="H196" s="91">
        <f>0.04*2</f>
        <v>0.08</v>
      </c>
      <c r="I196" s="105">
        <f>76.4*2</f>
        <v>152.8</v>
      </c>
      <c r="J196" s="104">
        <v>206</v>
      </c>
      <c r="K196" s="90">
        <f t="shared" si="13"/>
        <v>110.97939852000002</v>
      </c>
    </row>
    <row r="197" spans="1:11" s="24" customFormat="1" ht="12">
      <c r="A197" s="89" t="s">
        <v>240</v>
      </c>
      <c r="B197" s="102">
        <v>39573.461805555555</v>
      </c>
      <c r="C197" s="103">
        <f t="shared" si="11"/>
        <v>39573.461805555555</v>
      </c>
      <c r="D197" s="104">
        <v>152</v>
      </c>
      <c r="E197" s="105">
        <f t="shared" si="12"/>
        <v>4.3041612</v>
      </c>
      <c r="F197" s="105">
        <f>14*2</f>
        <v>28</v>
      </c>
      <c r="G197" s="105">
        <f>0.64*2</f>
        <v>1.28</v>
      </c>
      <c r="H197" s="91">
        <f>0.02*2</f>
        <v>0.04</v>
      </c>
      <c r="I197" s="105">
        <f>49.7*2</f>
        <v>99.4</v>
      </c>
      <c r="J197" s="90">
        <v>165</v>
      </c>
      <c r="K197" s="90">
        <f t="shared" si="13"/>
        <v>120.51651360000001</v>
      </c>
    </row>
    <row r="198" spans="1:11" ht="12">
      <c r="A198" s="86" t="s">
        <v>217</v>
      </c>
      <c r="B198" s="95">
        <v>39581.302083333336</v>
      </c>
      <c r="C198" s="96">
        <f t="shared" si="11"/>
        <v>39581.302083333336</v>
      </c>
      <c r="D198" s="97">
        <v>226</v>
      </c>
      <c r="E198" s="99">
        <f>D198*0.02831685</f>
        <v>6.3996081</v>
      </c>
      <c r="F198" s="99">
        <v>18.2</v>
      </c>
      <c r="G198" s="99">
        <v>0.96</v>
      </c>
      <c r="H198" s="98">
        <v>0.02</v>
      </c>
      <c r="I198" s="99">
        <v>69.1</v>
      </c>
      <c r="J198" s="97">
        <v>150</v>
      </c>
      <c r="K198" s="100">
        <f t="shared" si="13"/>
        <v>116.47286742</v>
      </c>
    </row>
    <row r="199" spans="1:11" ht="12">
      <c r="A199" s="86" t="s">
        <v>218</v>
      </c>
      <c r="B199" s="95">
        <v>39588.854166666664</v>
      </c>
      <c r="C199" s="96">
        <f t="shared" si="11"/>
        <v>39588.854166666664</v>
      </c>
      <c r="D199" s="97">
        <v>1090</v>
      </c>
      <c r="E199" s="99">
        <f t="shared" si="12"/>
        <v>30.8653665</v>
      </c>
      <c r="F199" s="99">
        <v>4.3</v>
      </c>
      <c r="G199" s="99">
        <v>0.48</v>
      </c>
      <c r="H199" s="98" t="s">
        <v>964</v>
      </c>
      <c r="I199" s="99">
        <v>18.1</v>
      </c>
      <c r="J199" s="97">
        <v>78</v>
      </c>
      <c r="K199" s="100">
        <f t="shared" si="13"/>
        <v>132.72107595</v>
      </c>
    </row>
    <row r="200" spans="1:11" ht="12">
      <c r="A200" s="86" t="s">
        <v>219</v>
      </c>
      <c r="B200" s="95">
        <v>39595.333333333336</v>
      </c>
      <c r="C200" s="96">
        <f t="shared" si="11"/>
        <v>39595.333333333336</v>
      </c>
      <c r="D200" s="97">
        <v>633</v>
      </c>
      <c r="E200" s="99">
        <f t="shared" si="12"/>
        <v>17.92456605</v>
      </c>
      <c r="F200" s="99">
        <v>7.26</v>
      </c>
      <c r="G200" s="99">
        <v>0.59</v>
      </c>
      <c r="H200" s="98">
        <v>0.01</v>
      </c>
      <c r="I200" s="99">
        <v>28.4</v>
      </c>
      <c r="J200" s="97">
        <v>94</v>
      </c>
      <c r="K200" s="100">
        <f t="shared" si="13"/>
        <v>130.132349523</v>
      </c>
    </row>
    <row r="201" spans="1:11" ht="12">
      <c r="A201" s="86" t="s">
        <v>220</v>
      </c>
      <c r="B201" s="95">
        <v>39602.354166666664</v>
      </c>
      <c r="C201" s="96">
        <f t="shared" si="11"/>
        <v>39602.354166666664</v>
      </c>
      <c r="D201" s="97">
        <v>1020</v>
      </c>
      <c r="E201" s="99">
        <f t="shared" si="12"/>
        <v>28.883187</v>
      </c>
      <c r="F201" s="99">
        <v>4.41</v>
      </c>
      <c r="G201" s="99">
        <v>0.45</v>
      </c>
      <c r="H201" s="98" t="s">
        <v>964</v>
      </c>
      <c r="I201" s="99">
        <v>17.1</v>
      </c>
      <c r="J201" s="97">
        <v>81</v>
      </c>
      <c r="K201" s="100">
        <f t="shared" si="13"/>
        <v>127.37485467</v>
      </c>
    </row>
    <row r="202" spans="1:11" ht="12">
      <c r="A202" s="86" t="s">
        <v>221</v>
      </c>
      <c r="B202" s="95">
        <v>39610.604166666664</v>
      </c>
      <c r="C202" s="96">
        <f t="shared" si="11"/>
        <v>39610.604166666664</v>
      </c>
      <c r="D202" s="97">
        <v>558</v>
      </c>
      <c r="E202" s="99">
        <f t="shared" si="12"/>
        <v>15.8008023</v>
      </c>
      <c r="F202" s="99">
        <v>7.92</v>
      </c>
      <c r="G202" s="99">
        <v>0.68</v>
      </c>
      <c r="H202" s="98">
        <v>0.01</v>
      </c>
      <c r="I202" s="99">
        <v>29.9</v>
      </c>
      <c r="J202" s="97">
        <v>102</v>
      </c>
      <c r="K202" s="100">
        <f t="shared" si="13"/>
        <v>125.142354216</v>
      </c>
    </row>
    <row r="203" spans="1:11" ht="12">
      <c r="A203" s="86" t="s">
        <v>222</v>
      </c>
      <c r="B203" s="95">
        <v>39615.65625</v>
      </c>
      <c r="C203" s="96">
        <f t="shared" si="11"/>
        <v>39615.65625</v>
      </c>
      <c r="D203" s="97">
        <v>606</v>
      </c>
      <c r="E203" s="99">
        <f t="shared" si="12"/>
        <v>17.160011100000002</v>
      </c>
      <c r="F203" s="99">
        <v>7.05</v>
      </c>
      <c r="G203" s="99">
        <v>0.63</v>
      </c>
      <c r="H203" s="98" t="s">
        <v>964</v>
      </c>
      <c r="I203" s="99">
        <v>26.9</v>
      </c>
      <c r="J203" s="97">
        <v>125</v>
      </c>
      <c r="K203" s="100">
        <f t="shared" si="13"/>
        <v>120.97807825500001</v>
      </c>
    </row>
    <row r="204" spans="1:11" ht="12">
      <c r="A204" s="86" t="s">
        <v>223</v>
      </c>
      <c r="B204" s="95">
        <v>39622.666666666664</v>
      </c>
      <c r="C204" s="96">
        <f t="shared" si="11"/>
        <v>39622.666666666664</v>
      </c>
      <c r="D204" s="97">
        <v>981</v>
      </c>
      <c r="E204" s="99">
        <f t="shared" si="12"/>
        <v>27.77882985</v>
      </c>
      <c r="F204" s="99">
        <v>4.6</v>
      </c>
      <c r="G204" s="99">
        <v>0.49</v>
      </c>
      <c r="H204" s="98" t="s">
        <v>964</v>
      </c>
      <c r="I204" s="99">
        <v>18.1</v>
      </c>
      <c r="J204" s="97">
        <v>80</v>
      </c>
      <c r="K204" s="100">
        <f t="shared" si="13"/>
        <v>127.78261730999999</v>
      </c>
    </row>
    <row r="205" spans="1:11" ht="12">
      <c r="A205" s="86" t="s">
        <v>224</v>
      </c>
      <c r="B205" s="95">
        <v>39629.5</v>
      </c>
      <c r="C205" s="96">
        <f t="shared" si="11"/>
        <v>39629.5</v>
      </c>
      <c r="D205" s="97">
        <v>808</v>
      </c>
      <c r="E205" s="99">
        <f t="shared" si="12"/>
        <v>22.8800148</v>
      </c>
      <c r="F205" s="99">
        <v>5.16</v>
      </c>
      <c r="G205" s="99">
        <v>0.49</v>
      </c>
      <c r="H205" s="98" t="s">
        <v>964</v>
      </c>
      <c r="I205" s="99">
        <v>20.2</v>
      </c>
      <c r="J205" s="97">
        <v>83</v>
      </c>
      <c r="K205" s="100">
        <f t="shared" si="13"/>
        <v>118.06087636800001</v>
      </c>
    </row>
    <row r="206" spans="1:11" ht="12">
      <c r="A206" s="86" t="s">
        <v>225</v>
      </c>
      <c r="B206" s="95">
        <v>39638.666666666664</v>
      </c>
      <c r="C206" s="96">
        <f t="shared" si="11"/>
        <v>39638.666666666664</v>
      </c>
      <c r="D206" s="97">
        <v>476</v>
      </c>
      <c r="E206" s="99">
        <f t="shared" si="12"/>
        <v>13.4788206</v>
      </c>
      <c r="F206" s="99">
        <v>8.34</v>
      </c>
      <c r="G206" s="99">
        <v>0.65</v>
      </c>
      <c r="H206" s="98" t="s">
        <v>964</v>
      </c>
      <c r="I206" s="99">
        <v>32.3</v>
      </c>
      <c r="J206" s="97">
        <v>102</v>
      </c>
      <c r="K206" s="100">
        <f t="shared" si="13"/>
        <v>112.413363804</v>
      </c>
    </row>
    <row r="207" spans="1:11" ht="12">
      <c r="A207" s="86" t="s">
        <v>226</v>
      </c>
      <c r="B207" s="95">
        <v>39643.65625</v>
      </c>
      <c r="C207" s="96">
        <f t="shared" si="11"/>
        <v>39643.65625</v>
      </c>
      <c r="D207" s="97">
        <v>340</v>
      </c>
      <c r="E207" s="99">
        <f t="shared" si="12"/>
        <v>9.627729</v>
      </c>
      <c r="F207" s="99">
        <v>10.8</v>
      </c>
      <c r="G207" s="99">
        <v>0.74</v>
      </c>
      <c r="H207" s="98">
        <v>0.02</v>
      </c>
      <c r="I207" s="99">
        <v>41.3</v>
      </c>
      <c r="J207" s="97">
        <v>112</v>
      </c>
      <c r="K207" s="100">
        <f t="shared" si="13"/>
        <v>103.97947320000002</v>
      </c>
    </row>
    <row r="208" spans="1:11" ht="12">
      <c r="A208" s="86" t="s">
        <v>227</v>
      </c>
      <c r="B208" s="95">
        <v>39650.666666666664</v>
      </c>
      <c r="C208" s="96">
        <f t="shared" si="11"/>
        <v>39650.666666666664</v>
      </c>
      <c r="D208" s="97">
        <v>276</v>
      </c>
      <c r="E208" s="99">
        <f t="shared" si="12"/>
        <v>7.8154506</v>
      </c>
      <c r="F208" s="99">
        <v>13.3</v>
      </c>
      <c r="G208" s="99">
        <v>0.86</v>
      </c>
      <c r="H208" s="98">
        <v>0.03</v>
      </c>
      <c r="I208" s="99">
        <v>50.7</v>
      </c>
      <c r="J208" s="97">
        <v>127</v>
      </c>
      <c r="K208" s="100">
        <f t="shared" si="13"/>
        <v>103.94549298000001</v>
      </c>
    </row>
    <row r="209" spans="1:11" ht="12">
      <c r="A209" s="86" t="s">
        <v>228</v>
      </c>
      <c r="B209" s="95">
        <v>39659.677083333336</v>
      </c>
      <c r="C209" s="96">
        <f t="shared" si="11"/>
        <v>39659.677083333336</v>
      </c>
      <c r="D209" s="97">
        <v>205</v>
      </c>
      <c r="E209" s="99">
        <f t="shared" si="12"/>
        <v>5.804954250000001</v>
      </c>
      <c r="F209" s="99">
        <v>16.9</v>
      </c>
      <c r="G209" s="99">
        <v>0.96</v>
      </c>
      <c r="H209" s="98">
        <v>0.03</v>
      </c>
      <c r="I209" s="99">
        <v>63.7</v>
      </c>
      <c r="J209" s="97">
        <v>142</v>
      </c>
      <c r="K209" s="100">
        <f t="shared" si="13"/>
        <v>98.10372682500001</v>
      </c>
    </row>
    <row r="210" spans="1:11" ht="12">
      <c r="A210" s="86" t="s">
        <v>229</v>
      </c>
      <c r="B210" s="95">
        <v>39664.666666666664</v>
      </c>
      <c r="C210" s="96">
        <f t="shared" si="11"/>
        <v>39664.666666666664</v>
      </c>
      <c r="D210" s="97">
        <v>187</v>
      </c>
      <c r="E210" s="99">
        <f t="shared" si="12"/>
        <v>5.29525095</v>
      </c>
      <c r="F210" s="99">
        <v>18.5</v>
      </c>
      <c r="G210" s="99">
        <v>1.02</v>
      </c>
      <c r="H210" s="98">
        <v>0.04</v>
      </c>
      <c r="I210" s="99">
        <v>69.5</v>
      </c>
      <c r="J210" s="97">
        <v>148</v>
      </c>
      <c r="K210" s="100">
        <f t="shared" si="13"/>
        <v>97.962142575</v>
      </c>
    </row>
    <row r="211" spans="1:11" ht="12">
      <c r="A211" s="86" t="s">
        <v>230</v>
      </c>
      <c r="B211" s="95">
        <v>39680.666666666664</v>
      </c>
      <c r="C211" s="96">
        <f t="shared" si="11"/>
        <v>39680.666666666664</v>
      </c>
      <c r="D211" s="97">
        <v>148</v>
      </c>
      <c r="E211" s="99">
        <f t="shared" si="12"/>
        <v>4.1908938000000004</v>
      </c>
      <c r="F211" s="99">
        <v>23</v>
      </c>
      <c r="G211" s="99">
        <v>1.19</v>
      </c>
      <c r="H211" s="98">
        <v>0.05</v>
      </c>
      <c r="I211" s="99">
        <v>85.7</v>
      </c>
      <c r="J211" s="97">
        <v>167</v>
      </c>
      <c r="K211" s="100">
        <f t="shared" si="13"/>
        <v>96.3905574</v>
      </c>
    </row>
    <row r="212" spans="1:11" ht="12">
      <c r="A212" s="86" t="s">
        <v>231</v>
      </c>
      <c r="B212" s="95">
        <v>39693.614583333336</v>
      </c>
      <c r="C212" s="96">
        <f t="shared" si="11"/>
        <v>39693.614583333336</v>
      </c>
      <c r="D212" s="97">
        <v>148</v>
      </c>
      <c r="E212" s="99">
        <f>D212*0.02831685</f>
        <v>4.1908938000000004</v>
      </c>
      <c r="F212" s="99">
        <v>25.3</v>
      </c>
      <c r="G212" s="99">
        <v>1.24</v>
      </c>
      <c r="H212" s="98">
        <v>0.05</v>
      </c>
      <c r="I212" s="99">
        <v>93.8</v>
      </c>
      <c r="J212" s="97">
        <v>173</v>
      </c>
      <c r="K212" s="100">
        <f t="shared" si="13"/>
        <v>106.02961314000001</v>
      </c>
    </row>
    <row r="213" spans="1:11" ht="12">
      <c r="A213" s="86" t="s">
        <v>232</v>
      </c>
      <c r="B213" s="95">
        <v>39707.625</v>
      </c>
      <c r="C213" s="96">
        <f t="shared" si="11"/>
        <v>39707.625</v>
      </c>
      <c r="D213" s="97">
        <v>129</v>
      </c>
      <c r="E213" s="99">
        <f t="shared" si="12"/>
        <v>3.65287365</v>
      </c>
      <c r="F213" s="99">
        <v>27.9</v>
      </c>
      <c r="G213" s="99">
        <v>1.31</v>
      </c>
      <c r="H213" s="98">
        <v>0.06</v>
      </c>
      <c r="I213" s="99">
        <v>103</v>
      </c>
      <c r="J213" s="97">
        <v>181</v>
      </c>
      <c r="K213" s="100">
        <f t="shared" si="13"/>
        <v>101.915174835</v>
      </c>
    </row>
    <row r="214" spans="1:11" ht="12">
      <c r="A214" s="86" t="s">
        <v>233</v>
      </c>
      <c r="B214" s="95">
        <v>39721.708333333336</v>
      </c>
      <c r="C214" s="96">
        <f t="shared" si="11"/>
        <v>39721.708333333336</v>
      </c>
      <c r="D214" s="97">
        <v>126</v>
      </c>
      <c r="E214" s="99">
        <f t="shared" si="12"/>
        <v>3.5679231000000002</v>
      </c>
      <c r="F214" s="99">
        <v>29.6</v>
      </c>
      <c r="G214" s="99">
        <v>1.35</v>
      </c>
      <c r="H214" s="98">
        <v>0.06</v>
      </c>
      <c r="I214" s="99">
        <v>110</v>
      </c>
      <c r="J214" s="97">
        <v>188</v>
      </c>
      <c r="K214" s="100">
        <f t="shared" si="13"/>
        <v>105.61052376</v>
      </c>
    </row>
    <row r="215" spans="1:11" ht="12">
      <c r="A215" s="23" t="s">
        <v>1685</v>
      </c>
      <c r="B215" s="8"/>
      <c r="C215" s="138"/>
      <c r="D215" s="1"/>
      <c r="E215" s="21"/>
      <c r="F215" s="135"/>
      <c r="G215" s="9"/>
      <c r="H215" s="12"/>
      <c r="I215" s="9"/>
      <c r="J215" s="2"/>
      <c r="K215" s="2"/>
    </row>
    <row r="216" spans="1:11" ht="13.5">
      <c r="A216" s="157" t="s">
        <v>1791</v>
      </c>
      <c r="B216" s="166">
        <v>39738.711805555555</v>
      </c>
      <c r="C216" s="158">
        <v>39738.711805555555</v>
      </c>
      <c r="D216" s="142">
        <v>127</v>
      </c>
      <c r="E216" s="159">
        <f aca="true" t="shared" si="14" ref="E216:E222">D216*0.02831685</f>
        <v>3.59623995</v>
      </c>
      <c r="F216" s="135">
        <f>3.82*8</f>
        <v>30.56</v>
      </c>
      <c r="G216" s="135">
        <f>0.17*8</f>
        <v>1.36</v>
      </c>
      <c r="H216" s="139" t="s">
        <v>964</v>
      </c>
      <c r="I216" s="135">
        <f>14.2*8</f>
        <v>113.6</v>
      </c>
      <c r="J216" s="17">
        <v>189</v>
      </c>
      <c r="K216" s="160">
        <f aca="true" t="shared" si="15" ref="K216:K242">E216*F216</f>
        <v>109.901092872</v>
      </c>
    </row>
    <row r="217" spans="1:11" ht="13.5">
      <c r="A217" s="161" t="s">
        <v>1792</v>
      </c>
      <c r="B217" s="166">
        <v>39757.427083333336</v>
      </c>
      <c r="C217" s="158">
        <v>39757.427083333336</v>
      </c>
      <c r="D217" s="142">
        <v>120</v>
      </c>
      <c r="E217" s="159">
        <f t="shared" si="14"/>
        <v>3.398022</v>
      </c>
      <c r="F217" s="135">
        <v>33.3</v>
      </c>
      <c r="G217" s="135">
        <v>1.4</v>
      </c>
      <c r="H217" s="139">
        <v>0.07</v>
      </c>
      <c r="I217" s="135">
        <v>121</v>
      </c>
      <c r="J217" s="17">
        <v>194</v>
      </c>
      <c r="K217" s="160">
        <f t="shared" si="15"/>
        <v>113.1541326</v>
      </c>
    </row>
    <row r="218" spans="1:11" ht="13.5">
      <c r="A218" s="161" t="s">
        <v>1793</v>
      </c>
      <c r="B218" s="166">
        <v>39786.520833333336</v>
      </c>
      <c r="C218" s="158">
        <v>39786.520833333336</v>
      </c>
      <c r="D218" s="142">
        <v>93</v>
      </c>
      <c r="E218" s="159">
        <f t="shared" si="14"/>
        <v>2.63346705</v>
      </c>
      <c r="F218" s="135">
        <v>44.5</v>
      </c>
      <c r="G218" s="135">
        <v>1.54</v>
      </c>
      <c r="H218" s="139">
        <v>0.1</v>
      </c>
      <c r="I218" s="135">
        <v>161</v>
      </c>
      <c r="J218" s="17">
        <v>213</v>
      </c>
      <c r="K218" s="160">
        <f t="shared" si="15"/>
        <v>117.18928372500001</v>
      </c>
    </row>
    <row r="219" spans="1:11" ht="13.5">
      <c r="A219" s="24" t="s">
        <v>1794</v>
      </c>
      <c r="B219" s="166">
        <v>39826.635416666664</v>
      </c>
      <c r="C219" s="158">
        <v>39826.635416666664</v>
      </c>
      <c r="D219" s="142">
        <v>99</v>
      </c>
      <c r="E219" s="162">
        <f t="shared" si="14"/>
        <v>2.8033681500000003</v>
      </c>
      <c r="F219" s="135">
        <f>19.6*2</f>
        <v>39.2</v>
      </c>
      <c r="G219" s="135">
        <f>0.76*2</f>
        <v>1.52</v>
      </c>
      <c r="H219" s="139">
        <f>0.04*2</f>
        <v>0.08</v>
      </c>
      <c r="I219" s="135">
        <f>70.9*2</f>
        <v>141.8</v>
      </c>
      <c r="J219" s="163">
        <v>208</v>
      </c>
      <c r="K219" s="164">
        <f>E219*F219</f>
        <v>109.89203148000001</v>
      </c>
    </row>
    <row r="220" spans="1:11" ht="13.5">
      <c r="A220" s="161" t="s">
        <v>1795</v>
      </c>
      <c r="B220" s="166">
        <v>39850.479166666664</v>
      </c>
      <c r="C220" s="158">
        <v>39850.479166666664</v>
      </c>
      <c r="D220" s="142">
        <v>94</v>
      </c>
      <c r="E220" s="159">
        <f t="shared" si="14"/>
        <v>2.6617839</v>
      </c>
      <c r="F220" s="135">
        <v>40.6</v>
      </c>
      <c r="G220" s="135">
        <v>1.54</v>
      </c>
      <c r="H220" s="139">
        <v>0.09</v>
      </c>
      <c r="I220" s="135">
        <v>146</v>
      </c>
      <c r="J220" s="163">
        <v>212</v>
      </c>
      <c r="K220" s="160">
        <f t="shared" si="15"/>
        <v>108.06842634</v>
      </c>
    </row>
    <row r="221" spans="1:11" ht="13.5">
      <c r="A221" s="24" t="s">
        <v>1796</v>
      </c>
      <c r="B221" s="166">
        <v>39875.447916666664</v>
      </c>
      <c r="C221" s="158">
        <f aca="true" t="shared" si="16" ref="C221:C236">B221</f>
        <v>39875.447916666664</v>
      </c>
      <c r="D221" s="142">
        <v>99</v>
      </c>
      <c r="E221" s="159">
        <f t="shared" si="14"/>
        <v>2.8033681500000003</v>
      </c>
      <c r="F221" s="135">
        <v>37.7</v>
      </c>
      <c r="G221" s="135">
        <v>1.44</v>
      </c>
      <c r="H221" s="139">
        <v>0.05</v>
      </c>
      <c r="I221" s="135">
        <v>136</v>
      </c>
      <c r="J221" s="164">
        <v>196.70336979166666</v>
      </c>
      <c r="K221" s="160">
        <f t="shared" si="15"/>
        <v>105.68697925500003</v>
      </c>
    </row>
    <row r="222" spans="1:11" ht="13.5">
      <c r="A222" s="24" t="s">
        <v>1797</v>
      </c>
      <c r="B222" s="166">
        <v>39889.447916666664</v>
      </c>
      <c r="C222" s="158">
        <f t="shared" si="16"/>
        <v>39889.447916666664</v>
      </c>
      <c r="D222" s="142">
        <v>90</v>
      </c>
      <c r="E222" s="159">
        <f t="shared" si="14"/>
        <v>2.5485165000000003</v>
      </c>
      <c r="F222" s="135">
        <v>43.8</v>
      </c>
      <c r="G222" s="135">
        <v>1.54</v>
      </c>
      <c r="H222" s="139">
        <v>0.07</v>
      </c>
      <c r="I222" s="135">
        <v>157</v>
      </c>
      <c r="J222" s="164">
        <v>218.47102864583334</v>
      </c>
      <c r="K222" s="160">
        <f t="shared" si="15"/>
        <v>111.6250227</v>
      </c>
    </row>
    <row r="223" spans="1:11" ht="13.5">
      <c r="A223" s="24" t="s">
        <v>1798</v>
      </c>
      <c r="B223" s="166">
        <v>39904.475694444445</v>
      </c>
      <c r="C223" s="158">
        <f t="shared" si="16"/>
        <v>39904.475694444445</v>
      </c>
      <c r="D223" s="142">
        <v>93</v>
      </c>
      <c r="E223" s="159">
        <f aca="true" t="shared" si="17" ref="E223:E241">D223*0.02831685</f>
        <v>2.63346705</v>
      </c>
      <c r="F223" s="135">
        <v>43.2</v>
      </c>
      <c r="G223" s="135">
        <v>1.53</v>
      </c>
      <c r="H223" s="139">
        <v>0.1</v>
      </c>
      <c r="I223" s="135">
        <v>155</v>
      </c>
      <c r="J223" s="164">
        <v>165.56131770833335</v>
      </c>
      <c r="K223" s="160">
        <f t="shared" si="15"/>
        <v>113.76577656000002</v>
      </c>
    </row>
    <row r="224" spans="1:11" ht="13.5">
      <c r="A224" s="24" t="s">
        <v>1799</v>
      </c>
      <c r="B224" s="166">
        <v>39917.447916666664</v>
      </c>
      <c r="C224" s="158">
        <f t="shared" si="16"/>
        <v>39917.447916666664</v>
      </c>
      <c r="D224" s="142">
        <v>107</v>
      </c>
      <c r="E224" s="159">
        <f t="shared" si="17"/>
        <v>3.0299029500000003</v>
      </c>
      <c r="F224" s="135">
        <v>37.6</v>
      </c>
      <c r="G224" s="135">
        <v>1.47</v>
      </c>
      <c r="H224" s="139">
        <v>0.07</v>
      </c>
      <c r="I224" s="135">
        <v>135</v>
      </c>
      <c r="J224" s="164">
        <v>201.62889843749997</v>
      </c>
      <c r="K224" s="160">
        <f t="shared" si="15"/>
        <v>113.92435092000002</v>
      </c>
    </row>
    <row r="225" spans="1:11" ht="13.5">
      <c r="A225" s="24" t="s">
        <v>1800</v>
      </c>
      <c r="B225" s="166">
        <v>39932.427083333336</v>
      </c>
      <c r="C225" s="158">
        <f t="shared" si="16"/>
        <v>39932.427083333336</v>
      </c>
      <c r="D225" s="142">
        <v>143</v>
      </c>
      <c r="E225" s="159">
        <f t="shared" si="17"/>
        <v>4.04930955</v>
      </c>
      <c r="F225" s="135">
        <f>14.6*2</f>
        <v>29.2</v>
      </c>
      <c r="G225" s="135">
        <f>0.63*2</f>
        <v>1.26</v>
      </c>
      <c r="H225" s="139">
        <f>0.02*2</f>
        <v>0.04</v>
      </c>
      <c r="I225" s="135">
        <f>55*2</f>
        <v>110</v>
      </c>
      <c r="J225" s="164">
        <v>183.67455208333334</v>
      </c>
      <c r="K225" s="160">
        <f t="shared" si="15"/>
        <v>118.23983886</v>
      </c>
    </row>
    <row r="226" spans="1:11" ht="13.5">
      <c r="A226" s="24" t="s">
        <v>1801</v>
      </c>
      <c r="B226" s="166">
        <v>39939.458333333336</v>
      </c>
      <c r="C226" s="158">
        <f t="shared" si="16"/>
        <v>39939.458333333336</v>
      </c>
      <c r="D226" s="142">
        <v>219</v>
      </c>
      <c r="E226" s="159">
        <f t="shared" si="17"/>
        <v>6.20139015</v>
      </c>
      <c r="F226" s="135">
        <v>20.4</v>
      </c>
      <c r="G226" s="135">
        <v>1.02</v>
      </c>
      <c r="H226" s="139">
        <v>0.02</v>
      </c>
      <c r="I226" s="135">
        <v>75.7</v>
      </c>
      <c r="J226" s="164">
        <v>146.01809114583335</v>
      </c>
      <c r="K226" s="160">
        <f t="shared" si="15"/>
        <v>126.50835905999999</v>
      </c>
    </row>
    <row r="227" spans="1:11" ht="13.5">
      <c r="A227" s="24" t="s">
        <v>1802</v>
      </c>
      <c r="B227" s="166">
        <v>39946.458333333336</v>
      </c>
      <c r="C227" s="158">
        <f t="shared" si="16"/>
        <v>39946.458333333336</v>
      </c>
      <c r="D227" s="142">
        <v>264</v>
      </c>
      <c r="E227" s="159">
        <f t="shared" si="17"/>
        <v>7.4756484</v>
      </c>
      <c r="F227" s="135">
        <v>17.4</v>
      </c>
      <c r="G227" s="135">
        <v>0.93</v>
      </c>
      <c r="H227" s="139">
        <v>0.02</v>
      </c>
      <c r="I227" s="135">
        <v>65.9</v>
      </c>
      <c r="J227" s="164">
        <v>140.29812239583333</v>
      </c>
      <c r="K227" s="160">
        <f t="shared" si="15"/>
        <v>130.07628215999998</v>
      </c>
    </row>
    <row r="228" spans="1:11" ht="13.5">
      <c r="A228" s="24" t="s">
        <v>1803</v>
      </c>
      <c r="B228" s="166">
        <v>39953.510416666664</v>
      </c>
      <c r="C228" s="158">
        <f t="shared" si="16"/>
        <v>39953.510416666664</v>
      </c>
      <c r="D228" s="142">
        <v>1230</v>
      </c>
      <c r="E228" s="159">
        <f t="shared" si="17"/>
        <v>34.8297255</v>
      </c>
      <c r="F228" s="135">
        <v>4.22</v>
      </c>
      <c r="G228" s="135">
        <v>0.46</v>
      </c>
      <c r="H228" s="139" t="s">
        <v>964</v>
      </c>
      <c r="I228" s="135">
        <v>17.3</v>
      </c>
      <c r="J228" s="164">
        <v>73.406265625</v>
      </c>
      <c r="K228" s="160">
        <f t="shared" si="15"/>
        <v>146.98144161</v>
      </c>
    </row>
    <row r="229" spans="1:11" ht="13.5">
      <c r="A229" s="24" t="s">
        <v>1804</v>
      </c>
      <c r="B229" s="166">
        <v>39960.458333333336</v>
      </c>
      <c r="C229" s="158">
        <f t="shared" si="16"/>
        <v>39960.458333333336</v>
      </c>
      <c r="D229" s="165">
        <v>1030</v>
      </c>
      <c r="E229" s="159">
        <f t="shared" si="17"/>
        <v>29.1663555</v>
      </c>
      <c r="F229" s="135">
        <v>4.97</v>
      </c>
      <c r="G229" s="135">
        <v>0.44</v>
      </c>
      <c r="H229" s="139" t="s">
        <v>964</v>
      </c>
      <c r="I229" s="135">
        <v>19.3</v>
      </c>
      <c r="J229" s="164">
        <v>77.6962421875</v>
      </c>
      <c r="K229" s="160">
        <f t="shared" si="15"/>
        <v>144.956786835</v>
      </c>
    </row>
    <row r="230" spans="1:11" ht="13.5">
      <c r="A230" s="24" t="s">
        <v>1805</v>
      </c>
      <c r="B230" s="166">
        <v>39966.479166666664</v>
      </c>
      <c r="C230" s="158">
        <f t="shared" si="16"/>
        <v>39966.479166666664</v>
      </c>
      <c r="D230" s="165">
        <v>1030</v>
      </c>
      <c r="E230" s="159">
        <f t="shared" si="17"/>
        <v>29.1663555</v>
      </c>
      <c r="F230" s="135">
        <v>4.59</v>
      </c>
      <c r="G230" s="135">
        <v>0.46</v>
      </c>
      <c r="H230" s="139" t="s">
        <v>964</v>
      </c>
      <c r="I230" s="135">
        <v>18.1</v>
      </c>
      <c r="J230" s="164">
        <v>82.46288281250001</v>
      </c>
      <c r="K230" s="160">
        <f t="shared" si="15"/>
        <v>133.873571745</v>
      </c>
    </row>
    <row r="231" spans="1:11" ht="13.5">
      <c r="A231" s="24" t="s">
        <v>1806</v>
      </c>
      <c r="B231" s="166">
        <v>39973.489583333336</v>
      </c>
      <c r="C231" s="158">
        <f t="shared" si="16"/>
        <v>39973.489583333336</v>
      </c>
      <c r="D231" s="165">
        <v>678</v>
      </c>
      <c r="E231" s="159">
        <f t="shared" si="17"/>
        <v>19.198824300000002</v>
      </c>
      <c r="F231" s="135">
        <v>6.65</v>
      </c>
      <c r="G231" s="135">
        <v>0.59</v>
      </c>
      <c r="H231" s="139" t="s">
        <v>964</v>
      </c>
      <c r="I231" s="135">
        <v>25.9</v>
      </c>
      <c r="J231" s="164">
        <v>97.7161328125</v>
      </c>
      <c r="K231" s="160">
        <f t="shared" si="15"/>
        <v>127.67218159500001</v>
      </c>
    </row>
    <row r="232" spans="1:11" ht="13.5">
      <c r="A232" s="24" t="s">
        <v>1807</v>
      </c>
      <c r="B232" s="166">
        <v>39980.506944444445</v>
      </c>
      <c r="C232" s="158">
        <f t="shared" si="16"/>
        <v>39980.506944444445</v>
      </c>
      <c r="D232" s="165">
        <v>668</v>
      </c>
      <c r="E232" s="159">
        <f t="shared" si="17"/>
        <v>18.9156558</v>
      </c>
      <c r="F232" s="135">
        <v>6.56</v>
      </c>
      <c r="G232" s="135">
        <v>0.54</v>
      </c>
      <c r="H232" s="139" t="s">
        <v>964</v>
      </c>
      <c r="I232" s="135">
        <v>25.6</v>
      </c>
      <c r="J232" s="164">
        <v>95.3328125</v>
      </c>
      <c r="K232" s="160">
        <f t="shared" si="15"/>
        <v>124.08670204799999</v>
      </c>
    </row>
    <row r="233" spans="1:11" ht="13.5">
      <c r="A233" s="24" t="s">
        <v>1808</v>
      </c>
      <c r="B233" s="166">
        <v>39987.5</v>
      </c>
      <c r="C233" s="158">
        <f t="shared" si="16"/>
        <v>39987.5</v>
      </c>
      <c r="D233" s="165">
        <v>633</v>
      </c>
      <c r="E233" s="159">
        <f t="shared" si="17"/>
        <v>17.92456605</v>
      </c>
      <c r="F233" s="135">
        <v>6.83</v>
      </c>
      <c r="G233" s="135">
        <v>0.53</v>
      </c>
      <c r="H233" s="139" t="s">
        <v>964</v>
      </c>
      <c r="I233" s="135">
        <v>26.8</v>
      </c>
      <c r="J233" s="164">
        <v>96.92169270833332</v>
      </c>
      <c r="K233" s="160">
        <f t="shared" si="15"/>
        <v>122.42478612149999</v>
      </c>
    </row>
    <row r="234" spans="1:11" ht="13.5">
      <c r="A234" s="24" t="s">
        <v>1809</v>
      </c>
      <c r="B234" s="166">
        <v>39994.447916666664</v>
      </c>
      <c r="C234" s="158">
        <f t="shared" si="16"/>
        <v>39994.447916666664</v>
      </c>
      <c r="D234" s="165">
        <v>492</v>
      </c>
      <c r="E234" s="159">
        <f t="shared" si="17"/>
        <v>13.9318902</v>
      </c>
      <c r="F234" s="135">
        <v>8.4</v>
      </c>
      <c r="G234" s="135">
        <v>0.57</v>
      </c>
      <c r="H234" s="139" t="s">
        <v>964</v>
      </c>
      <c r="I234" s="135">
        <v>32.8</v>
      </c>
      <c r="J234" s="164">
        <v>105.66053385416667</v>
      </c>
      <c r="K234" s="160">
        <f t="shared" si="15"/>
        <v>117.02787768</v>
      </c>
    </row>
    <row r="235" spans="1:11" ht="13.5">
      <c r="A235" s="24" t="s">
        <v>1810</v>
      </c>
      <c r="B235" s="166">
        <v>40001.5</v>
      </c>
      <c r="C235" s="158">
        <f t="shared" si="16"/>
        <v>40001.5</v>
      </c>
      <c r="D235" s="165">
        <v>352</v>
      </c>
      <c r="E235" s="159">
        <f t="shared" si="17"/>
        <v>9.9675312</v>
      </c>
      <c r="F235" s="135">
        <v>11.3</v>
      </c>
      <c r="G235" s="135">
        <v>0.7</v>
      </c>
      <c r="H235" s="139">
        <v>0.01</v>
      </c>
      <c r="I235" s="135">
        <v>43.4</v>
      </c>
      <c r="J235" s="164">
        <v>122.02600000000002</v>
      </c>
      <c r="K235" s="160">
        <f t="shared" si="15"/>
        <v>112.63310256000001</v>
      </c>
    </row>
    <row r="236" spans="1:11" ht="13.5">
      <c r="A236" s="24" t="s">
        <v>1811</v>
      </c>
      <c r="B236" s="166">
        <v>40008.5</v>
      </c>
      <c r="C236" s="158">
        <f t="shared" si="16"/>
        <v>40008.5</v>
      </c>
      <c r="D236" s="165">
        <v>277</v>
      </c>
      <c r="E236" s="159">
        <f t="shared" si="17"/>
        <v>7.8437674500000005</v>
      </c>
      <c r="F236" s="135">
        <v>14.1</v>
      </c>
      <c r="G236" s="135">
        <v>0.81</v>
      </c>
      <c r="H236" s="139">
        <v>0.02</v>
      </c>
      <c r="I236" s="135">
        <v>53.2</v>
      </c>
      <c r="J236" s="164">
        <v>133.62482552083335</v>
      </c>
      <c r="K236" s="160">
        <f t="shared" si="15"/>
        <v>110.59712104500001</v>
      </c>
    </row>
    <row r="237" spans="1:11" ht="13.5">
      <c r="A237" s="161" t="s">
        <v>1812</v>
      </c>
      <c r="B237" s="166">
        <v>40015.510416666664</v>
      </c>
      <c r="C237" s="158">
        <v>40015.510416666664</v>
      </c>
      <c r="D237" s="142">
        <v>217</v>
      </c>
      <c r="E237" s="159">
        <f t="shared" si="17"/>
        <v>6.14475645</v>
      </c>
      <c r="F237" s="135">
        <v>16.7</v>
      </c>
      <c r="G237" s="135">
        <v>0.94</v>
      </c>
      <c r="H237" s="139">
        <v>0.03</v>
      </c>
      <c r="I237" s="135">
        <v>64</v>
      </c>
      <c r="J237" s="164">
        <v>149.99029166666665</v>
      </c>
      <c r="K237" s="160">
        <f t="shared" si="15"/>
        <v>102.61743271499999</v>
      </c>
    </row>
    <row r="238" spans="1:11" ht="13.5">
      <c r="A238" s="161" t="s">
        <v>1813</v>
      </c>
      <c r="B238" s="166">
        <v>40022.520833333336</v>
      </c>
      <c r="C238" s="158">
        <v>40022.520833333336</v>
      </c>
      <c r="D238" s="142">
        <v>207</v>
      </c>
      <c r="E238" s="159">
        <f t="shared" si="17"/>
        <v>5.8615879500000005</v>
      </c>
      <c r="F238" s="135">
        <v>17.8</v>
      </c>
      <c r="G238" s="135">
        <v>0.97</v>
      </c>
      <c r="H238" s="139">
        <v>0.03</v>
      </c>
      <c r="I238" s="135">
        <v>67.6</v>
      </c>
      <c r="J238" s="164">
        <v>157.93469270833336</v>
      </c>
      <c r="K238" s="160">
        <f t="shared" si="15"/>
        <v>104.33626551000002</v>
      </c>
    </row>
    <row r="239" spans="1:11" ht="13.5">
      <c r="A239" s="161" t="s">
        <v>1814</v>
      </c>
      <c r="B239" s="166">
        <v>40029.479166666664</v>
      </c>
      <c r="C239" s="158">
        <v>40029.479166666664</v>
      </c>
      <c r="D239" s="142">
        <v>172</v>
      </c>
      <c r="E239" s="159">
        <f t="shared" si="17"/>
        <v>4.8704982</v>
      </c>
      <c r="F239" s="135">
        <v>21</v>
      </c>
      <c r="G239" s="135">
        <v>1.09</v>
      </c>
      <c r="H239" s="139">
        <v>0.05</v>
      </c>
      <c r="I239" s="135">
        <v>79.2</v>
      </c>
      <c r="J239" s="164">
        <v>167.94463802083334</v>
      </c>
      <c r="K239" s="160">
        <f t="shared" si="15"/>
        <v>102.2804622</v>
      </c>
    </row>
    <row r="240" spans="1:11" ht="13.5">
      <c r="A240" s="161" t="s">
        <v>1815</v>
      </c>
      <c r="B240" s="166">
        <v>40043.458333333336</v>
      </c>
      <c r="C240" s="158">
        <v>40043.458333333336</v>
      </c>
      <c r="D240" s="142">
        <v>149</v>
      </c>
      <c r="E240" s="159">
        <f t="shared" si="17"/>
        <v>4.21921065</v>
      </c>
      <c r="F240" s="135">
        <v>24.1</v>
      </c>
      <c r="G240" s="135">
        <v>1.2</v>
      </c>
      <c r="H240" s="139">
        <v>0.05</v>
      </c>
      <c r="I240" s="135">
        <v>89.7</v>
      </c>
      <c r="J240" s="164">
        <v>180.179015625</v>
      </c>
      <c r="K240" s="160">
        <f t="shared" si="15"/>
        <v>101.682976665</v>
      </c>
    </row>
    <row r="241" spans="1:11" ht="13.5">
      <c r="A241" s="161" t="s">
        <v>1816</v>
      </c>
      <c r="B241" s="166">
        <v>40057.47222222222</v>
      </c>
      <c r="C241" s="158">
        <v>40057.47222222222</v>
      </c>
      <c r="D241" s="142">
        <v>142</v>
      </c>
      <c r="E241" s="159">
        <f t="shared" si="17"/>
        <v>4.0209927</v>
      </c>
      <c r="F241" s="135">
        <v>25.8</v>
      </c>
      <c r="G241" s="135">
        <v>1.24</v>
      </c>
      <c r="H241" s="139">
        <v>0.05</v>
      </c>
      <c r="I241" s="135">
        <v>96.5</v>
      </c>
      <c r="J241" s="164">
        <v>186.3756484375</v>
      </c>
      <c r="K241" s="160">
        <f t="shared" si="15"/>
        <v>103.74161166</v>
      </c>
    </row>
    <row r="242" spans="1:11" ht="13.5">
      <c r="A242" s="161" t="s">
        <v>1817</v>
      </c>
      <c r="B242" s="166">
        <v>40074.46527777778</v>
      </c>
      <c r="C242" s="158">
        <v>40074.46527777778</v>
      </c>
      <c r="D242" s="142">
        <v>123</v>
      </c>
      <c r="E242" s="159">
        <f>D242*0.02831685</f>
        <v>3.48297255</v>
      </c>
      <c r="F242" s="135">
        <v>29.2</v>
      </c>
      <c r="G242" s="135">
        <v>1.34</v>
      </c>
      <c r="H242" s="139">
        <v>0.06</v>
      </c>
      <c r="I242" s="135">
        <v>109</v>
      </c>
      <c r="J242" s="164">
        <v>190.34784895833332</v>
      </c>
      <c r="K242" s="160">
        <f t="shared" si="15"/>
        <v>101.70279846</v>
      </c>
    </row>
    <row r="243" spans="1:11" ht="12">
      <c r="A243" s="36" t="s">
        <v>1713</v>
      </c>
      <c r="B243" s="166"/>
      <c r="C243" s="158"/>
      <c r="D243" s="17"/>
      <c r="E243" s="159"/>
      <c r="F243" s="135"/>
      <c r="G243" s="135"/>
      <c r="H243" s="139"/>
      <c r="I243" s="135"/>
      <c r="J243" s="167"/>
      <c r="K243" s="167"/>
    </row>
    <row r="244" spans="1:11" ht="13.5">
      <c r="A244" s="161" t="s">
        <v>1818</v>
      </c>
      <c r="B244" s="166">
        <v>40087.6875</v>
      </c>
      <c r="C244" s="158">
        <v>40087.6875</v>
      </c>
      <c r="D244" s="142">
        <v>117</v>
      </c>
      <c r="E244" s="159">
        <f aca="true" t="shared" si="18" ref="E244:E270">D244*0.02831685</f>
        <v>3.3130714500000003</v>
      </c>
      <c r="F244" s="135">
        <v>30.6</v>
      </c>
      <c r="G244" s="135">
        <v>1.35</v>
      </c>
      <c r="H244" s="139">
        <v>0.06</v>
      </c>
      <c r="I244" s="135">
        <v>113</v>
      </c>
      <c r="J244" s="164">
        <v>192.25450520833337</v>
      </c>
      <c r="K244" s="160">
        <f aca="true" t="shared" si="19" ref="K244:K249">E244*F244</f>
        <v>101.37998637000001</v>
      </c>
    </row>
    <row r="245" spans="1:11" ht="13.5">
      <c r="A245" s="24" t="s">
        <v>1819</v>
      </c>
      <c r="B245" s="166">
        <v>40101.489583333336</v>
      </c>
      <c r="C245" s="158">
        <v>40101.489583333336</v>
      </c>
      <c r="D245" s="142">
        <v>135</v>
      </c>
      <c r="E245" s="159">
        <f t="shared" si="18"/>
        <v>3.82277475</v>
      </c>
      <c r="F245" s="135">
        <f>13.6*2</f>
        <v>27.2</v>
      </c>
      <c r="G245" s="135">
        <f>0.62*2</f>
        <v>1.24</v>
      </c>
      <c r="H245" s="139">
        <f>0.02*2</f>
        <v>0.04</v>
      </c>
      <c r="I245" s="135">
        <f>50.7*2</f>
        <v>101.4</v>
      </c>
      <c r="J245" s="2">
        <v>181.29123177083332</v>
      </c>
      <c r="K245" s="160">
        <f t="shared" si="19"/>
        <v>103.9794732</v>
      </c>
    </row>
    <row r="246" spans="1:11" ht="13.5">
      <c r="A246" s="24" t="s">
        <v>1820</v>
      </c>
      <c r="B246" s="166">
        <v>40126.479166666664</v>
      </c>
      <c r="C246" s="158">
        <v>40126.479166666664</v>
      </c>
      <c r="D246" s="142">
        <v>109</v>
      </c>
      <c r="E246" s="159">
        <f t="shared" si="18"/>
        <v>3.08653665</v>
      </c>
      <c r="F246" s="135">
        <v>48.9</v>
      </c>
      <c r="G246" s="135">
        <v>1.53</v>
      </c>
      <c r="H246" s="139">
        <v>0.08</v>
      </c>
      <c r="I246" s="135">
        <v>179</v>
      </c>
      <c r="J246" s="2">
        <v>156.3458125</v>
      </c>
      <c r="K246" s="160">
        <f t="shared" si="19"/>
        <v>150.93164218500002</v>
      </c>
    </row>
    <row r="247" spans="1:11" ht="13.5">
      <c r="A247" s="24" t="s">
        <v>1821</v>
      </c>
      <c r="B247" s="166">
        <v>40155.489583333336</v>
      </c>
      <c r="C247" s="158">
        <v>40155.489583333336</v>
      </c>
      <c r="D247" s="142">
        <v>88</v>
      </c>
      <c r="E247" s="162">
        <f t="shared" si="18"/>
        <v>2.4918828</v>
      </c>
      <c r="F247" s="135">
        <v>44.1</v>
      </c>
      <c r="G247" s="135">
        <v>1.59</v>
      </c>
      <c r="H247" s="139">
        <v>0.07</v>
      </c>
      <c r="I247" s="135">
        <v>161</v>
      </c>
      <c r="J247" s="2">
        <v>209.8910755208333</v>
      </c>
      <c r="K247" s="164">
        <f t="shared" si="19"/>
        <v>109.89203148</v>
      </c>
    </row>
    <row r="248" spans="1:11" ht="13.5">
      <c r="A248" s="24" t="s">
        <v>1822</v>
      </c>
      <c r="B248" s="166">
        <v>40207.458333333336</v>
      </c>
      <c r="C248" s="158">
        <v>40207.458333333336</v>
      </c>
      <c r="D248" s="142">
        <v>97</v>
      </c>
      <c r="E248" s="162">
        <f t="shared" si="18"/>
        <v>2.74673445</v>
      </c>
      <c r="F248" s="135">
        <v>45.3</v>
      </c>
      <c r="G248" s="135">
        <v>1.57</v>
      </c>
      <c r="H248" s="139">
        <v>0.1</v>
      </c>
      <c r="I248" s="135">
        <v>163</v>
      </c>
      <c r="J248" s="2">
        <v>199.24557812499998</v>
      </c>
      <c r="K248" s="164">
        <f t="shared" si="19"/>
        <v>124.427070585</v>
      </c>
    </row>
    <row r="249" spans="1:11" ht="13.5">
      <c r="A249" s="24" t="s">
        <v>1823</v>
      </c>
      <c r="B249" s="166">
        <v>40234.479166666664</v>
      </c>
      <c r="C249" s="158">
        <v>40234.479166666664</v>
      </c>
      <c r="D249" s="142">
        <v>92</v>
      </c>
      <c r="E249" s="162">
        <f t="shared" si="18"/>
        <v>2.6051502</v>
      </c>
      <c r="F249" s="135">
        <v>41.9</v>
      </c>
      <c r="G249" s="135">
        <v>1.55</v>
      </c>
      <c r="H249" s="139">
        <v>0.06</v>
      </c>
      <c r="I249" s="135">
        <v>154</v>
      </c>
      <c r="J249" s="2">
        <v>206.3955390625</v>
      </c>
      <c r="K249" s="164">
        <f t="shared" si="19"/>
        <v>109.15579338</v>
      </c>
    </row>
    <row r="250" spans="1:11" ht="13.5">
      <c r="A250" s="24" t="s">
        <v>1824</v>
      </c>
      <c r="B250" s="166">
        <v>40262.53125</v>
      </c>
      <c r="C250" s="158">
        <v>40262.53125</v>
      </c>
      <c r="D250" s="142">
        <v>87</v>
      </c>
      <c r="E250" s="159">
        <f t="shared" si="18"/>
        <v>2.46356595</v>
      </c>
      <c r="F250" s="135">
        <f>23.4*2</f>
        <v>46.8</v>
      </c>
      <c r="G250" s="135">
        <f>0.8*2</f>
        <v>1.6</v>
      </c>
      <c r="H250" s="139">
        <f>0.05*2</f>
        <v>0.1</v>
      </c>
      <c r="I250" s="135">
        <f>85.4*2</f>
        <v>170.8</v>
      </c>
      <c r="J250" s="2">
        <v>182.085671875</v>
      </c>
      <c r="K250" s="160">
        <f>E250*F250</f>
        <v>115.29488645999999</v>
      </c>
    </row>
    <row r="251" spans="1:11" ht="13.5">
      <c r="A251" s="24" t="s">
        <v>1825</v>
      </c>
      <c r="B251" s="166">
        <v>40276.48263888889</v>
      </c>
      <c r="C251" s="158">
        <v>40276.48263888889</v>
      </c>
      <c r="D251" s="142">
        <v>87</v>
      </c>
      <c r="E251" s="159">
        <f t="shared" si="18"/>
        <v>2.46356595</v>
      </c>
      <c r="F251" s="135">
        <f>22.2*2</f>
        <v>44.4</v>
      </c>
      <c r="G251" s="135">
        <f>0.81*2</f>
        <v>1.62</v>
      </c>
      <c r="H251" s="139">
        <f>0.05*2</f>
        <v>0.1</v>
      </c>
      <c r="I251" s="135">
        <f>79.6*2</f>
        <v>159.2</v>
      </c>
      <c r="J251" s="2">
        <v>216.08770833333338</v>
      </c>
      <c r="K251" s="164">
        <f aca="true" t="shared" si="20" ref="K251:K270">E251*F251</f>
        <v>109.38232818</v>
      </c>
    </row>
    <row r="252" spans="1:11" ht="13.5">
      <c r="A252" s="24" t="s">
        <v>1826</v>
      </c>
      <c r="B252" s="166">
        <v>40295.5</v>
      </c>
      <c r="C252" s="158">
        <v>40295.5</v>
      </c>
      <c r="D252" s="142">
        <v>157</v>
      </c>
      <c r="E252" s="159">
        <f t="shared" si="18"/>
        <v>4.44574545</v>
      </c>
      <c r="F252" s="135">
        <v>26.9</v>
      </c>
      <c r="G252" s="135">
        <v>1.17</v>
      </c>
      <c r="H252" s="139">
        <v>0.03</v>
      </c>
      <c r="I252" s="135">
        <v>98.3</v>
      </c>
      <c r="J252" s="2">
        <v>179.2256875</v>
      </c>
      <c r="K252" s="160">
        <f t="shared" si="20"/>
        <v>119.590552605</v>
      </c>
    </row>
    <row r="253" spans="1:11" ht="13.5">
      <c r="A253" s="161" t="s">
        <v>1827</v>
      </c>
      <c r="B253" s="166">
        <v>40305.48263888889</v>
      </c>
      <c r="C253" s="158">
        <v>40305.48263888889</v>
      </c>
      <c r="D253" s="142">
        <v>118</v>
      </c>
      <c r="E253" s="159">
        <f t="shared" si="18"/>
        <v>3.3413883</v>
      </c>
      <c r="F253" s="162">
        <v>37.6</v>
      </c>
      <c r="G253" s="162">
        <v>1.42</v>
      </c>
      <c r="H253" s="168">
        <v>0.08</v>
      </c>
      <c r="I253" s="162">
        <v>137</v>
      </c>
      <c r="J253" s="164">
        <v>214.9754921875</v>
      </c>
      <c r="K253" s="160">
        <f t="shared" si="20"/>
        <v>125.63620008000001</v>
      </c>
    </row>
    <row r="254" spans="1:11" ht="13.5">
      <c r="A254" s="161" t="s">
        <v>1828</v>
      </c>
      <c r="B254" s="166">
        <v>40316.489583333336</v>
      </c>
      <c r="C254" s="158">
        <v>40316.489583333336</v>
      </c>
      <c r="D254" s="142">
        <v>313</v>
      </c>
      <c r="E254" s="159">
        <f t="shared" si="18"/>
        <v>8.86317405</v>
      </c>
      <c r="F254" s="162">
        <v>13.8</v>
      </c>
      <c r="G254" s="162">
        <v>0.78</v>
      </c>
      <c r="H254" s="168" t="s">
        <v>964</v>
      </c>
      <c r="I254" s="162">
        <v>51</v>
      </c>
      <c r="J254" s="164">
        <v>125.52153645833332</v>
      </c>
      <c r="K254" s="160">
        <f t="shared" si="20"/>
        <v>122.31180189</v>
      </c>
    </row>
    <row r="255" spans="1:11" ht="13.5">
      <c r="A255" s="161" t="s">
        <v>1829</v>
      </c>
      <c r="B255" s="166">
        <v>40323.541666666664</v>
      </c>
      <c r="C255" s="158">
        <v>40323.541666666664</v>
      </c>
      <c r="D255" s="142">
        <v>262</v>
      </c>
      <c r="E255" s="159">
        <f t="shared" si="18"/>
        <v>7.4190147</v>
      </c>
      <c r="F255" s="162">
        <v>15.8</v>
      </c>
      <c r="G255" s="162">
        <v>0.88</v>
      </c>
      <c r="H255" s="168">
        <v>0.02</v>
      </c>
      <c r="I255" s="162">
        <v>58.7</v>
      </c>
      <c r="J255" s="164">
        <v>137.43813802083332</v>
      </c>
      <c r="K255" s="160">
        <f t="shared" si="20"/>
        <v>117.22043226000001</v>
      </c>
    </row>
    <row r="256" spans="1:11" ht="13.5">
      <c r="A256" s="161" t="s">
        <v>1830</v>
      </c>
      <c r="B256" s="166">
        <v>40332.666666666664</v>
      </c>
      <c r="C256" s="158">
        <v>40332.666666666664</v>
      </c>
      <c r="D256" s="142">
        <v>677</v>
      </c>
      <c r="E256" s="159">
        <f t="shared" si="18"/>
        <v>19.170507450000002</v>
      </c>
      <c r="F256" s="162">
        <v>5.65</v>
      </c>
      <c r="G256" s="162">
        <v>0.45</v>
      </c>
      <c r="H256" s="168" t="s">
        <v>964</v>
      </c>
      <c r="I256" s="162">
        <v>22.6</v>
      </c>
      <c r="J256" s="164">
        <v>93.26726822916667</v>
      </c>
      <c r="K256" s="160">
        <f t="shared" si="20"/>
        <v>108.31336709250002</v>
      </c>
    </row>
    <row r="257" spans="1:11" ht="13.5">
      <c r="A257" s="161" t="s">
        <v>1831</v>
      </c>
      <c r="B257" s="166">
        <v>40338.5</v>
      </c>
      <c r="C257" s="158">
        <v>40338.5</v>
      </c>
      <c r="D257" s="142">
        <v>874</v>
      </c>
      <c r="E257" s="159">
        <f t="shared" si="18"/>
        <v>24.7489269</v>
      </c>
      <c r="F257" s="162">
        <v>5.03</v>
      </c>
      <c r="G257" s="162">
        <v>0.47</v>
      </c>
      <c r="H257" s="168" t="s">
        <v>964</v>
      </c>
      <c r="I257" s="162">
        <v>20.1</v>
      </c>
      <c r="J257" s="164">
        <v>86.27619531250001</v>
      </c>
      <c r="K257" s="160">
        <f t="shared" si="20"/>
        <v>124.48710230700001</v>
      </c>
    </row>
    <row r="258" spans="1:11" ht="13.5">
      <c r="A258" s="161" t="s">
        <v>1832</v>
      </c>
      <c r="B258" s="166">
        <v>40343.510416666664</v>
      </c>
      <c r="C258" s="158">
        <v>40343.510416666664</v>
      </c>
      <c r="D258" s="142">
        <v>549</v>
      </c>
      <c r="E258" s="159">
        <f t="shared" si="18"/>
        <v>15.54595065</v>
      </c>
      <c r="F258" s="162">
        <v>7.56</v>
      </c>
      <c r="G258" s="162">
        <v>0.57</v>
      </c>
      <c r="H258" s="168">
        <v>0.01</v>
      </c>
      <c r="I258" s="162">
        <v>29.2</v>
      </c>
      <c r="J258" s="164">
        <v>98.82834895833335</v>
      </c>
      <c r="K258" s="160">
        <f t="shared" si="20"/>
        <v>117.52738691399999</v>
      </c>
    </row>
    <row r="259" spans="1:11" ht="13.5">
      <c r="A259" s="161" t="s">
        <v>1833</v>
      </c>
      <c r="B259" s="166">
        <v>40354.802083333336</v>
      </c>
      <c r="C259" s="158">
        <v>40354.802083333336</v>
      </c>
      <c r="D259" s="142">
        <v>410</v>
      </c>
      <c r="E259" s="159">
        <f t="shared" si="18"/>
        <v>11.609908500000001</v>
      </c>
      <c r="F259" s="162">
        <v>10.1</v>
      </c>
      <c r="G259" s="162">
        <v>0.64</v>
      </c>
      <c r="H259" s="168">
        <v>0.02</v>
      </c>
      <c r="I259" s="162">
        <v>38.8</v>
      </c>
      <c r="J259" s="164">
        <v>111.22161458333333</v>
      </c>
      <c r="K259" s="160">
        <f t="shared" si="20"/>
        <v>117.26007585</v>
      </c>
    </row>
    <row r="260" spans="1:11" ht="13.5">
      <c r="A260" s="161" t="s">
        <v>1834</v>
      </c>
      <c r="B260" s="166">
        <v>40361.46875</v>
      </c>
      <c r="C260" s="158">
        <v>40361.46875</v>
      </c>
      <c r="D260" s="142">
        <v>357</v>
      </c>
      <c r="E260" s="159">
        <f t="shared" si="18"/>
        <v>10.109115450000001</v>
      </c>
      <c r="F260" s="162">
        <v>11</v>
      </c>
      <c r="G260" s="162">
        <v>0.65</v>
      </c>
      <c r="H260" s="168">
        <v>0.02</v>
      </c>
      <c r="I260" s="162">
        <v>42.3</v>
      </c>
      <c r="J260" s="164">
        <v>119.00712760416666</v>
      </c>
      <c r="K260" s="160">
        <f t="shared" si="20"/>
        <v>111.20026995</v>
      </c>
    </row>
    <row r="261" spans="1:11" ht="13.5">
      <c r="A261" s="161" t="s">
        <v>1835</v>
      </c>
      <c r="B261" s="166">
        <v>40366.46875</v>
      </c>
      <c r="C261" s="158">
        <v>40366.46875</v>
      </c>
      <c r="D261" s="142">
        <v>275</v>
      </c>
      <c r="E261" s="159">
        <f t="shared" si="18"/>
        <v>7.787133750000001</v>
      </c>
      <c r="F261" s="162">
        <v>14.5</v>
      </c>
      <c r="G261" s="162">
        <v>0.81</v>
      </c>
      <c r="H261" s="168">
        <v>0.03</v>
      </c>
      <c r="I261" s="162">
        <v>55.3</v>
      </c>
      <c r="J261" s="164">
        <v>134.26037760416668</v>
      </c>
      <c r="K261" s="160">
        <f t="shared" si="20"/>
        <v>112.91343937500001</v>
      </c>
    </row>
    <row r="262" spans="1:11" ht="13.5">
      <c r="A262" s="161" t="s">
        <v>1836</v>
      </c>
      <c r="B262" s="166">
        <v>40374.572916666664</v>
      </c>
      <c r="C262" s="158">
        <v>40374.572916666664</v>
      </c>
      <c r="D262" s="142">
        <v>215</v>
      </c>
      <c r="E262" s="159">
        <f t="shared" si="18"/>
        <v>6.08812275</v>
      </c>
      <c r="F262" s="162">
        <v>18.5</v>
      </c>
      <c r="G262" s="162">
        <v>0.96</v>
      </c>
      <c r="H262" s="168">
        <v>0.04</v>
      </c>
      <c r="I262" s="162">
        <v>70.1</v>
      </c>
      <c r="J262" s="167">
        <v>146.33586718749999</v>
      </c>
      <c r="K262" s="160">
        <f t="shared" si="20"/>
        <v>112.63027087500001</v>
      </c>
    </row>
    <row r="263" spans="1:11" ht="13.5">
      <c r="A263" s="161" t="s">
        <v>1837</v>
      </c>
      <c r="B263" s="166">
        <v>40380.625</v>
      </c>
      <c r="C263" s="158">
        <v>40380.625</v>
      </c>
      <c r="D263" s="142">
        <v>191</v>
      </c>
      <c r="E263" s="159">
        <f t="shared" si="18"/>
        <v>5.4085183500000005</v>
      </c>
      <c r="F263" s="162">
        <v>21</v>
      </c>
      <c r="G263" s="162">
        <v>1.06</v>
      </c>
      <c r="H263" s="168">
        <v>0.04</v>
      </c>
      <c r="I263" s="162">
        <v>78.6</v>
      </c>
      <c r="J263" s="167">
        <v>158.25246875</v>
      </c>
      <c r="K263" s="160">
        <f t="shared" si="20"/>
        <v>113.57888535000001</v>
      </c>
    </row>
    <row r="264" spans="1:11" ht="13.5">
      <c r="A264" s="161" t="s">
        <v>1838</v>
      </c>
      <c r="B264" s="166">
        <v>40387.541666666664</v>
      </c>
      <c r="C264" s="158">
        <v>40387.541666666664</v>
      </c>
      <c r="D264" s="142">
        <v>164</v>
      </c>
      <c r="E264" s="159">
        <f t="shared" si="18"/>
        <v>4.6439634000000005</v>
      </c>
      <c r="F264" s="162">
        <v>23.3</v>
      </c>
      <c r="G264" s="162">
        <v>1.13</v>
      </c>
      <c r="H264" s="168">
        <v>0.05</v>
      </c>
      <c r="I264" s="162">
        <v>86.5</v>
      </c>
      <c r="J264" s="167">
        <v>166.19686979166667</v>
      </c>
      <c r="K264" s="160">
        <f t="shared" si="20"/>
        <v>108.20434722000002</v>
      </c>
    </row>
    <row r="265" spans="1:11" ht="13.5">
      <c r="A265" s="161" t="s">
        <v>1839</v>
      </c>
      <c r="B265" s="166">
        <v>40394.46875</v>
      </c>
      <c r="C265" s="158">
        <v>40394.46875</v>
      </c>
      <c r="D265" s="142">
        <v>146</v>
      </c>
      <c r="E265" s="159">
        <f t="shared" si="18"/>
        <v>4.1342601000000005</v>
      </c>
      <c r="F265" s="162">
        <v>25.1</v>
      </c>
      <c r="G265" s="162">
        <v>1.16</v>
      </c>
      <c r="H265" s="168">
        <v>0.06</v>
      </c>
      <c r="I265" s="162">
        <v>93.3</v>
      </c>
      <c r="J265" s="167">
        <v>173.50571875</v>
      </c>
      <c r="K265" s="160">
        <f t="shared" si="20"/>
        <v>103.76992851000001</v>
      </c>
    </row>
    <row r="266" spans="1:11" ht="13.5">
      <c r="A266" s="161" t="s">
        <v>1840</v>
      </c>
      <c r="B266" s="166">
        <v>40403.40625</v>
      </c>
      <c r="C266" s="158">
        <v>40403.40625</v>
      </c>
      <c r="D266" s="142">
        <v>134</v>
      </c>
      <c r="E266" s="159">
        <f t="shared" si="18"/>
        <v>3.7944579000000003</v>
      </c>
      <c r="F266" s="162">
        <v>26.9</v>
      </c>
      <c r="G266" s="162">
        <v>1.25</v>
      </c>
      <c r="H266" s="168">
        <v>0.06</v>
      </c>
      <c r="I266" s="162">
        <v>99.6</v>
      </c>
      <c r="J266" s="167">
        <v>180.81456770833333</v>
      </c>
      <c r="K266" s="160">
        <f t="shared" si="20"/>
        <v>102.07091751</v>
      </c>
    </row>
    <row r="267" spans="1:11" ht="13.5">
      <c r="A267" s="24" t="s">
        <v>1841</v>
      </c>
      <c r="B267" s="166">
        <v>40408.489583333336</v>
      </c>
      <c r="C267" s="158">
        <v>40408.489583333336</v>
      </c>
      <c r="D267" s="142">
        <v>123</v>
      </c>
      <c r="E267" s="159">
        <f t="shared" si="18"/>
        <v>3.48297255</v>
      </c>
      <c r="F267" s="162">
        <v>28.3</v>
      </c>
      <c r="G267" s="162">
        <v>1.29</v>
      </c>
      <c r="H267" s="168">
        <v>0.07</v>
      </c>
      <c r="I267" s="162">
        <v>104</v>
      </c>
      <c r="J267" s="167">
        <v>184.94565624999998</v>
      </c>
      <c r="K267" s="160">
        <f t="shared" si="20"/>
        <v>98.568123165</v>
      </c>
    </row>
    <row r="268" spans="1:11" ht="13.5">
      <c r="A268" s="161" t="s">
        <v>1842</v>
      </c>
      <c r="B268" s="166">
        <v>40415.5</v>
      </c>
      <c r="C268" s="158">
        <v>40415.5</v>
      </c>
      <c r="D268" s="142">
        <v>121</v>
      </c>
      <c r="E268" s="159">
        <f t="shared" si="18"/>
        <v>3.42633885</v>
      </c>
      <c r="F268" s="162">
        <v>29.3</v>
      </c>
      <c r="G268" s="162">
        <v>1.31</v>
      </c>
      <c r="H268" s="168">
        <v>0.07</v>
      </c>
      <c r="I268" s="162">
        <v>108</v>
      </c>
      <c r="J268" s="164">
        <v>189.07674479166667</v>
      </c>
      <c r="K268" s="160">
        <f t="shared" si="20"/>
        <v>100.391728305</v>
      </c>
    </row>
    <row r="269" spans="1:11" ht="13.5">
      <c r="A269" s="161" t="s">
        <v>1843</v>
      </c>
      <c r="B269" s="166">
        <v>40430.510416666664</v>
      </c>
      <c r="C269" s="158">
        <v>40430.510416666664</v>
      </c>
      <c r="D269" s="142">
        <v>119</v>
      </c>
      <c r="E269" s="159">
        <f t="shared" si="18"/>
        <v>3.36970515</v>
      </c>
      <c r="F269" s="162">
        <v>30.5</v>
      </c>
      <c r="G269" s="162">
        <v>1.34</v>
      </c>
      <c r="H269" s="168">
        <v>0.07</v>
      </c>
      <c r="I269" s="162">
        <v>113</v>
      </c>
      <c r="J269" s="164">
        <v>184.31010416666666</v>
      </c>
      <c r="K269" s="160">
        <f t="shared" si="20"/>
        <v>102.77600707500001</v>
      </c>
    </row>
    <row r="270" spans="1:11" ht="13.5">
      <c r="A270" s="161" t="s">
        <v>1844</v>
      </c>
      <c r="B270" s="166">
        <v>40445.47222222222</v>
      </c>
      <c r="C270" s="158">
        <v>40445.47222222222</v>
      </c>
      <c r="D270" s="142">
        <v>108</v>
      </c>
      <c r="E270" s="159">
        <f t="shared" si="18"/>
        <v>3.0582198000000003</v>
      </c>
      <c r="F270" s="162">
        <v>33.4</v>
      </c>
      <c r="G270" s="162">
        <v>1.41</v>
      </c>
      <c r="H270" s="168">
        <v>0.08</v>
      </c>
      <c r="I270" s="162">
        <v>123</v>
      </c>
      <c r="J270" s="164">
        <v>198.1333619791667</v>
      </c>
      <c r="K270" s="160">
        <f t="shared" si="20"/>
        <v>102.14454132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0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421875" style="93" customWidth="1"/>
    <col min="2" max="2" width="19.421875" style="108" customWidth="1"/>
    <col min="3" max="3" width="10.00390625" style="107" customWidth="1"/>
    <col min="4" max="4" width="9.421875" style="86" customWidth="1"/>
    <col min="5" max="5" width="11.421875" style="109" customWidth="1"/>
    <col min="6" max="6" width="9.140625" style="111" customWidth="1"/>
    <col min="7" max="7" width="9.140625" style="110" customWidth="1"/>
    <col min="8" max="8" width="11.421875" style="109" customWidth="1"/>
    <col min="9" max="9" width="9.140625" style="111" customWidth="1"/>
    <col min="10" max="10" width="11.140625" style="86" customWidth="1"/>
    <col min="11" max="11" width="11.421875" style="86" customWidth="1"/>
    <col min="12" max="12" width="12.421875" style="0" customWidth="1"/>
  </cols>
  <sheetData>
    <row r="1" spans="1:10" ht="12.75">
      <c r="A1" s="14" t="s">
        <v>270</v>
      </c>
      <c r="B1" s="95"/>
      <c r="C1" s="96"/>
      <c r="D1" s="97"/>
      <c r="E1" s="98"/>
      <c r="F1" s="100" t="s">
        <v>784</v>
      </c>
      <c r="G1" s="33" t="s">
        <v>784</v>
      </c>
      <c r="H1" s="98"/>
      <c r="I1" s="100"/>
      <c r="J1" s="97"/>
    </row>
    <row r="2" spans="1:21" ht="15.75">
      <c r="A2" s="14" t="s">
        <v>524</v>
      </c>
      <c r="B2" s="84" t="s">
        <v>1644</v>
      </c>
      <c r="C2" s="112" t="s">
        <v>1540</v>
      </c>
      <c r="D2" s="78" t="s">
        <v>970</v>
      </c>
      <c r="E2" s="79" t="s">
        <v>970</v>
      </c>
      <c r="F2" s="58" t="s">
        <v>324</v>
      </c>
      <c r="G2" s="79" t="s">
        <v>325</v>
      </c>
      <c r="H2" s="80" t="s">
        <v>326</v>
      </c>
      <c r="I2" s="58" t="s">
        <v>327</v>
      </c>
      <c r="J2" s="58" t="s">
        <v>971</v>
      </c>
      <c r="K2" s="79" t="s">
        <v>328</v>
      </c>
      <c r="L2" s="36"/>
      <c r="M2" s="37"/>
      <c r="N2" s="37"/>
      <c r="O2" s="37"/>
      <c r="P2" s="37"/>
      <c r="Q2" s="37"/>
      <c r="R2" s="37"/>
      <c r="S2" s="37"/>
      <c r="T2" s="37"/>
      <c r="U2" s="37"/>
    </row>
    <row r="3" spans="2:21" ht="14.25">
      <c r="B3" s="95"/>
      <c r="C3" s="96" t="s">
        <v>735</v>
      </c>
      <c r="D3" s="97" t="s">
        <v>968</v>
      </c>
      <c r="E3" s="98" t="s">
        <v>271</v>
      </c>
      <c r="F3" s="100" t="s">
        <v>969</v>
      </c>
      <c r="G3" s="99" t="s">
        <v>969</v>
      </c>
      <c r="H3" s="98" t="s">
        <v>969</v>
      </c>
      <c r="I3" s="100" t="s">
        <v>969</v>
      </c>
      <c r="J3" s="100" t="s">
        <v>969</v>
      </c>
      <c r="K3" s="99" t="s">
        <v>783</v>
      </c>
      <c r="L3" s="36"/>
      <c r="M3" s="37"/>
      <c r="N3" s="37"/>
      <c r="O3" s="37"/>
      <c r="P3" s="37"/>
      <c r="Q3" s="37"/>
      <c r="R3" s="37"/>
      <c r="S3" s="37"/>
      <c r="T3" s="37"/>
      <c r="U3" s="37"/>
    </row>
    <row r="4" spans="1:13" ht="12.75">
      <c r="A4" s="93" t="s">
        <v>1373</v>
      </c>
      <c r="B4" s="95">
        <v>37670</v>
      </c>
      <c r="C4" s="96">
        <v>0.4756944444444444</v>
      </c>
      <c r="D4" s="101">
        <v>30</v>
      </c>
      <c r="E4" s="98">
        <f aca="true" t="shared" si="0" ref="E4:E27">D4*0.028317</f>
        <v>0.84951</v>
      </c>
      <c r="F4" s="100">
        <v>115</v>
      </c>
      <c r="G4" s="99">
        <v>2.2</v>
      </c>
      <c r="H4" s="98">
        <v>0.3</v>
      </c>
      <c r="I4" s="100">
        <v>412</v>
      </c>
      <c r="J4" s="100">
        <v>118.84823958333335</v>
      </c>
      <c r="K4" s="100">
        <f>E4*F4</f>
        <v>97.69365</v>
      </c>
      <c r="M4" s="1"/>
    </row>
    <row r="5" spans="1:13" ht="12.75">
      <c r="A5" s="93" t="s">
        <v>1374</v>
      </c>
      <c r="B5" s="95">
        <v>37685</v>
      </c>
      <c r="C5" s="96">
        <v>0.6868055555555556</v>
      </c>
      <c r="D5" s="101">
        <v>31</v>
      </c>
      <c r="E5" s="98">
        <f t="shared" si="0"/>
        <v>0.8778269999999999</v>
      </c>
      <c r="F5" s="100">
        <v>115</v>
      </c>
      <c r="G5" s="99">
        <v>2.2</v>
      </c>
      <c r="H5" s="98">
        <v>0.3</v>
      </c>
      <c r="I5" s="100">
        <v>410</v>
      </c>
      <c r="J5" s="100">
        <v>100.41722916666667</v>
      </c>
      <c r="K5" s="100">
        <f aca="true" t="shared" si="1" ref="K5:K68">E5*F5</f>
        <v>100.950105</v>
      </c>
      <c r="M5" s="1"/>
    </row>
    <row r="6" spans="1:13" ht="12.75">
      <c r="A6" s="93" t="s">
        <v>1375</v>
      </c>
      <c r="B6" s="95">
        <v>37721</v>
      </c>
      <c r="C6" s="96">
        <v>0.5416666666666666</v>
      </c>
      <c r="D6" s="101">
        <v>31</v>
      </c>
      <c r="E6" s="98">
        <f t="shared" si="0"/>
        <v>0.8778269999999999</v>
      </c>
      <c r="F6" s="100">
        <v>113</v>
      </c>
      <c r="G6" s="99">
        <v>2.1</v>
      </c>
      <c r="H6" s="98">
        <v>0.3</v>
      </c>
      <c r="I6" s="100">
        <v>404</v>
      </c>
      <c r="J6" s="100">
        <v>127.11041666666667</v>
      </c>
      <c r="K6" s="100">
        <f t="shared" si="1"/>
        <v>99.19445099999999</v>
      </c>
      <c r="M6" s="1"/>
    </row>
    <row r="7" spans="1:13" ht="12.75">
      <c r="A7" s="93" t="s">
        <v>1376</v>
      </c>
      <c r="B7" s="95">
        <v>37734</v>
      </c>
      <c r="C7" s="96">
        <v>0.36875</v>
      </c>
      <c r="D7" s="101">
        <v>32</v>
      </c>
      <c r="E7" s="98">
        <f t="shared" si="0"/>
        <v>0.906144</v>
      </c>
      <c r="F7" s="100">
        <v>113</v>
      </c>
      <c r="G7" s="99">
        <v>1.9</v>
      </c>
      <c r="H7" s="98">
        <v>0.3</v>
      </c>
      <c r="I7" s="100">
        <v>388</v>
      </c>
      <c r="J7" s="100">
        <v>116.94158333333334</v>
      </c>
      <c r="K7" s="100">
        <f t="shared" si="1"/>
        <v>102.394272</v>
      </c>
      <c r="M7" s="1"/>
    </row>
    <row r="8" spans="1:13" ht="12.75">
      <c r="A8" s="93" t="s">
        <v>1377</v>
      </c>
      <c r="B8" s="95">
        <v>37748</v>
      </c>
      <c r="C8" s="96">
        <v>0.40208333333333335</v>
      </c>
      <c r="D8" s="101">
        <v>32</v>
      </c>
      <c r="E8" s="98">
        <f t="shared" si="0"/>
        <v>0.906144</v>
      </c>
      <c r="F8" s="100">
        <v>107</v>
      </c>
      <c r="G8" s="99">
        <v>2</v>
      </c>
      <c r="H8" s="98">
        <v>0.3</v>
      </c>
      <c r="I8" s="100">
        <v>393</v>
      </c>
      <c r="J8" s="100">
        <v>122.34377604166667</v>
      </c>
      <c r="K8" s="100">
        <f t="shared" si="1"/>
        <v>96.957408</v>
      </c>
      <c r="M8" s="1"/>
    </row>
    <row r="9" spans="1:13" ht="12.75">
      <c r="A9" s="93" t="s">
        <v>1378</v>
      </c>
      <c r="B9" s="95">
        <v>37755</v>
      </c>
      <c r="C9" s="96">
        <v>0.32222222222222224</v>
      </c>
      <c r="D9" s="101">
        <v>32</v>
      </c>
      <c r="E9" s="98">
        <f t="shared" si="0"/>
        <v>0.906144</v>
      </c>
      <c r="F9" s="100">
        <v>102</v>
      </c>
      <c r="G9" s="99">
        <v>1.9</v>
      </c>
      <c r="H9" s="98">
        <v>0.3</v>
      </c>
      <c r="I9" s="100">
        <v>375</v>
      </c>
      <c r="J9" s="100">
        <v>119.48379166666668</v>
      </c>
      <c r="K9" s="100">
        <f t="shared" si="1"/>
        <v>92.426688</v>
      </c>
      <c r="M9" s="1"/>
    </row>
    <row r="10" spans="1:13" ht="12.75">
      <c r="A10" s="93" t="s">
        <v>1379</v>
      </c>
      <c r="B10" s="95">
        <v>37762</v>
      </c>
      <c r="C10" s="96">
        <v>0.579861111111111</v>
      </c>
      <c r="D10" s="101">
        <v>33</v>
      </c>
      <c r="E10" s="98">
        <f t="shared" si="0"/>
        <v>0.934461</v>
      </c>
      <c r="F10" s="100">
        <v>105</v>
      </c>
      <c r="G10" s="99">
        <v>2</v>
      </c>
      <c r="H10" s="98">
        <v>0.3</v>
      </c>
      <c r="I10" s="100">
        <v>382</v>
      </c>
      <c r="J10" s="100">
        <v>161.43022916666666</v>
      </c>
      <c r="K10" s="100">
        <f t="shared" si="1"/>
        <v>98.118405</v>
      </c>
      <c r="M10" s="1"/>
    </row>
    <row r="11" spans="1:13" ht="12.75">
      <c r="A11" s="93" t="s">
        <v>1380</v>
      </c>
      <c r="B11" s="95">
        <v>37769</v>
      </c>
      <c r="C11" s="96">
        <v>0.4513888888888889</v>
      </c>
      <c r="D11" s="101">
        <v>33</v>
      </c>
      <c r="E11" s="98">
        <f t="shared" si="0"/>
        <v>0.934461</v>
      </c>
      <c r="F11" s="100">
        <v>102.4</v>
      </c>
      <c r="G11" s="99">
        <v>2</v>
      </c>
      <c r="H11" s="98">
        <v>0.24</v>
      </c>
      <c r="I11" s="100">
        <v>375.2</v>
      </c>
      <c r="J11" s="100">
        <v>149.99029166666665</v>
      </c>
      <c r="K11" s="100">
        <f t="shared" si="1"/>
        <v>95.6888064</v>
      </c>
      <c r="M11" s="1"/>
    </row>
    <row r="12" spans="1:13" ht="12.75">
      <c r="A12" s="93" t="s">
        <v>1381</v>
      </c>
      <c r="B12" s="95">
        <v>37776</v>
      </c>
      <c r="C12" s="96">
        <v>0.49513888888888885</v>
      </c>
      <c r="D12" s="101">
        <v>33</v>
      </c>
      <c r="E12" s="98">
        <f t="shared" si="0"/>
        <v>0.934461</v>
      </c>
      <c r="F12" s="100">
        <v>104.8</v>
      </c>
      <c r="G12" s="99">
        <v>1.92</v>
      </c>
      <c r="H12" s="98">
        <v>0.24</v>
      </c>
      <c r="I12" s="100">
        <v>394.4</v>
      </c>
      <c r="J12" s="100">
        <v>123.93265625</v>
      </c>
      <c r="K12" s="100">
        <f t="shared" si="1"/>
        <v>97.9315128</v>
      </c>
      <c r="M12" s="1"/>
    </row>
    <row r="13" spans="1:13" ht="12.75">
      <c r="A13" s="93" t="s">
        <v>1382</v>
      </c>
      <c r="B13" s="95">
        <v>37783</v>
      </c>
      <c r="C13" s="96">
        <v>0.5833333333333334</v>
      </c>
      <c r="D13" s="101">
        <v>31</v>
      </c>
      <c r="E13" s="98">
        <f t="shared" si="0"/>
        <v>0.8778269999999999</v>
      </c>
      <c r="F13" s="100">
        <v>107.2</v>
      </c>
      <c r="G13" s="99">
        <v>1.92</v>
      </c>
      <c r="H13" s="98">
        <v>0.24</v>
      </c>
      <c r="I13" s="100">
        <v>399.2</v>
      </c>
      <c r="J13" s="100">
        <v>122.02600000000002</v>
      </c>
      <c r="K13" s="100">
        <f t="shared" si="1"/>
        <v>94.10305439999999</v>
      </c>
      <c r="M13" s="1"/>
    </row>
    <row r="14" spans="1:13" ht="12.75">
      <c r="A14" s="93" t="s">
        <v>1383</v>
      </c>
      <c r="B14" s="95">
        <v>37790</v>
      </c>
      <c r="C14" s="96">
        <v>0.3611111111111111</v>
      </c>
      <c r="D14" s="101">
        <v>31</v>
      </c>
      <c r="E14" s="98">
        <f t="shared" si="0"/>
        <v>0.8778269999999999</v>
      </c>
      <c r="F14" s="100">
        <v>107.2</v>
      </c>
      <c r="G14" s="99">
        <v>1.84</v>
      </c>
      <c r="H14" s="98">
        <v>0.24</v>
      </c>
      <c r="I14" s="100">
        <v>393.6</v>
      </c>
      <c r="J14" s="100">
        <v>122.02600000000002</v>
      </c>
      <c r="K14" s="100">
        <f t="shared" si="1"/>
        <v>94.10305439999999</v>
      </c>
      <c r="M14" s="1"/>
    </row>
    <row r="15" spans="1:13" ht="12.75">
      <c r="A15" s="93" t="s">
        <v>1384</v>
      </c>
      <c r="B15" s="95">
        <v>37796</v>
      </c>
      <c r="C15" s="96">
        <v>0.3520833333333333</v>
      </c>
      <c r="D15" s="101">
        <v>30</v>
      </c>
      <c r="E15" s="98">
        <f t="shared" si="0"/>
        <v>0.84951</v>
      </c>
      <c r="F15" s="100">
        <v>110.4</v>
      </c>
      <c r="G15" s="99">
        <v>1.92</v>
      </c>
      <c r="H15" s="98">
        <v>0.24</v>
      </c>
      <c r="I15" s="100">
        <v>408.8</v>
      </c>
      <c r="J15" s="100">
        <v>119.166015625</v>
      </c>
      <c r="K15" s="100">
        <f t="shared" si="1"/>
        <v>93.785904</v>
      </c>
      <c r="M15" s="1"/>
    </row>
    <row r="16" spans="1:13" ht="12.75">
      <c r="A16" s="93" t="s">
        <v>1385</v>
      </c>
      <c r="B16" s="95">
        <v>37804</v>
      </c>
      <c r="C16" s="96">
        <v>0.7263888888888889</v>
      </c>
      <c r="D16" s="101">
        <v>28</v>
      </c>
      <c r="E16" s="98">
        <f t="shared" si="0"/>
        <v>0.7928759999999999</v>
      </c>
      <c r="F16" s="100">
        <v>122.4</v>
      </c>
      <c r="G16" s="99">
        <v>2.08</v>
      </c>
      <c r="H16" s="98">
        <v>0.32</v>
      </c>
      <c r="I16" s="100">
        <v>444</v>
      </c>
      <c r="J16" s="100">
        <v>114.399375</v>
      </c>
      <c r="K16" s="100">
        <f t="shared" si="1"/>
        <v>97.0480224</v>
      </c>
      <c r="M16" s="1"/>
    </row>
    <row r="17" spans="1:13" ht="12.75">
      <c r="A17" s="93" t="s">
        <v>1386</v>
      </c>
      <c r="B17" s="95">
        <v>37811</v>
      </c>
      <c r="C17" s="96">
        <v>0.3680555555555556</v>
      </c>
      <c r="D17" s="101">
        <v>26</v>
      </c>
      <c r="E17" s="98">
        <f t="shared" si="0"/>
        <v>0.736242</v>
      </c>
      <c r="F17" s="100">
        <v>130.4</v>
      </c>
      <c r="G17" s="99">
        <v>2.08</v>
      </c>
      <c r="H17" s="98">
        <v>0.32</v>
      </c>
      <c r="I17" s="100">
        <v>471.2</v>
      </c>
      <c r="J17" s="100">
        <v>120.11934375</v>
      </c>
      <c r="K17" s="100">
        <f t="shared" si="1"/>
        <v>96.00595679999999</v>
      </c>
      <c r="M17" s="1"/>
    </row>
    <row r="18" spans="1:13" ht="12.75">
      <c r="A18" s="93" t="s">
        <v>1387</v>
      </c>
      <c r="B18" s="95">
        <v>37818</v>
      </c>
      <c r="C18" s="96">
        <v>0.3458333333333334</v>
      </c>
      <c r="D18" s="101">
        <v>24</v>
      </c>
      <c r="E18" s="98">
        <f t="shared" si="0"/>
        <v>0.679608</v>
      </c>
      <c r="F18" s="100">
        <v>139.2</v>
      </c>
      <c r="G18" s="99">
        <v>2.16</v>
      </c>
      <c r="H18" s="98">
        <v>0.4</v>
      </c>
      <c r="I18" s="100">
        <v>504</v>
      </c>
      <c r="J18" s="100">
        <v>116.94158333333334</v>
      </c>
      <c r="K18" s="100">
        <f t="shared" si="1"/>
        <v>94.6014336</v>
      </c>
      <c r="M18" s="1"/>
    </row>
    <row r="19" spans="1:13" ht="12.75">
      <c r="A19" s="93" t="s">
        <v>1388</v>
      </c>
      <c r="B19" s="95">
        <v>37825</v>
      </c>
      <c r="C19" s="96">
        <v>0.5868055555555556</v>
      </c>
      <c r="D19" s="101">
        <v>24</v>
      </c>
      <c r="E19" s="98">
        <f t="shared" si="0"/>
        <v>0.679608</v>
      </c>
      <c r="F19" s="100">
        <v>143.2</v>
      </c>
      <c r="G19" s="99">
        <v>2.24</v>
      </c>
      <c r="H19" s="98">
        <v>0.32</v>
      </c>
      <c r="I19" s="100">
        <v>517.6</v>
      </c>
      <c r="J19" s="100">
        <v>167.78575000000004</v>
      </c>
      <c r="K19" s="100">
        <f t="shared" si="1"/>
        <v>97.31986559999999</v>
      </c>
      <c r="M19" s="1"/>
    </row>
    <row r="20" spans="1:13" ht="12.75">
      <c r="A20" s="93" t="s">
        <v>1389</v>
      </c>
      <c r="B20" s="95">
        <v>37839</v>
      </c>
      <c r="C20" s="96">
        <v>0.4895833333333333</v>
      </c>
      <c r="D20" s="101">
        <v>25</v>
      </c>
      <c r="E20" s="98">
        <f t="shared" si="0"/>
        <v>0.7079249999999999</v>
      </c>
      <c r="F20" s="100">
        <v>139.2</v>
      </c>
      <c r="G20" s="99">
        <v>2.24</v>
      </c>
      <c r="H20" s="98">
        <v>0.32</v>
      </c>
      <c r="I20" s="100">
        <v>502.4</v>
      </c>
      <c r="J20" s="100">
        <v>169.37463020833331</v>
      </c>
      <c r="K20" s="100">
        <f t="shared" si="1"/>
        <v>98.54315999999999</v>
      </c>
      <c r="M20" s="1"/>
    </row>
    <row r="21" spans="1:13" ht="12.75">
      <c r="A21" s="93" t="s">
        <v>1390</v>
      </c>
      <c r="B21" s="95">
        <v>37846</v>
      </c>
      <c r="C21" s="96">
        <v>0.6263888888888889</v>
      </c>
      <c r="D21" s="101">
        <v>24</v>
      </c>
      <c r="E21" s="98">
        <f t="shared" si="0"/>
        <v>0.679608</v>
      </c>
      <c r="F21" s="100">
        <v>141</v>
      </c>
      <c r="G21" s="99">
        <v>2.1</v>
      </c>
      <c r="H21" s="98">
        <v>0.4</v>
      </c>
      <c r="I21" s="100">
        <v>506</v>
      </c>
      <c r="J21" s="100">
        <v>120.11934375</v>
      </c>
      <c r="K21" s="100">
        <f t="shared" si="1"/>
        <v>95.824728</v>
      </c>
      <c r="M21" s="1"/>
    </row>
    <row r="22" spans="1:13" ht="12.75">
      <c r="A22" s="93" t="s">
        <v>1390</v>
      </c>
      <c r="B22" s="95">
        <v>37846</v>
      </c>
      <c r="C22" s="96">
        <v>0.6263888888888889</v>
      </c>
      <c r="D22" s="101">
        <v>24</v>
      </c>
      <c r="E22" s="98">
        <f t="shared" si="0"/>
        <v>0.679608</v>
      </c>
      <c r="F22" s="100">
        <v>142</v>
      </c>
      <c r="G22" s="99">
        <v>2.07</v>
      </c>
      <c r="H22" s="98">
        <v>0.36</v>
      </c>
      <c r="I22" s="100">
        <v>491</v>
      </c>
      <c r="J22" s="100">
        <v>120.11934375</v>
      </c>
      <c r="K22" s="100">
        <f t="shared" si="1"/>
        <v>96.504336</v>
      </c>
      <c r="M22" s="1"/>
    </row>
    <row r="23" spans="1:13" ht="12.75">
      <c r="A23" s="93" t="s">
        <v>1391</v>
      </c>
      <c r="B23" s="95">
        <v>37854</v>
      </c>
      <c r="C23" s="96">
        <v>0.4548611111111111</v>
      </c>
      <c r="D23" s="101">
        <v>24</v>
      </c>
      <c r="E23" s="98">
        <f t="shared" si="0"/>
        <v>0.679608</v>
      </c>
      <c r="F23" s="100">
        <v>143.2</v>
      </c>
      <c r="G23" s="99">
        <v>2.24</v>
      </c>
      <c r="H23" s="98">
        <v>0.4</v>
      </c>
      <c r="I23" s="100">
        <v>516.8</v>
      </c>
      <c r="J23" s="100">
        <v>122.02600000000002</v>
      </c>
      <c r="K23" s="100">
        <f t="shared" si="1"/>
        <v>97.31986559999999</v>
      </c>
      <c r="M23" s="1"/>
    </row>
    <row r="24" spans="1:13" ht="12.75">
      <c r="A24" s="93" t="s">
        <v>1149</v>
      </c>
      <c r="B24" s="95">
        <v>37860</v>
      </c>
      <c r="C24" s="96">
        <v>0.37916666666666665</v>
      </c>
      <c r="D24" s="101">
        <v>22</v>
      </c>
      <c r="E24" s="98">
        <f t="shared" si="0"/>
        <v>0.6229739999999999</v>
      </c>
      <c r="F24" s="100">
        <v>144.8</v>
      </c>
      <c r="G24" s="99">
        <v>2.32</v>
      </c>
      <c r="H24" s="98">
        <v>0.32</v>
      </c>
      <c r="I24" s="100">
        <v>520.8</v>
      </c>
      <c r="J24" s="100">
        <v>180.49679166666667</v>
      </c>
      <c r="K24" s="100">
        <f t="shared" si="1"/>
        <v>90.2066352</v>
      </c>
      <c r="M24" s="1"/>
    </row>
    <row r="25" spans="1:13" ht="12.75">
      <c r="A25" s="93" t="s">
        <v>1150</v>
      </c>
      <c r="B25" s="95">
        <v>37867</v>
      </c>
      <c r="C25" s="96">
        <v>0.513888888888889</v>
      </c>
      <c r="D25" s="101">
        <v>21</v>
      </c>
      <c r="E25" s="98">
        <f t="shared" si="0"/>
        <v>0.594657</v>
      </c>
      <c r="F25" s="100">
        <v>144</v>
      </c>
      <c r="G25" s="99">
        <v>2.4</v>
      </c>
      <c r="H25" s="98">
        <v>0.32</v>
      </c>
      <c r="I25" s="100">
        <v>517.6</v>
      </c>
      <c r="J25" s="100">
        <v>211.00329166666668</v>
      </c>
      <c r="K25" s="100">
        <f t="shared" si="1"/>
        <v>85.630608</v>
      </c>
      <c r="M25" s="1"/>
    </row>
    <row r="26" spans="1:13" ht="12.75">
      <c r="A26" s="93" t="s">
        <v>1151</v>
      </c>
      <c r="B26" s="95">
        <v>37881</v>
      </c>
      <c r="C26" s="96">
        <v>0.3958333333333333</v>
      </c>
      <c r="D26" s="101">
        <v>21</v>
      </c>
      <c r="E26" s="98">
        <f t="shared" si="0"/>
        <v>0.594657</v>
      </c>
      <c r="F26" s="100">
        <v>144</v>
      </c>
      <c r="G26" s="99">
        <v>2.32</v>
      </c>
      <c r="H26" s="98">
        <v>0.4</v>
      </c>
      <c r="I26" s="100">
        <v>516.8</v>
      </c>
      <c r="J26" s="100">
        <v>190.03007291666668</v>
      </c>
      <c r="K26" s="100">
        <f t="shared" si="1"/>
        <v>85.630608</v>
      </c>
      <c r="M26" s="1"/>
    </row>
    <row r="27" spans="1:13" ht="12.75">
      <c r="A27" s="93" t="s">
        <v>1152</v>
      </c>
      <c r="B27" s="95">
        <v>37888</v>
      </c>
      <c r="C27" s="96">
        <v>0.4166666666666667</v>
      </c>
      <c r="D27" s="101">
        <v>21</v>
      </c>
      <c r="E27" s="98">
        <f t="shared" si="0"/>
        <v>0.594657</v>
      </c>
      <c r="F27" s="100">
        <v>145.6</v>
      </c>
      <c r="G27" s="99">
        <v>2.32</v>
      </c>
      <c r="H27" s="98">
        <v>0.32</v>
      </c>
      <c r="I27" s="100">
        <v>524.8</v>
      </c>
      <c r="J27" s="100">
        <v>197.02114583333335</v>
      </c>
      <c r="K27" s="100">
        <f t="shared" si="1"/>
        <v>86.58205919999999</v>
      </c>
      <c r="M27" s="1"/>
    </row>
    <row r="28" spans="1:13" ht="12.75">
      <c r="A28" s="14" t="s">
        <v>963</v>
      </c>
      <c r="B28" s="95"/>
      <c r="C28" s="96"/>
      <c r="D28" s="97"/>
      <c r="E28" s="98"/>
      <c r="F28" s="100"/>
      <c r="G28" s="99"/>
      <c r="H28" s="98"/>
      <c r="I28" s="100"/>
      <c r="J28" s="90"/>
      <c r="K28" s="100"/>
      <c r="L28" s="1"/>
      <c r="M28" s="1"/>
    </row>
    <row r="29" spans="1:13" ht="12.75">
      <c r="A29" s="93" t="s">
        <v>1153</v>
      </c>
      <c r="B29" s="95">
        <v>37895</v>
      </c>
      <c r="C29" s="96">
        <v>0.3875</v>
      </c>
      <c r="D29" s="97">
        <v>21</v>
      </c>
      <c r="E29" s="98">
        <f aca="true" t="shared" si="2" ref="E29:E50">D29*0.028317</f>
        <v>0.594657</v>
      </c>
      <c r="F29" s="100">
        <v>144.8</v>
      </c>
      <c r="G29" s="99">
        <v>2.4</v>
      </c>
      <c r="H29" s="98">
        <v>0.32</v>
      </c>
      <c r="I29" s="100">
        <v>520.8</v>
      </c>
      <c r="J29" s="100">
        <v>213.54549999999998</v>
      </c>
      <c r="K29" s="100">
        <f t="shared" si="1"/>
        <v>86.1063336</v>
      </c>
      <c r="M29" s="1"/>
    </row>
    <row r="30" spans="1:13" ht="12.75">
      <c r="A30" s="93" t="s">
        <v>1154</v>
      </c>
      <c r="B30" s="95">
        <v>38029</v>
      </c>
      <c r="C30" s="96">
        <v>0.6208333333333333</v>
      </c>
      <c r="D30" s="101">
        <v>21</v>
      </c>
      <c r="E30" s="98">
        <f t="shared" si="2"/>
        <v>0.594657</v>
      </c>
      <c r="F30" s="100">
        <v>147.2</v>
      </c>
      <c r="G30" s="99">
        <v>2.4</v>
      </c>
      <c r="H30" s="98">
        <v>0.32</v>
      </c>
      <c r="I30" s="100">
        <v>532.8</v>
      </c>
      <c r="J30" s="100">
        <v>165.87909374999998</v>
      </c>
      <c r="K30" s="100">
        <f t="shared" si="1"/>
        <v>87.5335104</v>
      </c>
      <c r="M30" s="1"/>
    </row>
    <row r="31" spans="1:13" ht="12.75">
      <c r="A31" s="93" t="s">
        <v>1155</v>
      </c>
      <c r="B31" s="95">
        <v>38068</v>
      </c>
      <c r="C31" s="96">
        <v>0.4263888888888889</v>
      </c>
      <c r="D31" s="101">
        <v>22</v>
      </c>
      <c r="E31" s="98">
        <f t="shared" si="2"/>
        <v>0.6229739999999999</v>
      </c>
      <c r="F31" s="100">
        <v>140.8</v>
      </c>
      <c r="G31" s="99">
        <v>2.56</v>
      </c>
      <c r="H31" s="98">
        <v>0.24</v>
      </c>
      <c r="I31" s="100">
        <v>508</v>
      </c>
      <c r="J31" s="100">
        <v>183.039</v>
      </c>
      <c r="K31" s="100">
        <f t="shared" si="1"/>
        <v>87.7147392</v>
      </c>
      <c r="M31" s="1"/>
    </row>
    <row r="32" spans="1:13" ht="12.75">
      <c r="A32" s="93" t="s">
        <v>1156</v>
      </c>
      <c r="B32" s="95">
        <v>38113</v>
      </c>
      <c r="C32" s="96">
        <v>0.6395833333333333</v>
      </c>
      <c r="D32" s="97">
        <v>25</v>
      </c>
      <c r="E32" s="98">
        <f t="shared" si="2"/>
        <v>0.7079249999999999</v>
      </c>
      <c r="F32" s="100">
        <v>124.8</v>
      </c>
      <c r="G32" s="99">
        <v>2.48</v>
      </c>
      <c r="H32" s="98">
        <v>0.16</v>
      </c>
      <c r="I32" s="100">
        <v>454.4</v>
      </c>
      <c r="J32" s="100">
        <v>186.53453645833335</v>
      </c>
      <c r="K32" s="100">
        <f t="shared" si="1"/>
        <v>88.34903999999999</v>
      </c>
      <c r="M32" s="1"/>
    </row>
    <row r="33" spans="1:13" ht="12.75">
      <c r="A33" s="93" t="s">
        <v>1157</v>
      </c>
      <c r="B33" s="95">
        <v>38118</v>
      </c>
      <c r="C33" s="96">
        <v>0.3361111111111111</v>
      </c>
      <c r="D33" s="97">
        <v>26</v>
      </c>
      <c r="E33" s="98">
        <f t="shared" si="2"/>
        <v>0.736242</v>
      </c>
      <c r="F33" s="100">
        <v>117.6</v>
      </c>
      <c r="G33" s="99">
        <v>2.4</v>
      </c>
      <c r="H33" s="98">
        <v>0.16</v>
      </c>
      <c r="I33" s="100">
        <v>429.6</v>
      </c>
      <c r="J33" s="100">
        <v>190</v>
      </c>
      <c r="K33" s="100">
        <f t="shared" si="1"/>
        <v>86.58205919999999</v>
      </c>
      <c r="M33" s="1"/>
    </row>
    <row r="34" spans="1:11" ht="12.75">
      <c r="A34" s="94" t="s">
        <v>1158</v>
      </c>
      <c r="B34" s="102">
        <v>38125</v>
      </c>
      <c r="C34" s="103">
        <v>0.3888888888888889</v>
      </c>
      <c r="D34" s="104">
        <v>26</v>
      </c>
      <c r="E34" s="98">
        <f t="shared" si="2"/>
        <v>0.736242</v>
      </c>
      <c r="F34" s="90">
        <v>120.8</v>
      </c>
      <c r="G34" s="105">
        <v>2.08</v>
      </c>
      <c r="H34" s="91">
        <v>0.32</v>
      </c>
      <c r="I34" s="90">
        <v>439.2</v>
      </c>
      <c r="J34" s="100">
        <v>193.84338541666665</v>
      </c>
      <c r="K34" s="100">
        <f t="shared" si="1"/>
        <v>88.9380336</v>
      </c>
    </row>
    <row r="35" spans="1:11" ht="12.75">
      <c r="A35" s="93" t="s">
        <v>1159</v>
      </c>
      <c r="B35" s="95">
        <v>38131</v>
      </c>
      <c r="C35" s="96">
        <v>0.53125</v>
      </c>
      <c r="D35" s="97">
        <v>26</v>
      </c>
      <c r="E35" s="98">
        <f t="shared" si="2"/>
        <v>0.736242</v>
      </c>
      <c r="F35" s="100">
        <v>119.2</v>
      </c>
      <c r="G35" s="99">
        <v>2.08</v>
      </c>
      <c r="H35" s="98">
        <v>0.32</v>
      </c>
      <c r="I35" s="100">
        <v>432</v>
      </c>
      <c r="J35" s="100">
        <v>186.8523125</v>
      </c>
      <c r="K35" s="100">
        <f t="shared" si="1"/>
        <v>87.7600464</v>
      </c>
    </row>
    <row r="36" spans="1:11" ht="12.75">
      <c r="A36" s="93" t="s">
        <v>1160</v>
      </c>
      <c r="B36" s="95">
        <v>38152</v>
      </c>
      <c r="C36" s="96">
        <v>0.53125</v>
      </c>
      <c r="D36" s="97">
        <v>27</v>
      </c>
      <c r="E36" s="98">
        <f t="shared" si="2"/>
        <v>0.764559</v>
      </c>
      <c r="F36" s="100">
        <v>112</v>
      </c>
      <c r="G36" s="99">
        <v>2</v>
      </c>
      <c r="H36" s="98">
        <v>0.32</v>
      </c>
      <c r="I36" s="100">
        <v>408</v>
      </c>
      <c r="J36" s="100">
        <v>143.63477083333333</v>
      </c>
      <c r="K36" s="100">
        <f t="shared" si="1"/>
        <v>85.630608</v>
      </c>
    </row>
    <row r="37" spans="1:11" ht="12.75">
      <c r="A37" s="93" t="s">
        <v>1161</v>
      </c>
      <c r="B37" s="95">
        <v>38159</v>
      </c>
      <c r="C37" s="96">
        <v>0.4756944444444444</v>
      </c>
      <c r="D37" s="97">
        <v>27</v>
      </c>
      <c r="E37" s="98">
        <f t="shared" si="2"/>
        <v>0.764559</v>
      </c>
      <c r="F37" s="100">
        <v>113.6</v>
      </c>
      <c r="G37" s="99">
        <v>2</v>
      </c>
      <c r="H37" s="98">
        <v>0.32</v>
      </c>
      <c r="I37" s="100">
        <v>412</v>
      </c>
      <c r="J37" s="100">
        <v>189.712296875</v>
      </c>
      <c r="K37" s="100">
        <f t="shared" si="1"/>
        <v>86.8539024</v>
      </c>
    </row>
    <row r="38" spans="1:11" ht="12.75">
      <c r="A38" s="93" t="s">
        <v>1162</v>
      </c>
      <c r="B38" s="95">
        <v>38166</v>
      </c>
      <c r="C38" s="96">
        <v>0.5</v>
      </c>
      <c r="D38" s="97">
        <v>27</v>
      </c>
      <c r="E38" s="98">
        <f t="shared" si="2"/>
        <v>0.764559</v>
      </c>
      <c r="F38" s="100">
        <v>112</v>
      </c>
      <c r="G38" s="99">
        <v>2</v>
      </c>
      <c r="H38" s="98">
        <v>0.32</v>
      </c>
      <c r="I38" s="100">
        <v>407.2</v>
      </c>
      <c r="J38" s="100">
        <v>182.72122395833335</v>
      </c>
      <c r="K38" s="100">
        <f t="shared" si="1"/>
        <v>85.630608</v>
      </c>
    </row>
    <row r="39" spans="1:11" ht="12.75">
      <c r="A39" s="93" t="s">
        <v>1163</v>
      </c>
      <c r="B39" s="95">
        <v>38174</v>
      </c>
      <c r="C39" s="96">
        <v>0.4131944444444444</v>
      </c>
      <c r="D39" s="97">
        <v>27</v>
      </c>
      <c r="E39" s="98">
        <f t="shared" si="2"/>
        <v>0.764559</v>
      </c>
      <c r="F39" s="100">
        <v>112</v>
      </c>
      <c r="G39" s="99">
        <v>2</v>
      </c>
      <c r="H39" s="98">
        <v>0.32</v>
      </c>
      <c r="I39" s="100">
        <v>405.6</v>
      </c>
      <c r="J39" s="100">
        <v>205.2833229166666</v>
      </c>
      <c r="K39" s="100">
        <f t="shared" si="1"/>
        <v>85.630608</v>
      </c>
    </row>
    <row r="40" spans="1:11" ht="12.75">
      <c r="A40" s="93" t="s">
        <v>1164</v>
      </c>
      <c r="B40" s="95">
        <v>38180</v>
      </c>
      <c r="C40" s="96">
        <v>0.3854166666666667</v>
      </c>
      <c r="D40" s="97">
        <v>26</v>
      </c>
      <c r="E40" s="98">
        <f t="shared" si="2"/>
        <v>0.736242</v>
      </c>
      <c r="F40" s="100">
        <v>113.6</v>
      </c>
      <c r="G40" s="99">
        <v>2</v>
      </c>
      <c r="H40" s="98">
        <v>0.32</v>
      </c>
      <c r="I40" s="100">
        <v>410.4</v>
      </c>
      <c r="J40" s="100">
        <v>211.32106770833335</v>
      </c>
      <c r="K40" s="100">
        <f t="shared" si="1"/>
        <v>83.63709119999999</v>
      </c>
    </row>
    <row r="41" spans="1:11" ht="12.75">
      <c r="A41" s="93" t="s">
        <v>1165</v>
      </c>
      <c r="B41" s="95">
        <v>38187</v>
      </c>
      <c r="C41" s="96">
        <v>0.47222222222222227</v>
      </c>
      <c r="D41" s="97">
        <v>26</v>
      </c>
      <c r="E41" s="98">
        <f t="shared" si="2"/>
        <v>0.736242</v>
      </c>
      <c r="F41" s="100">
        <v>116</v>
      </c>
      <c r="G41" s="99">
        <v>2.08</v>
      </c>
      <c r="H41" s="98">
        <v>0.32</v>
      </c>
      <c r="I41" s="100">
        <v>419.2</v>
      </c>
      <c r="J41" s="100">
        <v>228.16319791666666</v>
      </c>
      <c r="K41" s="100">
        <f t="shared" si="1"/>
        <v>85.404072</v>
      </c>
    </row>
    <row r="42" spans="1:11" ht="12.75">
      <c r="A42" s="93" t="s">
        <v>1166</v>
      </c>
      <c r="B42" s="95">
        <v>38194</v>
      </c>
      <c r="C42" s="96">
        <v>0.4444444444444444</v>
      </c>
      <c r="D42" s="97">
        <v>26</v>
      </c>
      <c r="E42" s="98">
        <f t="shared" si="2"/>
        <v>0.736242</v>
      </c>
      <c r="F42" s="100">
        <v>115.2</v>
      </c>
      <c r="G42" s="99">
        <v>2</v>
      </c>
      <c r="H42" s="98">
        <v>0.32</v>
      </c>
      <c r="I42" s="100">
        <v>416</v>
      </c>
      <c r="J42" s="100">
        <v>200.19890625</v>
      </c>
      <c r="K42" s="100">
        <f t="shared" si="1"/>
        <v>84.81507839999999</v>
      </c>
    </row>
    <row r="43" spans="1:11" ht="12.75">
      <c r="A43" s="93" t="s">
        <v>1167</v>
      </c>
      <c r="B43" s="95">
        <v>38201</v>
      </c>
      <c r="C43" s="96">
        <v>0.40625</v>
      </c>
      <c r="D43" s="97">
        <v>26</v>
      </c>
      <c r="E43" s="98">
        <f t="shared" si="2"/>
        <v>0.736242</v>
      </c>
      <c r="F43" s="100">
        <v>117.6</v>
      </c>
      <c r="G43" s="99">
        <v>2</v>
      </c>
      <c r="H43" s="98">
        <v>0.32</v>
      </c>
      <c r="I43" s="100">
        <v>424.8</v>
      </c>
      <c r="J43" s="100">
        <v>127.74596875</v>
      </c>
      <c r="K43" s="100">
        <f t="shared" si="1"/>
        <v>86.58205919999999</v>
      </c>
    </row>
    <row r="44" spans="1:11" ht="12.75">
      <c r="A44" s="93" t="s">
        <v>1168</v>
      </c>
      <c r="B44" s="95">
        <v>38208</v>
      </c>
      <c r="C44" s="96">
        <v>0.4930555555555556</v>
      </c>
      <c r="D44" s="97">
        <v>21</v>
      </c>
      <c r="E44" s="98">
        <f t="shared" si="2"/>
        <v>0.594657</v>
      </c>
      <c r="F44" s="100">
        <v>147.2</v>
      </c>
      <c r="G44" s="99">
        <v>2.4</v>
      </c>
      <c r="H44" s="98">
        <v>0.4</v>
      </c>
      <c r="I44" s="100">
        <v>531.2</v>
      </c>
      <c r="J44" s="100">
        <v>230.06985416666666</v>
      </c>
      <c r="K44" s="100">
        <f t="shared" si="1"/>
        <v>87.5335104</v>
      </c>
    </row>
    <row r="45" spans="1:11" ht="12.75">
      <c r="A45" s="93" t="s">
        <v>1169</v>
      </c>
      <c r="B45" s="95">
        <v>38215</v>
      </c>
      <c r="C45" s="96">
        <v>0.3854166666666667</v>
      </c>
      <c r="D45" s="97">
        <v>19</v>
      </c>
      <c r="E45" s="98">
        <f t="shared" si="2"/>
        <v>0.5380229999999999</v>
      </c>
      <c r="F45" s="100">
        <v>152.8</v>
      </c>
      <c r="G45" s="99">
        <v>2.32</v>
      </c>
      <c r="H45" s="98">
        <v>0.4</v>
      </c>
      <c r="I45" s="100">
        <v>550.4</v>
      </c>
      <c r="J45" s="100">
        <v>157.61691666666667</v>
      </c>
      <c r="K45" s="100">
        <f t="shared" si="1"/>
        <v>82.20991439999999</v>
      </c>
    </row>
    <row r="46" spans="1:11" ht="12.75">
      <c r="A46" s="93" t="s">
        <v>1170</v>
      </c>
      <c r="B46" s="95">
        <v>38222</v>
      </c>
      <c r="C46" s="96">
        <v>0.40625</v>
      </c>
      <c r="D46" s="97">
        <v>24</v>
      </c>
      <c r="E46" s="98">
        <f t="shared" si="2"/>
        <v>0.679608</v>
      </c>
      <c r="F46" s="100">
        <v>119.2</v>
      </c>
      <c r="G46" s="99">
        <v>2.08</v>
      </c>
      <c r="H46" s="98">
        <v>0.32</v>
      </c>
      <c r="I46" s="100">
        <v>432.8</v>
      </c>
      <c r="J46" s="100">
        <v>149.99029166666665</v>
      </c>
      <c r="K46" s="100">
        <f t="shared" si="1"/>
        <v>81.0092736</v>
      </c>
    </row>
    <row r="47" spans="1:11" ht="12.75">
      <c r="A47" s="93" t="s">
        <v>1171</v>
      </c>
      <c r="B47" s="95">
        <v>38229</v>
      </c>
      <c r="C47" s="96">
        <v>0.40277777777777773</v>
      </c>
      <c r="D47" s="97">
        <v>24</v>
      </c>
      <c r="E47" s="98">
        <f t="shared" si="2"/>
        <v>0.679608</v>
      </c>
      <c r="F47" s="100">
        <v>122.4</v>
      </c>
      <c r="G47" s="99">
        <v>2.08</v>
      </c>
      <c r="H47" s="98">
        <v>0.32</v>
      </c>
      <c r="I47" s="100">
        <v>442.4</v>
      </c>
      <c r="J47" s="100">
        <v>148.08363541666668</v>
      </c>
      <c r="K47" s="100">
        <f t="shared" si="1"/>
        <v>83.18401920000001</v>
      </c>
    </row>
    <row r="48" spans="1:11" ht="12.75">
      <c r="A48" s="93" t="s">
        <v>1172</v>
      </c>
      <c r="B48" s="95">
        <v>38237</v>
      </c>
      <c r="C48" s="96">
        <v>0.3958333333333333</v>
      </c>
      <c r="D48" s="97">
        <v>24</v>
      </c>
      <c r="E48" s="98">
        <f t="shared" si="2"/>
        <v>0.679608</v>
      </c>
      <c r="F48" s="100">
        <v>124</v>
      </c>
      <c r="G48" s="99">
        <v>2.16</v>
      </c>
      <c r="H48" s="98">
        <v>0.32</v>
      </c>
      <c r="I48" s="100">
        <v>448.8</v>
      </c>
      <c r="J48" s="100">
        <v>152.5325</v>
      </c>
      <c r="K48" s="100">
        <f t="shared" si="1"/>
        <v>84.27139199999999</v>
      </c>
    </row>
    <row r="49" spans="1:11" ht="12.75">
      <c r="A49" s="93" t="s">
        <v>1173</v>
      </c>
      <c r="B49" s="95">
        <v>38243</v>
      </c>
      <c r="C49" s="96">
        <v>0.4375</v>
      </c>
      <c r="D49" s="97">
        <v>24</v>
      </c>
      <c r="E49" s="98">
        <f t="shared" si="2"/>
        <v>0.679608</v>
      </c>
      <c r="F49" s="100">
        <v>124.8</v>
      </c>
      <c r="G49" s="99">
        <v>2.08</v>
      </c>
      <c r="H49" s="98">
        <v>0.32</v>
      </c>
      <c r="I49" s="100">
        <v>452</v>
      </c>
      <c r="J49" s="100">
        <v>122.34377604166667</v>
      </c>
      <c r="K49" s="100">
        <f t="shared" si="1"/>
        <v>84.81507839999999</v>
      </c>
    </row>
    <row r="50" spans="1:11" ht="12.75">
      <c r="A50" s="94" t="s">
        <v>1174</v>
      </c>
      <c r="B50" s="102">
        <v>38250</v>
      </c>
      <c r="C50" s="103">
        <v>0.4618055555555556</v>
      </c>
      <c r="D50" s="104">
        <v>24</v>
      </c>
      <c r="E50" s="98">
        <f t="shared" si="2"/>
        <v>0.679608</v>
      </c>
      <c r="F50" s="90">
        <v>120</v>
      </c>
      <c r="G50" s="105">
        <v>2.24</v>
      </c>
      <c r="H50" s="91">
        <v>0.32</v>
      </c>
      <c r="I50" s="90">
        <v>436</v>
      </c>
      <c r="J50" s="100">
        <v>189.39452083333336</v>
      </c>
      <c r="K50" s="100">
        <f t="shared" si="1"/>
        <v>81.55296</v>
      </c>
    </row>
    <row r="51" spans="1:11" ht="12.75">
      <c r="A51" s="92" t="s">
        <v>973</v>
      </c>
      <c r="B51" s="102"/>
      <c r="C51" s="103"/>
      <c r="D51" s="104"/>
      <c r="E51" s="98"/>
      <c r="F51" s="90"/>
      <c r="G51" s="105"/>
      <c r="H51" s="91"/>
      <c r="I51" s="90"/>
      <c r="J51" s="90"/>
      <c r="K51" s="100"/>
    </row>
    <row r="52" spans="1:11" ht="15" customHeight="1">
      <c r="A52" s="93" t="s">
        <v>824</v>
      </c>
      <c r="B52" s="95" t="str">
        <f aca="true" t="shared" si="3" ref="B52:B87">MID(A52,4,2)&amp;"/"&amp;MID(A52,6,2)&amp;"/"&amp;MID(A52,8,2)</f>
        <v>02/02/05</v>
      </c>
      <c r="C52" s="96">
        <v>0.5131944444444444</v>
      </c>
      <c r="D52" s="97">
        <v>22</v>
      </c>
      <c r="E52" s="98">
        <f aca="true" t="shared" si="4" ref="E52:E115">D52*0.02831685</f>
        <v>0.6229707</v>
      </c>
      <c r="F52" s="90">
        <v>141.6</v>
      </c>
      <c r="G52" s="99">
        <v>2.08</v>
      </c>
      <c r="H52" s="98">
        <v>0.4</v>
      </c>
      <c r="I52" s="100">
        <v>513.6</v>
      </c>
      <c r="J52" s="100">
        <v>108.32985260416667</v>
      </c>
      <c r="K52" s="100">
        <f t="shared" si="1"/>
        <v>88.21265111999999</v>
      </c>
    </row>
    <row r="53" spans="1:11" ht="15" customHeight="1">
      <c r="A53" s="93" t="s">
        <v>825</v>
      </c>
      <c r="B53" s="95" t="str">
        <f t="shared" si="3"/>
        <v>02/16/05</v>
      </c>
      <c r="C53" s="96">
        <v>0.611111111111111</v>
      </c>
      <c r="D53" s="97">
        <v>23</v>
      </c>
      <c r="E53" s="98">
        <f t="shared" si="4"/>
        <v>0.65128755</v>
      </c>
      <c r="F53" s="90">
        <v>137.6</v>
      </c>
      <c r="G53" s="99">
        <v>2.08</v>
      </c>
      <c r="H53" s="98">
        <v>0.4</v>
      </c>
      <c r="I53" s="100">
        <v>496</v>
      </c>
      <c r="J53" s="100">
        <v>110.42717447916667</v>
      </c>
      <c r="K53" s="100">
        <f t="shared" si="1"/>
        <v>89.61716688</v>
      </c>
    </row>
    <row r="54" spans="1:11" ht="15" customHeight="1">
      <c r="A54" s="93" t="s">
        <v>826</v>
      </c>
      <c r="B54" s="95" t="str">
        <f t="shared" si="3"/>
        <v>03/08/05</v>
      </c>
      <c r="C54" s="96">
        <v>0.40347222222222223</v>
      </c>
      <c r="D54" s="97">
        <v>23</v>
      </c>
      <c r="E54" s="98">
        <f t="shared" si="4"/>
        <v>0.65128755</v>
      </c>
      <c r="F54" s="90">
        <v>136.8</v>
      </c>
      <c r="G54" s="99">
        <v>2.16</v>
      </c>
      <c r="H54" s="98">
        <v>0.4</v>
      </c>
      <c r="I54" s="100">
        <v>495.2</v>
      </c>
      <c r="J54" s="100">
        <v>139.98034635416667</v>
      </c>
      <c r="K54" s="100">
        <f t="shared" si="1"/>
        <v>89.09613684000001</v>
      </c>
    </row>
    <row r="55" spans="1:11" ht="15" customHeight="1">
      <c r="A55" s="93" t="s">
        <v>827</v>
      </c>
      <c r="B55" s="95" t="str">
        <f t="shared" si="3"/>
        <v>03/21/05</v>
      </c>
      <c r="C55" s="96">
        <v>0.638888888888889</v>
      </c>
      <c r="D55" s="97">
        <v>23</v>
      </c>
      <c r="E55" s="98">
        <f t="shared" si="4"/>
        <v>0.65128755</v>
      </c>
      <c r="F55" s="90">
        <v>137.6</v>
      </c>
      <c r="G55" s="99">
        <v>2.08</v>
      </c>
      <c r="H55" s="98">
        <v>0.4</v>
      </c>
      <c r="I55" s="100">
        <v>497.6</v>
      </c>
      <c r="J55" s="100">
        <v>110.99917135416665</v>
      </c>
      <c r="K55" s="100">
        <f t="shared" si="1"/>
        <v>89.61716688</v>
      </c>
    </row>
    <row r="56" spans="1:11" ht="15" customHeight="1">
      <c r="A56" s="93" t="s">
        <v>828</v>
      </c>
      <c r="B56" s="95" t="str">
        <f t="shared" si="3"/>
        <v>04/11/05</v>
      </c>
      <c r="C56" s="96">
        <v>0.6472222222222223</v>
      </c>
      <c r="D56" s="97">
        <v>23</v>
      </c>
      <c r="E56" s="98">
        <f t="shared" si="4"/>
        <v>0.65128755</v>
      </c>
      <c r="F56" s="90">
        <v>133.6</v>
      </c>
      <c r="G56" s="99">
        <v>2.08</v>
      </c>
      <c r="H56" s="98">
        <v>0.32</v>
      </c>
      <c r="I56" s="100">
        <v>484</v>
      </c>
      <c r="J56" s="100">
        <v>105.02498177083329</v>
      </c>
      <c r="K56" s="100">
        <f t="shared" si="1"/>
        <v>87.01201668</v>
      </c>
    </row>
    <row r="57" spans="1:11" ht="15" customHeight="1">
      <c r="A57" s="93" t="s">
        <v>829</v>
      </c>
      <c r="B57" s="95" t="str">
        <f t="shared" si="3"/>
        <v>04/25/05</v>
      </c>
      <c r="C57" s="96" t="s">
        <v>1549</v>
      </c>
      <c r="D57" s="97">
        <v>24</v>
      </c>
      <c r="E57" s="98">
        <f t="shared" si="4"/>
        <v>0.6796044</v>
      </c>
      <c r="F57" s="90">
        <v>130.4</v>
      </c>
      <c r="G57" s="99">
        <v>2.08</v>
      </c>
      <c r="H57" s="98">
        <v>0.32</v>
      </c>
      <c r="I57" s="100">
        <v>472</v>
      </c>
      <c r="J57" s="100">
        <v>138.23257812500003</v>
      </c>
      <c r="K57" s="100">
        <f t="shared" si="1"/>
        <v>88.62041376</v>
      </c>
    </row>
    <row r="58" spans="1:11" ht="15" customHeight="1">
      <c r="A58" s="93" t="s">
        <v>830</v>
      </c>
      <c r="B58" s="95" t="str">
        <f t="shared" si="3"/>
        <v>05/17/05</v>
      </c>
      <c r="C58" s="96">
        <v>0.3958333333333333</v>
      </c>
      <c r="D58" s="97">
        <v>29</v>
      </c>
      <c r="E58" s="98">
        <f t="shared" si="4"/>
        <v>0.8211886500000001</v>
      </c>
      <c r="F58" s="90">
        <v>106.4</v>
      </c>
      <c r="G58" s="99">
        <v>2.08</v>
      </c>
      <c r="H58" s="98">
        <v>0.24</v>
      </c>
      <c r="I58" s="100">
        <v>388.8</v>
      </c>
      <c r="J58" s="100">
        <v>244.52866406249998</v>
      </c>
      <c r="K58" s="100">
        <f t="shared" si="1"/>
        <v>87.37447236000001</v>
      </c>
    </row>
    <row r="59" spans="1:11" ht="15" customHeight="1">
      <c r="A59" s="93" t="s">
        <v>831</v>
      </c>
      <c r="B59" s="95" t="str">
        <f t="shared" si="3"/>
        <v>05/23/05</v>
      </c>
      <c r="C59" s="96">
        <v>0.625</v>
      </c>
      <c r="D59" s="97">
        <v>29</v>
      </c>
      <c r="E59" s="98">
        <f t="shared" si="4"/>
        <v>0.8211886500000001</v>
      </c>
      <c r="F59" s="90">
        <v>106.4</v>
      </c>
      <c r="G59" s="99">
        <v>2.08</v>
      </c>
      <c r="H59" s="98">
        <v>0.32</v>
      </c>
      <c r="I59" s="100">
        <v>390.4</v>
      </c>
      <c r="J59" s="100">
        <v>230.70540624999998</v>
      </c>
      <c r="K59" s="100">
        <f t="shared" si="1"/>
        <v>87.37447236000001</v>
      </c>
    </row>
    <row r="60" spans="1:11" ht="15" customHeight="1">
      <c r="A60" s="93" t="s">
        <v>609</v>
      </c>
      <c r="B60" s="95" t="str">
        <f t="shared" si="3"/>
        <v>05/31/05</v>
      </c>
      <c r="C60" s="96">
        <v>0.5840277777777778</v>
      </c>
      <c r="D60" s="97">
        <v>28</v>
      </c>
      <c r="E60" s="98">
        <f t="shared" si="4"/>
        <v>0.7928718</v>
      </c>
      <c r="F60" s="90">
        <v>108.8</v>
      </c>
      <c r="G60" s="99">
        <v>2.08</v>
      </c>
      <c r="H60" s="98">
        <v>0.32</v>
      </c>
      <c r="I60" s="100">
        <v>397.6</v>
      </c>
      <c r="J60" s="100">
        <v>229.1165260416667</v>
      </c>
      <c r="K60" s="100">
        <f t="shared" si="1"/>
        <v>86.26445183999999</v>
      </c>
    </row>
    <row r="61" spans="1:11" ht="15" customHeight="1">
      <c r="A61" s="93" t="s">
        <v>610</v>
      </c>
      <c r="B61" s="95" t="str">
        <f t="shared" si="3"/>
        <v>06/06/05</v>
      </c>
      <c r="C61" s="96">
        <v>0.5756944444444444</v>
      </c>
      <c r="D61" s="97">
        <v>29</v>
      </c>
      <c r="E61" s="98">
        <f t="shared" si="4"/>
        <v>0.8211886500000001</v>
      </c>
      <c r="F61" s="90">
        <v>105.6</v>
      </c>
      <c r="G61" s="99">
        <v>2</v>
      </c>
      <c r="H61" s="98">
        <v>0.24</v>
      </c>
      <c r="I61" s="100">
        <v>386.4</v>
      </c>
      <c r="J61" s="100">
        <v>233.08872656250003</v>
      </c>
      <c r="K61" s="100">
        <f t="shared" si="1"/>
        <v>86.71752144</v>
      </c>
    </row>
    <row r="62" spans="1:11" ht="15" customHeight="1">
      <c r="A62" s="93" t="s">
        <v>611</v>
      </c>
      <c r="B62" s="95" t="str">
        <f t="shared" si="3"/>
        <v>06/12/05</v>
      </c>
      <c r="C62" s="96">
        <v>0.375</v>
      </c>
      <c r="D62" s="97">
        <v>29</v>
      </c>
      <c r="E62" s="98">
        <f t="shared" si="4"/>
        <v>0.8211886500000001</v>
      </c>
      <c r="F62" s="90">
        <v>105.6</v>
      </c>
      <c r="G62" s="99">
        <v>2</v>
      </c>
      <c r="H62" s="98">
        <v>0.24</v>
      </c>
      <c r="I62" s="100">
        <v>387.2</v>
      </c>
      <c r="J62" s="100">
        <v>228.95763802083334</v>
      </c>
      <c r="K62" s="100">
        <f t="shared" si="1"/>
        <v>86.71752144</v>
      </c>
    </row>
    <row r="63" spans="1:11" ht="15" customHeight="1">
      <c r="A63" s="93" t="s">
        <v>612</v>
      </c>
      <c r="B63" s="95" t="str">
        <f t="shared" si="3"/>
        <v>06/20/05</v>
      </c>
      <c r="C63" s="96">
        <v>0.49444444444444446</v>
      </c>
      <c r="D63" s="97">
        <v>29</v>
      </c>
      <c r="E63" s="98">
        <f t="shared" si="4"/>
        <v>0.8211886500000001</v>
      </c>
      <c r="F63" s="90">
        <v>108</v>
      </c>
      <c r="G63" s="99">
        <v>2.08</v>
      </c>
      <c r="H63" s="98">
        <v>0.32</v>
      </c>
      <c r="I63" s="100">
        <v>395.2</v>
      </c>
      <c r="J63" s="100">
        <v>234.20094270833334</v>
      </c>
      <c r="K63" s="100">
        <f t="shared" si="1"/>
        <v>88.68837420000001</v>
      </c>
    </row>
    <row r="64" spans="1:11" ht="15" customHeight="1">
      <c r="A64" s="93" t="s">
        <v>613</v>
      </c>
      <c r="B64" s="95" t="str">
        <f t="shared" si="3"/>
        <v>06/29/05</v>
      </c>
      <c r="C64" s="96">
        <v>0.41944444444444445</v>
      </c>
      <c r="D64" s="97">
        <v>28</v>
      </c>
      <c r="E64" s="98">
        <f t="shared" si="4"/>
        <v>0.7928718</v>
      </c>
      <c r="F64" s="90">
        <v>108.8</v>
      </c>
      <c r="G64" s="99">
        <v>2.08</v>
      </c>
      <c r="H64" s="98">
        <v>0.32</v>
      </c>
      <c r="I64" s="100">
        <v>396.8</v>
      </c>
      <c r="J64" s="100">
        <v>240.93779479166668</v>
      </c>
      <c r="K64" s="100">
        <f t="shared" si="1"/>
        <v>86.26445183999999</v>
      </c>
    </row>
    <row r="65" spans="1:11" ht="15" customHeight="1">
      <c r="A65" s="93" t="s">
        <v>614</v>
      </c>
      <c r="B65" s="95" t="str">
        <f t="shared" si="3"/>
        <v>07/05/05</v>
      </c>
      <c r="C65" s="96">
        <v>0.4611111111111111</v>
      </c>
      <c r="D65" s="97">
        <v>28</v>
      </c>
      <c r="E65" s="98">
        <f t="shared" si="4"/>
        <v>0.7928718</v>
      </c>
      <c r="F65" s="90">
        <v>109.6</v>
      </c>
      <c r="G65" s="99">
        <v>2.16</v>
      </c>
      <c r="H65" s="98">
        <v>0.32</v>
      </c>
      <c r="I65" s="100">
        <v>400</v>
      </c>
      <c r="J65" s="100">
        <v>255.8097135416667</v>
      </c>
      <c r="K65" s="100">
        <f t="shared" si="1"/>
        <v>86.89874928</v>
      </c>
    </row>
    <row r="66" spans="1:11" ht="15" customHeight="1">
      <c r="A66" s="93" t="s">
        <v>615</v>
      </c>
      <c r="B66" s="95" t="str">
        <f t="shared" si="3"/>
        <v>07/11/05</v>
      </c>
      <c r="C66" s="96">
        <v>0.42291666666666666</v>
      </c>
      <c r="D66" s="97">
        <v>28</v>
      </c>
      <c r="E66" s="98">
        <f t="shared" si="4"/>
        <v>0.7928718</v>
      </c>
      <c r="F66" s="90">
        <v>109.6</v>
      </c>
      <c r="G66" s="99">
        <v>2.08</v>
      </c>
      <c r="H66" s="98">
        <v>0.32</v>
      </c>
      <c r="I66" s="100">
        <v>399.2</v>
      </c>
      <c r="J66" s="100">
        <v>240.39757552083333</v>
      </c>
      <c r="K66" s="100">
        <f t="shared" si="1"/>
        <v>86.89874928</v>
      </c>
    </row>
    <row r="67" spans="1:11" ht="15" customHeight="1">
      <c r="A67" s="93" t="s">
        <v>616</v>
      </c>
      <c r="B67" s="95" t="str">
        <f t="shared" si="3"/>
        <v>07/20/05</v>
      </c>
      <c r="C67" s="96">
        <v>0.3625</v>
      </c>
      <c r="D67" s="97">
        <v>28</v>
      </c>
      <c r="E67" s="98">
        <f t="shared" si="4"/>
        <v>0.7928718</v>
      </c>
      <c r="F67" s="90">
        <v>113.6</v>
      </c>
      <c r="G67" s="99">
        <v>2.24</v>
      </c>
      <c r="H67" s="98">
        <v>0.32</v>
      </c>
      <c r="I67" s="100">
        <v>412.8</v>
      </c>
      <c r="J67" s="100">
        <v>249.4541927083334</v>
      </c>
      <c r="K67" s="100">
        <f t="shared" si="1"/>
        <v>90.07023647999999</v>
      </c>
    </row>
    <row r="68" spans="1:11" ht="15" customHeight="1">
      <c r="A68" s="93" t="s">
        <v>617</v>
      </c>
      <c r="B68" s="95" t="str">
        <f t="shared" si="3"/>
        <v>07/26/05</v>
      </c>
      <c r="C68" s="96">
        <v>0.6493055555555556</v>
      </c>
      <c r="D68" s="97">
        <v>28</v>
      </c>
      <c r="E68" s="98">
        <f t="shared" si="4"/>
        <v>0.7928718</v>
      </c>
      <c r="F68" s="90">
        <v>113.6</v>
      </c>
      <c r="G68" s="99">
        <v>2.24</v>
      </c>
      <c r="H68" s="98">
        <v>0.32</v>
      </c>
      <c r="I68" s="100">
        <v>413.6</v>
      </c>
      <c r="J68" s="100">
        <v>239.69846822916668</v>
      </c>
      <c r="K68" s="100">
        <f t="shared" si="1"/>
        <v>90.07023647999999</v>
      </c>
    </row>
    <row r="69" spans="1:11" ht="15" customHeight="1">
      <c r="A69" s="93" t="s">
        <v>618</v>
      </c>
      <c r="B69" s="95" t="str">
        <f t="shared" si="3"/>
        <v>08/01/05</v>
      </c>
      <c r="C69" s="96">
        <v>0.40208333333333335</v>
      </c>
      <c r="D69" s="97">
        <v>28</v>
      </c>
      <c r="E69" s="98">
        <f t="shared" si="4"/>
        <v>0.7928718</v>
      </c>
      <c r="F69" s="90">
        <v>115.2</v>
      </c>
      <c r="G69" s="99">
        <v>2.24</v>
      </c>
      <c r="H69" s="98">
        <v>0.32</v>
      </c>
      <c r="I69" s="100">
        <v>419.2</v>
      </c>
      <c r="J69" s="100">
        <v>244.21088802083335</v>
      </c>
      <c r="K69" s="100">
        <f aca="true" t="shared" si="5" ref="K69:K123">E69*F69</f>
        <v>91.33883136</v>
      </c>
    </row>
    <row r="70" spans="1:11" ht="15" customHeight="1">
      <c r="A70" s="93" t="s">
        <v>619</v>
      </c>
      <c r="B70" s="95" t="str">
        <f t="shared" si="3"/>
        <v>08/15/05</v>
      </c>
      <c r="C70" s="96">
        <v>0.34722222222222227</v>
      </c>
      <c r="D70" s="97">
        <v>27</v>
      </c>
      <c r="E70" s="98">
        <f t="shared" si="4"/>
        <v>0.7645549500000001</v>
      </c>
      <c r="F70" s="90">
        <v>120</v>
      </c>
      <c r="G70" s="99">
        <v>2.24</v>
      </c>
      <c r="H70" s="98">
        <v>0.32</v>
      </c>
      <c r="I70" s="100">
        <v>435.2</v>
      </c>
      <c r="J70" s="100">
        <v>227.3687578125</v>
      </c>
      <c r="K70" s="100">
        <f t="shared" si="5"/>
        <v>91.746594</v>
      </c>
    </row>
    <row r="71" spans="1:11" ht="15" customHeight="1">
      <c r="A71" s="93" t="s">
        <v>620</v>
      </c>
      <c r="B71" s="95" t="str">
        <f t="shared" si="3"/>
        <v>08/30/05</v>
      </c>
      <c r="C71" s="96">
        <v>0.717361111111111</v>
      </c>
      <c r="D71" s="97">
        <v>28</v>
      </c>
      <c r="E71" s="98">
        <f t="shared" si="4"/>
        <v>0.7928718</v>
      </c>
      <c r="F71" s="90">
        <v>113.6</v>
      </c>
      <c r="G71" s="99">
        <v>2.24</v>
      </c>
      <c r="H71" s="98">
        <v>0.32</v>
      </c>
      <c r="I71" s="100">
        <v>412.8</v>
      </c>
      <c r="J71" s="100">
        <v>244.52866406249998</v>
      </c>
      <c r="K71" s="100">
        <f t="shared" si="5"/>
        <v>90.07023647999999</v>
      </c>
    </row>
    <row r="72" spans="1:11" ht="15" customHeight="1">
      <c r="A72" s="93" t="s">
        <v>621</v>
      </c>
      <c r="B72" s="95" t="str">
        <f t="shared" si="3"/>
        <v>09/12/05</v>
      </c>
      <c r="C72" s="96">
        <v>0.37847222222222227</v>
      </c>
      <c r="D72" s="97">
        <v>27</v>
      </c>
      <c r="E72" s="98">
        <f t="shared" si="4"/>
        <v>0.7645549500000001</v>
      </c>
      <c r="F72" s="90">
        <v>115.2</v>
      </c>
      <c r="G72" s="99">
        <v>2.32</v>
      </c>
      <c r="H72" s="98">
        <v>0.32</v>
      </c>
      <c r="I72" s="100">
        <v>418.4</v>
      </c>
      <c r="J72" s="100">
        <v>240.07979947916667</v>
      </c>
      <c r="K72" s="100">
        <f t="shared" si="5"/>
        <v>88.07673024</v>
      </c>
    </row>
    <row r="73" spans="1:11" ht="15" customHeight="1">
      <c r="A73" s="93" t="s">
        <v>622</v>
      </c>
      <c r="B73" s="95" t="str">
        <f t="shared" si="3"/>
        <v>09/27/05</v>
      </c>
      <c r="C73" s="96" t="s">
        <v>1549</v>
      </c>
      <c r="D73" s="97">
        <v>27</v>
      </c>
      <c r="E73" s="98">
        <f t="shared" si="4"/>
        <v>0.7645549500000001</v>
      </c>
      <c r="F73" s="90">
        <v>115.2</v>
      </c>
      <c r="G73" s="99">
        <v>2.24</v>
      </c>
      <c r="H73" s="98">
        <v>0.32</v>
      </c>
      <c r="I73" s="100">
        <v>415.2</v>
      </c>
      <c r="J73" s="100">
        <v>228.86230520833334</v>
      </c>
      <c r="K73" s="100">
        <f t="shared" si="5"/>
        <v>88.07673024</v>
      </c>
    </row>
    <row r="74" spans="1:11" ht="15" customHeight="1">
      <c r="A74" s="14" t="s">
        <v>1267</v>
      </c>
      <c r="B74" s="106" t="s">
        <v>768</v>
      </c>
      <c r="D74" s="97"/>
      <c r="E74" s="98"/>
      <c r="F74" s="90"/>
      <c r="G74" s="99"/>
      <c r="H74" s="98"/>
      <c r="I74" s="100"/>
      <c r="J74" s="90"/>
      <c r="K74" s="100"/>
    </row>
    <row r="75" spans="1:11" ht="15" customHeight="1">
      <c r="A75" s="93" t="s">
        <v>623</v>
      </c>
      <c r="B75" s="95" t="str">
        <f t="shared" si="3"/>
        <v>10/24/05</v>
      </c>
      <c r="C75" s="96">
        <v>0.6798611111111111</v>
      </c>
      <c r="D75" s="97">
        <v>27</v>
      </c>
      <c r="E75" s="98">
        <f t="shared" si="4"/>
        <v>0.7645549500000001</v>
      </c>
      <c r="F75" s="90">
        <v>116.8</v>
      </c>
      <c r="G75" s="99">
        <v>2.32</v>
      </c>
      <c r="H75" s="98">
        <v>0.32</v>
      </c>
      <c r="I75" s="100">
        <v>424</v>
      </c>
      <c r="J75" s="100">
        <v>258.98747395833334</v>
      </c>
      <c r="K75" s="100">
        <f t="shared" si="5"/>
        <v>89.30001816000001</v>
      </c>
    </row>
    <row r="76" spans="1:11" ht="15" customHeight="1">
      <c r="A76" s="93" t="s">
        <v>624</v>
      </c>
      <c r="B76" s="95" t="str">
        <f t="shared" si="3"/>
        <v>11/17/05</v>
      </c>
      <c r="C76" s="96">
        <v>0.6694444444444444</v>
      </c>
      <c r="D76" s="97">
        <v>26</v>
      </c>
      <c r="E76" s="98">
        <f t="shared" si="4"/>
        <v>0.7362381</v>
      </c>
      <c r="F76" s="90">
        <v>120.8</v>
      </c>
      <c r="G76" s="99">
        <v>2.48</v>
      </c>
      <c r="H76" s="98">
        <v>0.32</v>
      </c>
      <c r="I76" s="100">
        <v>437.6</v>
      </c>
      <c r="J76" s="100">
        <v>265.978546875</v>
      </c>
      <c r="K76" s="100">
        <f t="shared" si="5"/>
        <v>88.93756248</v>
      </c>
    </row>
    <row r="77" spans="1:11" ht="15" customHeight="1">
      <c r="A77" s="93" t="s">
        <v>625</v>
      </c>
      <c r="B77" s="95" t="str">
        <f t="shared" si="3"/>
        <v>03/07/06</v>
      </c>
      <c r="C77" s="96">
        <v>0.579861111111111</v>
      </c>
      <c r="D77" s="97">
        <v>27</v>
      </c>
      <c r="E77" s="98">
        <f t="shared" si="4"/>
        <v>0.7645549500000001</v>
      </c>
      <c r="F77" s="90">
        <v>122.4</v>
      </c>
      <c r="G77" s="99">
        <v>2.32</v>
      </c>
      <c r="H77" s="98">
        <v>0.32</v>
      </c>
      <c r="I77" s="100">
        <v>444.8</v>
      </c>
      <c r="J77" s="100">
        <v>318.41159375</v>
      </c>
      <c r="K77" s="100">
        <f t="shared" si="5"/>
        <v>93.58152588000002</v>
      </c>
    </row>
    <row r="78" spans="1:11" ht="15" customHeight="1">
      <c r="A78" s="93" t="s">
        <v>626</v>
      </c>
      <c r="B78" s="95" t="str">
        <f t="shared" si="3"/>
        <v>03/21/06</v>
      </c>
      <c r="C78" s="96">
        <v>0.5625</v>
      </c>
      <c r="D78" s="97">
        <v>26</v>
      </c>
      <c r="E78" s="98">
        <f t="shared" si="4"/>
        <v>0.7362381</v>
      </c>
      <c r="F78" s="90">
        <v>124.8</v>
      </c>
      <c r="G78" s="99">
        <v>2.32</v>
      </c>
      <c r="H78" s="98">
        <v>0.32</v>
      </c>
      <c r="I78" s="100">
        <v>451.2</v>
      </c>
      <c r="J78" s="100">
        <v>321.5893541666667</v>
      </c>
      <c r="K78" s="100">
        <f t="shared" si="5"/>
        <v>91.88251488</v>
      </c>
    </row>
    <row r="79" spans="1:11" ht="15" customHeight="1">
      <c r="A79" s="93" t="s">
        <v>627</v>
      </c>
      <c r="B79" s="95" t="str">
        <f t="shared" si="3"/>
        <v>04/12/06</v>
      </c>
      <c r="C79" s="96">
        <v>0.5944444444444444</v>
      </c>
      <c r="D79" s="97">
        <v>28</v>
      </c>
      <c r="E79" s="98">
        <f t="shared" si="4"/>
        <v>0.7928718</v>
      </c>
      <c r="F79" s="90">
        <v>120</v>
      </c>
      <c r="G79" s="99">
        <v>2.32</v>
      </c>
      <c r="H79" s="98">
        <v>0.32</v>
      </c>
      <c r="I79" s="100">
        <v>438.4</v>
      </c>
      <c r="J79" s="100">
        <v>346.69366145833334</v>
      </c>
      <c r="K79" s="100">
        <f t="shared" si="5"/>
        <v>95.144616</v>
      </c>
    </row>
    <row r="80" spans="1:11" ht="15" customHeight="1">
      <c r="A80" s="93" t="s">
        <v>628</v>
      </c>
      <c r="B80" s="95" t="str">
        <f t="shared" si="3"/>
        <v>04/26/06</v>
      </c>
      <c r="C80" s="96">
        <v>0.48194444444444445</v>
      </c>
      <c r="D80" s="97">
        <v>29</v>
      </c>
      <c r="E80" s="98">
        <f t="shared" si="4"/>
        <v>0.8211886500000001</v>
      </c>
      <c r="F80" s="90">
        <v>116</v>
      </c>
      <c r="G80" s="99">
        <v>2.32</v>
      </c>
      <c r="H80" s="98">
        <v>0.32</v>
      </c>
      <c r="I80" s="100">
        <v>428</v>
      </c>
      <c r="J80" s="100">
        <v>367.031328125</v>
      </c>
      <c r="K80" s="100">
        <f t="shared" si="5"/>
        <v>95.25788340000001</v>
      </c>
    </row>
    <row r="81" spans="1:11" ht="15" customHeight="1">
      <c r="A81" s="93" t="s">
        <v>629</v>
      </c>
      <c r="B81" s="95" t="str">
        <f t="shared" si="3"/>
        <v>05/04/06</v>
      </c>
      <c r="C81" s="96">
        <v>0.4166666666666667</v>
      </c>
      <c r="D81" s="97">
        <v>31</v>
      </c>
      <c r="E81" s="98">
        <f t="shared" si="4"/>
        <v>0.8778223500000001</v>
      </c>
      <c r="F81" s="90">
        <v>110.4</v>
      </c>
      <c r="G81" s="99">
        <v>2.24</v>
      </c>
      <c r="H81" s="98">
        <v>0.24</v>
      </c>
      <c r="I81" s="100">
        <v>409.6</v>
      </c>
      <c r="J81" s="100">
        <v>421.68880729166665</v>
      </c>
      <c r="K81" s="100">
        <f t="shared" si="5"/>
        <v>96.91158744000002</v>
      </c>
    </row>
    <row r="82" spans="1:11" ht="15" customHeight="1">
      <c r="A82" s="93" t="s">
        <v>630</v>
      </c>
      <c r="B82" s="95" t="str">
        <f t="shared" si="3"/>
        <v>05/09/06</v>
      </c>
      <c r="C82" s="96">
        <v>0.43472222222222223</v>
      </c>
      <c r="D82" s="97">
        <v>30</v>
      </c>
      <c r="E82" s="98">
        <f t="shared" si="4"/>
        <v>0.8495055</v>
      </c>
      <c r="F82" s="90">
        <v>108.8</v>
      </c>
      <c r="G82" s="99">
        <v>2.16</v>
      </c>
      <c r="H82" s="98">
        <v>0.32</v>
      </c>
      <c r="I82" s="100">
        <v>402.4</v>
      </c>
      <c r="J82" s="100">
        <v>416.9221666666666</v>
      </c>
      <c r="K82" s="100">
        <f t="shared" si="5"/>
        <v>92.4261984</v>
      </c>
    </row>
    <row r="83" spans="1:11" ht="15" customHeight="1">
      <c r="A83" s="93" t="s">
        <v>631</v>
      </c>
      <c r="B83" s="95" t="str">
        <f t="shared" si="3"/>
        <v>05/17/06</v>
      </c>
      <c r="C83" s="96">
        <v>0.4583333333333333</v>
      </c>
      <c r="D83" s="97">
        <v>31</v>
      </c>
      <c r="E83" s="98">
        <f t="shared" si="4"/>
        <v>0.8778223500000001</v>
      </c>
      <c r="F83" s="90">
        <v>105.6</v>
      </c>
      <c r="G83" s="99">
        <v>2.08</v>
      </c>
      <c r="H83" s="98">
        <v>0.24</v>
      </c>
      <c r="I83" s="100">
        <v>388.8</v>
      </c>
      <c r="J83" s="100">
        <v>399.44448437500006</v>
      </c>
      <c r="K83" s="100">
        <f t="shared" si="5"/>
        <v>92.69804016</v>
      </c>
    </row>
    <row r="84" spans="1:11" ht="15" customHeight="1">
      <c r="A84" s="93" t="s">
        <v>632</v>
      </c>
      <c r="B84" s="95" t="str">
        <f t="shared" si="3"/>
        <v>05/23/06</v>
      </c>
      <c r="C84" s="96">
        <v>0.7180555555555556</v>
      </c>
      <c r="D84" s="97">
        <v>31</v>
      </c>
      <c r="E84" s="98">
        <f t="shared" si="4"/>
        <v>0.8778223500000001</v>
      </c>
      <c r="F84" s="90">
        <v>103.2</v>
      </c>
      <c r="G84" s="99">
        <v>2.08</v>
      </c>
      <c r="H84" s="98">
        <v>0.24</v>
      </c>
      <c r="I84" s="100">
        <v>380</v>
      </c>
      <c r="J84" s="100">
        <v>405.16445312499997</v>
      </c>
      <c r="K84" s="100">
        <f t="shared" si="5"/>
        <v>90.59126652</v>
      </c>
    </row>
    <row r="85" spans="1:11" ht="15" customHeight="1">
      <c r="A85" s="93" t="s">
        <v>633</v>
      </c>
      <c r="B85" s="95" t="str">
        <f t="shared" si="3"/>
        <v>05/31/06</v>
      </c>
      <c r="C85" s="96">
        <v>0.7944444444444444</v>
      </c>
      <c r="D85" s="97">
        <v>30</v>
      </c>
      <c r="E85" s="98">
        <f t="shared" si="4"/>
        <v>0.8495055</v>
      </c>
      <c r="F85" s="90">
        <v>108.8</v>
      </c>
      <c r="G85" s="99">
        <v>2.16</v>
      </c>
      <c r="H85" s="98">
        <v>0.24</v>
      </c>
      <c r="I85" s="100">
        <v>400.8</v>
      </c>
      <c r="J85" s="100">
        <v>341.92702083333336</v>
      </c>
      <c r="K85" s="100">
        <f t="shared" si="5"/>
        <v>92.4261984</v>
      </c>
    </row>
    <row r="86" spans="1:11" ht="15" customHeight="1">
      <c r="A86" s="93" t="s">
        <v>634</v>
      </c>
      <c r="B86" s="95" t="str">
        <f t="shared" si="3"/>
        <v>06/07/06</v>
      </c>
      <c r="C86" s="96">
        <v>0.76875</v>
      </c>
      <c r="D86" s="97">
        <v>29</v>
      </c>
      <c r="E86" s="98">
        <f t="shared" si="4"/>
        <v>0.8211886500000001</v>
      </c>
      <c r="F86" s="90">
        <v>108</v>
      </c>
      <c r="G86" s="99">
        <v>2.16</v>
      </c>
      <c r="H86" s="98">
        <v>0.24</v>
      </c>
      <c r="I86" s="100">
        <v>396</v>
      </c>
      <c r="J86" s="100">
        <v>331.1226354166667</v>
      </c>
      <c r="K86" s="100">
        <f t="shared" si="5"/>
        <v>88.68837420000001</v>
      </c>
    </row>
    <row r="87" spans="1:11" ht="15" customHeight="1">
      <c r="A87" s="93" t="s">
        <v>635</v>
      </c>
      <c r="B87" s="95" t="str">
        <f t="shared" si="3"/>
        <v>06/13/06</v>
      </c>
      <c r="C87" s="96">
        <v>0.7027777777777778</v>
      </c>
      <c r="D87" s="97">
        <v>29</v>
      </c>
      <c r="E87" s="98">
        <f t="shared" si="4"/>
        <v>0.8211886500000001</v>
      </c>
      <c r="F87" s="90">
        <v>108</v>
      </c>
      <c r="G87" s="99">
        <v>2.16</v>
      </c>
      <c r="H87" s="98">
        <v>0.24</v>
      </c>
      <c r="I87" s="100">
        <v>396</v>
      </c>
      <c r="J87" s="100">
        <v>334.30039583333337</v>
      </c>
      <c r="K87" s="100">
        <f t="shared" si="5"/>
        <v>88.68837420000001</v>
      </c>
    </row>
    <row r="88" spans="1:12" ht="16.5" customHeight="1">
      <c r="A88" s="93" t="s">
        <v>636</v>
      </c>
      <c r="B88" s="95" t="str">
        <f aca="true" t="shared" si="6" ref="B88:B97">MID(A88,5,2)&amp;"/"&amp;MID(A88,7,2)&amp;"/"&amp;MID(A88,9,2)</f>
        <v>06/21/06</v>
      </c>
      <c r="C88" s="96">
        <v>0.71875</v>
      </c>
      <c r="D88" s="97">
        <v>28</v>
      </c>
      <c r="E88" s="98">
        <f t="shared" si="4"/>
        <v>0.7928718</v>
      </c>
      <c r="F88" s="90">
        <v>109.6</v>
      </c>
      <c r="G88" s="99">
        <v>2</v>
      </c>
      <c r="H88" s="98">
        <v>0.4</v>
      </c>
      <c r="I88" s="100">
        <v>396</v>
      </c>
      <c r="J88" s="100">
        <v>221.80767708333332</v>
      </c>
      <c r="K88" s="100">
        <f t="shared" si="5"/>
        <v>86.89874928</v>
      </c>
      <c r="L88" s="10"/>
    </row>
    <row r="89" spans="1:12" ht="12.75">
      <c r="A89" s="93" t="s">
        <v>637</v>
      </c>
      <c r="B89" s="95" t="str">
        <f t="shared" si="6"/>
        <v>06/27/06</v>
      </c>
      <c r="C89" s="96">
        <v>0.4270833333333333</v>
      </c>
      <c r="D89" s="97">
        <v>28</v>
      </c>
      <c r="E89" s="98">
        <f t="shared" si="4"/>
        <v>0.7928718</v>
      </c>
      <c r="F89" s="90">
        <v>109.6</v>
      </c>
      <c r="G89" s="99">
        <v>2</v>
      </c>
      <c r="H89" s="98">
        <v>0.4</v>
      </c>
      <c r="I89" s="100">
        <v>398.4</v>
      </c>
      <c r="J89" s="100">
        <v>226.89209375000002</v>
      </c>
      <c r="K89" s="100">
        <f t="shared" si="5"/>
        <v>86.89874928</v>
      </c>
      <c r="L89" s="10"/>
    </row>
    <row r="90" spans="1:12" ht="12.75">
      <c r="A90" s="93" t="s">
        <v>638</v>
      </c>
      <c r="B90" s="95" t="str">
        <f t="shared" si="6"/>
        <v>07/03/06</v>
      </c>
      <c r="C90" s="96">
        <v>0.3451388888888889</v>
      </c>
      <c r="D90" s="97">
        <v>28</v>
      </c>
      <c r="E90" s="98">
        <f t="shared" si="4"/>
        <v>0.7928718</v>
      </c>
      <c r="F90" s="90">
        <v>110.4</v>
      </c>
      <c r="G90" s="99">
        <v>2</v>
      </c>
      <c r="H90" s="98">
        <v>0.4</v>
      </c>
      <c r="I90" s="100">
        <v>400</v>
      </c>
      <c r="J90" s="100">
        <v>235.7898229166667</v>
      </c>
      <c r="K90" s="100">
        <f t="shared" si="5"/>
        <v>87.53304672</v>
      </c>
      <c r="L90" s="10"/>
    </row>
    <row r="91" spans="1:12" ht="12.75">
      <c r="A91" s="93" t="s">
        <v>639</v>
      </c>
      <c r="B91" s="95" t="str">
        <f t="shared" si="6"/>
        <v>07/11/06</v>
      </c>
      <c r="C91" s="96">
        <v>0.6555555555555556</v>
      </c>
      <c r="D91" s="97">
        <v>28</v>
      </c>
      <c r="E91" s="98">
        <f t="shared" si="4"/>
        <v>0.7928718</v>
      </c>
      <c r="F91" s="90">
        <v>110.4</v>
      </c>
      <c r="G91" s="99">
        <v>2</v>
      </c>
      <c r="H91" s="98">
        <v>0.4</v>
      </c>
      <c r="I91" s="100">
        <v>400</v>
      </c>
      <c r="J91" s="100">
        <v>247.2297604166667</v>
      </c>
      <c r="K91" s="100">
        <f t="shared" si="5"/>
        <v>87.53304672</v>
      </c>
      <c r="L91" s="10"/>
    </row>
    <row r="92" spans="1:12" ht="12.75">
      <c r="A92" s="93" t="s">
        <v>640</v>
      </c>
      <c r="B92" s="95" t="str">
        <f t="shared" si="6"/>
        <v>07/18/06</v>
      </c>
      <c r="C92" s="96">
        <v>0.7076388888888889</v>
      </c>
      <c r="D92" s="97">
        <v>28</v>
      </c>
      <c r="E92" s="98">
        <f t="shared" si="4"/>
        <v>0.7928718</v>
      </c>
      <c r="F92" s="90">
        <v>112</v>
      </c>
      <c r="G92" s="99">
        <v>2.08</v>
      </c>
      <c r="H92" s="98">
        <v>0.4</v>
      </c>
      <c r="I92" s="100">
        <v>407.2</v>
      </c>
      <c r="J92" s="100">
        <v>239.12647135416668</v>
      </c>
      <c r="K92" s="100">
        <f t="shared" si="5"/>
        <v>88.8016416</v>
      </c>
      <c r="L92" s="10"/>
    </row>
    <row r="93" spans="1:12" ht="12.75">
      <c r="A93" s="93" t="s">
        <v>641</v>
      </c>
      <c r="B93" s="95" t="str">
        <f t="shared" si="6"/>
        <v>07/25/06</v>
      </c>
      <c r="C93" s="96">
        <v>0.7138888888888889</v>
      </c>
      <c r="D93" s="97">
        <v>28</v>
      </c>
      <c r="E93" s="98">
        <f t="shared" si="4"/>
        <v>0.7928718</v>
      </c>
      <c r="F93" s="90">
        <v>110.4</v>
      </c>
      <c r="G93" s="99">
        <v>2.08</v>
      </c>
      <c r="H93" s="98">
        <v>0.4</v>
      </c>
      <c r="I93" s="100">
        <v>400</v>
      </c>
      <c r="J93" s="100">
        <v>253.58528124999998</v>
      </c>
      <c r="K93" s="100">
        <f t="shared" si="5"/>
        <v>87.53304672</v>
      </c>
      <c r="L93" s="10"/>
    </row>
    <row r="94" spans="1:12" ht="12.75">
      <c r="A94" s="93" t="s">
        <v>642</v>
      </c>
      <c r="B94" s="95" t="str">
        <f t="shared" si="6"/>
        <v>08/02/06</v>
      </c>
      <c r="C94" s="96">
        <v>0.6930555555555555</v>
      </c>
      <c r="D94" s="97">
        <v>28</v>
      </c>
      <c r="E94" s="98">
        <f t="shared" si="4"/>
        <v>0.7928718</v>
      </c>
      <c r="F94" s="90">
        <v>111.2</v>
      </c>
      <c r="G94" s="99">
        <v>2.08</v>
      </c>
      <c r="H94" s="98">
        <v>0.4</v>
      </c>
      <c r="I94" s="100">
        <v>400.8</v>
      </c>
      <c r="J94" s="100">
        <v>235.47204687500002</v>
      </c>
      <c r="K94" s="100">
        <f t="shared" si="5"/>
        <v>88.16734416</v>
      </c>
      <c r="L94" s="10"/>
    </row>
    <row r="95" spans="1:12" ht="12.75">
      <c r="A95" s="93" t="s">
        <v>643</v>
      </c>
      <c r="B95" s="95" t="str">
        <f t="shared" si="6"/>
        <v>08/14/06</v>
      </c>
      <c r="C95" s="96">
        <v>0.6979166666666666</v>
      </c>
      <c r="D95" s="97">
        <v>28</v>
      </c>
      <c r="E95" s="98">
        <f t="shared" si="4"/>
        <v>0.7928718</v>
      </c>
      <c r="F95" s="90">
        <v>112</v>
      </c>
      <c r="G95" s="99">
        <v>2.16</v>
      </c>
      <c r="H95" s="98">
        <v>0.32</v>
      </c>
      <c r="I95" s="100">
        <v>404.8</v>
      </c>
      <c r="J95" s="100">
        <v>266.29632291666667</v>
      </c>
      <c r="K95" s="100">
        <f t="shared" si="5"/>
        <v>88.8016416</v>
      </c>
      <c r="L95" s="10"/>
    </row>
    <row r="96" spans="1:12" ht="12.75">
      <c r="A96" s="93" t="s">
        <v>644</v>
      </c>
      <c r="B96" s="95" t="str">
        <f t="shared" si="6"/>
        <v>08/31/06</v>
      </c>
      <c r="C96" s="96">
        <v>0.6666666666666666</v>
      </c>
      <c r="D96" s="97">
        <v>28</v>
      </c>
      <c r="E96" s="98">
        <f t="shared" si="4"/>
        <v>0.7928718</v>
      </c>
      <c r="F96" s="90">
        <v>113.6</v>
      </c>
      <c r="G96" s="99">
        <v>2.24</v>
      </c>
      <c r="H96" s="98">
        <v>0.4</v>
      </c>
      <c r="I96" s="100">
        <v>410.4</v>
      </c>
      <c r="J96" s="100">
        <v>286.3162135416667</v>
      </c>
      <c r="K96" s="100">
        <f t="shared" si="5"/>
        <v>90.07023647999999</v>
      </c>
      <c r="L96" s="10"/>
    </row>
    <row r="97" spans="1:12" ht="12.75">
      <c r="A97" s="93" t="s">
        <v>645</v>
      </c>
      <c r="B97" s="95" t="str">
        <f t="shared" si="6"/>
        <v>09/14/06</v>
      </c>
      <c r="C97" s="96">
        <v>0.6006944444444444</v>
      </c>
      <c r="D97" s="97">
        <v>28</v>
      </c>
      <c r="E97" s="98">
        <f t="shared" si="4"/>
        <v>0.7928718</v>
      </c>
      <c r="F97" s="90">
        <v>116.8</v>
      </c>
      <c r="G97" s="99">
        <v>2.16</v>
      </c>
      <c r="H97" s="98">
        <v>0.4</v>
      </c>
      <c r="I97" s="100">
        <v>421.6</v>
      </c>
      <c r="J97" s="100">
        <v>187.805640625</v>
      </c>
      <c r="K97" s="100">
        <f t="shared" si="5"/>
        <v>92.60742624</v>
      </c>
      <c r="L97" s="10"/>
    </row>
    <row r="98" spans="1:21" ht="12.75">
      <c r="A98" s="14" t="s">
        <v>1268</v>
      </c>
      <c r="B98" s="95"/>
      <c r="C98" s="96"/>
      <c r="D98" s="97"/>
      <c r="E98" s="98"/>
      <c r="F98" s="90"/>
      <c r="G98" s="99"/>
      <c r="H98" s="98"/>
      <c r="I98" s="100"/>
      <c r="J98" s="90"/>
      <c r="K98" s="100"/>
      <c r="L98" s="36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93" t="s">
        <v>646</v>
      </c>
      <c r="B99" s="95">
        <v>38995.572916666664</v>
      </c>
      <c r="C99" s="96">
        <f>B99</f>
        <v>38995.572916666664</v>
      </c>
      <c r="D99" s="97">
        <v>28</v>
      </c>
      <c r="E99" s="98">
        <f t="shared" si="4"/>
        <v>0.7928718</v>
      </c>
      <c r="F99" s="90">
        <v>114.4</v>
      </c>
      <c r="G99" s="99">
        <v>2.4</v>
      </c>
      <c r="H99" s="98">
        <v>0.4</v>
      </c>
      <c r="I99" s="100">
        <v>412.8</v>
      </c>
      <c r="J99" s="100">
        <v>432.17541666666676</v>
      </c>
      <c r="K99" s="100">
        <f t="shared" si="5"/>
        <v>90.70453392</v>
      </c>
      <c r="L99" s="36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4.25">
      <c r="A100" s="93" t="s">
        <v>600</v>
      </c>
      <c r="B100" s="95">
        <v>39008.552083333336</v>
      </c>
      <c r="C100" s="96">
        <f>B100</f>
        <v>39008.552083333336</v>
      </c>
      <c r="D100" s="97">
        <v>28</v>
      </c>
      <c r="E100" s="98">
        <f t="shared" si="4"/>
        <v>0.7928718</v>
      </c>
      <c r="F100" s="100">
        <v>116.8</v>
      </c>
      <c r="G100" s="99">
        <v>2.24</v>
      </c>
      <c r="H100" s="98">
        <v>0.32</v>
      </c>
      <c r="I100" s="100">
        <v>421.6</v>
      </c>
      <c r="J100" s="100">
        <v>241.82756770833336</v>
      </c>
      <c r="K100" s="100">
        <f t="shared" si="5"/>
        <v>92.60742624</v>
      </c>
      <c r="L100" s="36"/>
      <c r="M100" s="62"/>
      <c r="N100" s="62"/>
      <c r="O100" s="62"/>
      <c r="P100" s="62"/>
      <c r="Q100" s="62"/>
      <c r="R100" s="62"/>
      <c r="S100" s="62"/>
      <c r="T100" s="62"/>
      <c r="U100" s="62"/>
    </row>
    <row r="101" spans="1:21" ht="14.25">
      <c r="A101" s="93" t="s">
        <v>601</v>
      </c>
      <c r="B101" s="95">
        <v>39034.447916666664</v>
      </c>
      <c r="C101" s="96">
        <f aca="true" t="shared" si="7" ref="C101:C123">B101</f>
        <v>39034.447916666664</v>
      </c>
      <c r="D101" s="97">
        <v>26</v>
      </c>
      <c r="E101" s="98">
        <f t="shared" si="4"/>
        <v>0.7362381</v>
      </c>
      <c r="F101" s="100">
        <v>124.8</v>
      </c>
      <c r="G101" s="99">
        <v>2.48</v>
      </c>
      <c r="H101" s="98">
        <v>0.32</v>
      </c>
      <c r="I101" s="100">
        <v>452</v>
      </c>
      <c r="J101" s="100">
        <v>348.91809374999997</v>
      </c>
      <c r="K101" s="100">
        <f t="shared" si="5"/>
        <v>91.88251488</v>
      </c>
      <c r="L101" s="36"/>
      <c r="M101" s="62"/>
      <c r="N101" s="62"/>
      <c r="O101" s="62"/>
      <c r="P101" s="62"/>
      <c r="Q101" s="62"/>
      <c r="R101" s="62"/>
      <c r="S101" s="62"/>
      <c r="T101" s="62"/>
      <c r="U101" s="62"/>
    </row>
    <row r="102" spans="1:21" ht="14.25">
      <c r="A102" s="93" t="s">
        <v>602</v>
      </c>
      <c r="B102" s="95">
        <v>39063.364583333336</v>
      </c>
      <c r="C102" s="96">
        <f t="shared" si="7"/>
        <v>39063.364583333336</v>
      </c>
      <c r="D102" s="97">
        <v>26</v>
      </c>
      <c r="E102" s="98">
        <f t="shared" si="4"/>
        <v>0.7362381</v>
      </c>
      <c r="F102" s="100">
        <v>129.6</v>
      </c>
      <c r="G102" s="99">
        <v>2.56</v>
      </c>
      <c r="H102" s="98">
        <v>0.32</v>
      </c>
      <c r="I102" s="100">
        <v>468</v>
      </c>
      <c r="J102" s="100">
        <v>410.7255338541667</v>
      </c>
      <c r="K102" s="100">
        <f t="shared" si="5"/>
        <v>95.41645776</v>
      </c>
      <c r="L102" s="36"/>
      <c r="M102" s="62"/>
      <c r="N102" s="62"/>
      <c r="O102" s="62"/>
      <c r="P102" s="62"/>
      <c r="Q102" s="62"/>
      <c r="R102" s="62"/>
      <c r="S102" s="62"/>
      <c r="T102" s="62"/>
      <c r="U102" s="62"/>
    </row>
    <row r="103" spans="1:21" ht="14.25">
      <c r="A103" s="93" t="s">
        <v>606</v>
      </c>
      <c r="B103" s="95">
        <v>39090.322916666664</v>
      </c>
      <c r="C103" s="96">
        <f t="shared" si="7"/>
        <v>39090.322916666664</v>
      </c>
      <c r="D103" s="97">
        <v>25</v>
      </c>
      <c r="E103" s="98">
        <f t="shared" si="4"/>
        <v>0.7079212500000001</v>
      </c>
      <c r="F103" s="100">
        <v>131.2</v>
      </c>
      <c r="G103" s="99">
        <v>2.56</v>
      </c>
      <c r="H103" s="98">
        <v>0.32</v>
      </c>
      <c r="I103" s="100">
        <v>474.4</v>
      </c>
      <c r="J103" s="100" t="s">
        <v>608</v>
      </c>
      <c r="K103" s="100">
        <f t="shared" si="5"/>
        <v>92.879268</v>
      </c>
      <c r="L103" s="36"/>
      <c r="M103" s="62"/>
      <c r="N103" s="62"/>
      <c r="O103" s="62"/>
      <c r="P103" s="62"/>
      <c r="Q103" s="62"/>
      <c r="R103" s="62"/>
      <c r="S103" s="62"/>
      <c r="T103" s="62"/>
      <c r="U103" s="62"/>
    </row>
    <row r="104" spans="1:21" ht="14.25">
      <c r="A104" s="93" t="s">
        <v>426</v>
      </c>
      <c r="B104" s="95">
        <v>39119.375</v>
      </c>
      <c r="C104" s="96">
        <f t="shared" si="7"/>
        <v>39119.375</v>
      </c>
      <c r="D104" s="97">
        <v>24</v>
      </c>
      <c r="E104" s="98">
        <f t="shared" si="4"/>
        <v>0.6796044</v>
      </c>
      <c r="F104" s="100">
        <v>134.4</v>
      </c>
      <c r="G104" s="99">
        <v>2.24</v>
      </c>
      <c r="H104" s="98">
        <v>0.32</v>
      </c>
      <c r="I104" s="100">
        <v>485.6</v>
      </c>
      <c r="J104" s="100" t="s">
        <v>608</v>
      </c>
      <c r="K104" s="100">
        <f t="shared" si="5"/>
        <v>91.33883136</v>
      </c>
      <c r="L104" s="36"/>
      <c r="M104" s="62"/>
      <c r="N104" s="62"/>
      <c r="O104" s="62"/>
      <c r="P104" s="62"/>
      <c r="Q104" s="62"/>
      <c r="R104" s="62"/>
      <c r="S104" s="62"/>
      <c r="T104" s="62"/>
      <c r="U104" s="62"/>
    </row>
    <row r="105" spans="1:21" ht="14.25">
      <c r="A105" s="93" t="s">
        <v>427</v>
      </c>
      <c r="B105" s="95">
        <v>39147.333333333336</v>
      </c>
      <c r="C105" s="96">
        <f t="shared" si="7"/>
        <v>39147.333333333336</v>
      </c>
      <c r="D105" s="97">
        <v>24</v>
      </c>
      <c r="E105" s="98">
        <f t="shared" si="4"/>
        <v>0.6796044</v>
      </c>
      <c r="F105" s="100">
        <v>134.4</v>
      </c>
      <c r="G105" s="99">
        <v>2.64</v>
      </c>
      <c r="H105" s="98">
        <v>0.32</v>
      </c>
      <c r="I105" s="100">
        <v>486.4</v>
      </c>
      <c r="J105" s="100" t="s">
        <v>608</v>
      </c>
      <c r="K105" s="100">
        <f t="shared" si="5"/>
        <v>91.33883136</v>
      </c>
      <c r="L105" s="36"/>
      <c r="M105" s="62"/>
      <c r="N105" s="62"/>
      <c r="O105" s="62"/>
      <c r="P105" s="62"/>
      <c r="Q105" s="62"/>
      <c r="R105" s="62"/>
      <c r="S105" s="62"/>
      <c r="T105" s="62"/>
      <c r="U105" s="62"/>
    </row>
    <row r="106" spans="1:21" ht="14.25">
      <c r="A106" s="93" t="s">
        <v>428</v>
      </c>
      <c r="B106" s="95">
        <v>39159.604166666664</v>
      </c>
      <c r="C106" s="96">
        <f t="shared" si="7"/>
        <v>39159.604166666664</v>
      </c>
      <c r="D106" s="97">
        <v>24</v>
      </c>
      <c r="E106" s="98">
        <f t="shared" si="4"/>
        <v>0.6796044</v>
      </c>
      <c r="F106" s="100">
        <v>128</v>
      </c>
      <c r="G106" s="99">
        <v>2.56</v>
      </c>
      <c r="H106" s="98">
        <v>0.32</v>
      </c>
      <c r="I106" s="100">
        <v>464.8</v>
      </c>
      <c r="J106" s="100" t="s">
        <v>608</v>
      </c>
      <c r="K106" s="100">
        <f t="shared" si="5"/>
        <v>86.9893632</v>
      </c>
      <c r="L106" s="36"/>
      <c r="M106" s="62"/>
      <c r="N106" s="62"/>
      <c r="O106" s="62"/>
      <c r="P106" s="62"/>
      <c r="Q106" s="62"/>
      <c r="R106" s="62"/>
      <c r="S106" s="62"/>
      <c r="T106" s="62"/>
      <c r="U106" s="62"/>
    </row>
    <row r="107" spans="1:21" ht="14.25">
      <c r="A107" s="93" t="s">
        <v>429</v>
      </c>
      <c r="B107" s="95">
        <v>39170.322916666664</v>
      </c>
      <c r="C107" s="96">
        <f t="shared" si="7"/>
        <v>39170.322916666664</v>
      </c>
      <c r="D107" s="97">
        <v>23</v>
      </c>
      <c r="E107" s="98">
        <f t="shared" si="4"/>
        <v>0.65128755</v>
      </c>
      <c r="F107" s="100">
        <v>136.8</v>
      </c>
      <c r="G107" s="99">
        <v>2.64</v>
      </c>
      <c r="H107" s="98">
        <v>0.32</v>
      </c>
      <c r="I107" s="100">
        <v>496</v>
      </c>
      <c r="J107" s="100" t="s">
        <v>608</v>
      </c>
      <c r="K107" s="100">
        <f t="shared" si="5"/>
        <v>89.09613684000001</v>
      </c>
      <c r="L107" s="36"/>
      <c r="M107" s="62"/>
      <c r="N107" s="62"/>
      <c r="O107" s="62"/>
      <c r="P107" s="62"/>
      <c r="Q107" s="62"/>
      <c r="R107" s="62"/>
      <c r="S107" s="62"/>
      <c r="T107" s="62"/>
      <c r="U107" s="62"/>
    </row>
    <row r="108" spans="1:21" ht="14.25">
      <c r="A108" s="93" t="s">
        <v>430</v>
      </c>
      <c r="B108" s="95">
        <v>39185.572916666664</v>
      </c>
      <c r="C108" s="96">
        <f t="shared" si="7"/>
        <v>39185.572916666664</v>
      </c>
      <c r="D108" s="97">
        <v>25</v>
      </c>
      <c r="E108" s="98">
        <f t="shared" si="4"/>
        <v>0.7079212500000001</v>
      </c>
      <c r="F108" s="100">
        <v>124</v>
      </c>
      <c r="G108" s="99">
        <v>2.48</v>
      </c>
      <c r="H108" s="98">
        <v>0.32</v>
      </c>
      <c r="I108" s="100">
        <v>451.2</v>
      </c>
      <c r="J108" s="100" t="s">
        <v>608</v>
      </c>
      <c r="K108" s="100">
        <f t="shared" si="5"/>
        <v>87.78223500000001</v>
      </c>
      <c r="L108" s="36"/>
      <c r="M108" s="62"/>
      <c r="N108" s="62"/>
      <c r="O108" s="62"/>
      <c r="P108" s="62"/>
      <c r="Q108" s="62"/>
      <c r="R108" s="62"/>
      <c r="S108" s="62"/>
      <c r="T108" s="62"/>
      <c r="U108" s="62"/>
    </row>
    <row r="109" spans="1:21" ht="14.25">
      <c r="A109" s="93" t="s">
        <v>431</v>
      </c>
      <c r="B109" s="95">
        <v>39195.510416666664</v>
      </c>
      <c r="C109" s="96">
        <f t="shared" si="7"/>
        <v>39195.510416666664</v>
      </c>
      <c r="D109" s="97">
        <v>26</v>
      </c>
      <c r="E109" s="98">
        <f t="shared" si="4"/>
        <v>0.7362381</v>
      </c>
      <c r="F109" s="100">
        <v>118.4</v>
      </c>
      <c r="G109" s="99">
        <v>2.32</v>
      </c>
      <c r="H109" s="98">
        <v>0.4</v>
      </c>
      <c r="I109" s="100">
        <v>432.8</v>
      </c>
      <c r="J109" s="100" t="s">
        <v>608</v>
      </c>
      <c r="K109" s="100">
        <f t="shared" si="5"/>
        <v>87.17059104</v>
      </c>
      <c r="L109" s="36"/>
      <c r="M109" s="62"/>
      <c r="N109" s="62"/>
      <c r="O109" s="62"/>
      <c r="P109" s="62"/>
      <c r="Q109" s="62"/>
      <c r="R109" s="62"/>
      <c r="S109" s="62"/>
      <c r="T109" s="62"/>
      <c r="U109" s="62"/>
    </row>
    <row r="110" spans="1:21" ht="14.25">
      <c r="A110" s="93" t="s">
        <v>451</v>
      </c>
      <c r="B110" s="95">
        <v>39202.291666666664</v>
      </c>
      <c r="C110" s="96">
        <f t="shared" si="7"/>
        <v>39202.291666666664</v>
      </c>
      <c r="D110" s="100">
        <v>28</v>
      </c>
      <c r="E110" s="98">
        <f t="shared" si="4"/>
        <v>0.7928718</v>
      </c>
      <c r="F110" s="100">
        <v>107.2</v>
      </c>
      <c r="G110" s="99">
        <v>2.16</v>
      </c>
      <c r="H110" s="98">
        <v>0.24</v>
      </c>
      <c r="I110" s="100">
        <v>393.6</v>
      </c>
      <c r="J110" s="90">
        <v>406.912221354167</v>
      </c>
      <c r="K110" s="100">
        <f t="shared" si="5"/>
        <v>84.99585696</v>
      </c>
      <c r="L110" s="4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1:21" ht="14.25">
      <c r="A111" s="93" t="s">
        <v>452</v>
      </c>
      <c r="B111" s="95">
        <v>39209.666666666664</v>
      </c>
      <c r="C111" s="96">
        <f t="shared" si="7"/>
        <v>39209.666666666664</v>
      </c>
      <c r="D111" s="100">
        <v>28</v>
      </c>
      <c r="E111" s="98">
        <f t="shared" si="4"/>
        <v>0.7928718</v>
      </c>
      <c r="F111" s="100">
        <v>114.4</v>
      </c>
      <c r="G111" s="99">
        <v>2.32</v>
      </c>
      <c r="H111" s="98">
        <v>0.32</v>
      </c>
      <c r="I111" s="100">
        <v>417.6</v>
      </c>
      <c r="J111" s="90">
        <v>374.97572916666667</v>
      </c>
      <c r="K111" s="100">
        <f t="shared" si="5"/>
        <v>90.70453392</v>
      </c>
      <c r="L111" s="42"/>
      <c r="M111" s="62"/>
      <c r="N111" s="62"/>
      <c r="O111" s="62"/>
      <c r="P111" s="62"/>
      <c r="Q111" s="62"/>
      <c r="R111" s="62"/>
      <c r="S111" s="62"/>
      <c r="T111" s="62"/>
      <c r="U111" s="62"/>
    </row>
    <row r="112" spans="1:21" ht="14.25">
      <c r="A112" s="93" t="s">
        <v>453</v>
      </c>
      <c r="B112" s="95">
        <v>39216.395833333336</v>
      </c>
      <c r="C112" s="96">
        <f t="shared" si="7"/>
        <v>39216.395833333336</v>
      </c>
      <c r="D112" s="100">
        <v>28</v>
      </c>
      <c r="E112" s="98">
        <f t="shared" si="4"/>
        <v>0.7928718</v>
      </c>
      <c r="F112" s="100">
        <v>109.6</v>
      </c>
      <c r="G112" s="99">
        <v>2.16</v>
      </c>
      <c r="H112" s="98">
        <v>0.24</v>
      </c>
      <c r="I112" s="100">
        <v>397.6</v>
      </c>
      <c r="J112" s="90">
        <v>420.57659114583333</v>
      </c>
      <c r="K112" s="100">
        <f t="shared" si="5"/>
        <v>86.89874928</v>
      </c>
      <c r="L112" s="42"/>
      <c r="M112" s="62"/>
      <c r="N112" s="62"/>
      <c r="O112" s="62"/>
      <c r="P112" s="62"/>
      <c r="Q112" s="62"/>
      <c r="R112" s="62"/>
      <c r="S112" s="62"/>
      <c r="T112" s="62"/>
      <c r="U112" s="62"/>
    </row>
    <row r="113" spans="1:21" ht="14.25">
      <c r="A113" s="93" t="s">
        <v>454</v>
      </c>
      <c r="B113" s="95">
        <v>39223.71875</v>
      </c>
      <c r="C113" s="96">
        <f t="shared" si="7"/>
        <v>39223.71875</v>
      </c>
      <c r="D113" s="100">
        <v>28</v>
      </c>
      <c r="E113" s="98">
        <f t="shared" si="4"/>
        <v>0.7928718</v>
      </c>
      <c r="F113" s="100">
        <v>107.2</v>
      </c>
      <c r="G113" s="99">
        <v>2.16</v>
      </c>
      <c r="H113" s="98">
        <v>0.24</v>
      </c>
      <c r="I113" s="100">
        <v>389.6</v>
      </c>
      <c r="J113" s="90">
        <v>371.79796875000005</v>
      </c>
      <c r="K113" s="100">
        <f t="shared" si="5"/>
        <v>84.99585696</v>
      </c>
      <c r="L113" s="42"/>
      <c r="M113" s="62"/>
      <c r="N113" s="62"/>
      <c r="O113" s="62"/>
      <c r="P113" s="62"/>
      <c r="Q113" s="62"/>
      <c r="R113" s="62"/>
      <c r="S113" s="62"/>
      <c r="T113" s="62"/>
      <c r="U113" s="62"/>
    </row>
    <row r="114" spans="1:21" ht="14.25">
      <c r="A114" s="93" t="s">
        <v>455</v>
      </c>
      <c r="B114" s="95">
        <v>39232.291666666664</v>
      </c>
      <c r="C114" s="96">
        <f t="shared" si="7"/>
        <v>39232.291666666664</v>
      </c>
      <c r="D114" s="100">
        <v>27</v>
      </c>
      <c r="E114" s="98">
        <f t="shared" si="4"/>
        <v>0.7645549500000001</v>
      </c>
      <c r="F114" s="100">
        <v>111.2</v>
      </c>
      <c r="G114" s="99">
        <v>2.24</v>
      </c>
      <c r="H114" s="98">
        <v>0.32</v>
      </c>
      <c r="I114" s="100">
        <v>404.8</v>
      </c>
      <c r="J114" s="90">
        <v>435.0354010416667</v>
      </c>
      <c r="K114" s="100">
        <f t="shared" si="5"/>
        <v>85.01851044000001</v>
      </c>
      <c r="L114" s="42"/>
      <c r="M114" s="62"/>
      <c r="N114" s="62"/>
      <c r="O114" s="62"/>
      <c r="P114" s="62"/>
      <c r="Q114" s="62"/>
      <c r="R114" s="62"/>
      <c r="S114" s="62"/>
      <c r="T114" s="62"/>
      <c r="U114" s="62"/>
    </row>
    <row r="115" spans="1:21" ht="14.25">
      <c r="A115" s="93" t="s">
        <v>456</v>
      </c>
      <c r="B115" s="95">
        <v>39237.604166666664</v>
      </c>
      <c r="C115" s="96">
        <f t="shared" si="7"/>
        <v>39237.604166666664</v>
      </c>
      <c r="D115" s="100">
        <v>27</v>
      </c>
      <c r="E115" s="98">
        <f t="shared" si="4"/>
        <v>0.7645549500000001</v>
      </c>
      <c r="F115" s="100">
        <v>110.4</v>
      </c>
      <c r="G115" s="99">
        <v>2.24</v>
      </c>
      <c r="H115" s="98">
        <v>0.24</v>
      </c>
      <c r="I115" s="100">
        <v>399.2</v>
      </c>
      <c r="J115" s="90">
        <v>424.38990364583333</v>
      </c>
      <c r="K115" s="100">
        <f t="shared" si="5"/>
        <v>84.40686648</v>
      </c>
      <c r="L115" s="42"/>
      <c r="M115" s="62"/>
      <c r="N115" s="62"/>
      <c r="O115" s="62"/>
      <c r="P115" s="62"/>
      <c r="Q115" s="62"/>
      <c r="R115" s="62"/>
      <c r="S115" s="62"/>
      <c r="T115" s="62"/>
      <c r="U115" s="62"/>
    </row>
    <row r="116" spans="1:21" ht="14.25">
      <c r="A116" s="93" t="s">
        <v>457</v>
      </c>
      <c r="B116" s="95">
        <v>39244.28125</v>
      </c>
      <c r="C116" s="96">
        <f t="shared" si="7"/>
        <v>39244.28125</v>
      </c>
      <c r="D116" s="100">
        <v>27</v>
      </c>
      <c r="E116" s="98">
        <f aca="true" t="shared" si="8" ref="E116:E123">D116*0.02831685</f>
        <v>0.7645549500000001</v>
      </c>
      <c r="F116" s="100">
        <v>110.4</v>
      </c>
      <c r="G116" s="99">
        <v>2.24</v>
      </c>
      <c r="H116" s="98">
        <v>0.24</v>
      </c>
      <c r="I116" s="100">
        <v>400</v>
      </c>
      <c r="J116" s="90">
        <v>433.6054088541666</v>
      </c>
      <c r="K116" s="100">
        <f t="shared" si="5"/>
        <v>84.40686648</v>
      </c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:21" ht="14.25">
      <c r="A117" s="93" t="s">
        <v>541</v>
      </c>
      <c r="B117" s="95">
        <v>39261.489583333336</v>
      </c>
      <c r="C117" s="96">
        <f t="shared" si="7"/>
        <v>39261.489583333336</v>
      </c>
      <c r="D117" s="100">
        <v>27</v>
      </c>
      <c r="E117" s="98">
        <f t="shared" si="8"/>
        <v>0.7645549500000001</v>
      </c>
      <c r="F117" s="100">
        <v>112.8</v>
      </c>
      <c r="G117" s="99">
        <v>2.16</v>
      </c>
      <c r="H117" s="98">
        <v>0.24</v>
      </c>
      <c r="I117" s="100">
        <v>407.2</v>
      </c>
      <c r="J117" s="22">
        <v>444.88645833333334</v>
      </c>
      <c r="K117" s="100">
        <f t="shared" si="5"/>
        <v>86.24179836</v>
      </c>
      <c r="M117" s="62"/>
      <c r="N117" s="62"/>
      <c r="O117" s="62"/>
      <c r="P117" s="62"/>
      <c r="Q117" s="62"/>
      <c r="R117" s="62"/>
      <c r="S117" s="62"/>
      <c r="T117" s="62"/>
      <c r="U117" s="62"/>
    </row>
    <row r="118" spans="1:21" ht="14.25">
      <c r="A118" s="93" t="s">
        <v>542</v>
      </c>
      <c r="B118" s="95">
        <v>39273.479166666664</v>
      </c>
      <c r="C118" s="96">
        <f t="shared" si="7"/>
        <v>39273.479166666664</v>
      </c>
      <c r="D118" s="100">
        <v>27</v>
      </c>
      <c r="E118" s="98">
        <f t="shared" si="8"/>
        <v>0.7645549500000001</v>
      </c>
      <c r="F118" s="100">
        <v>112</v>
      </c>
      <c r="G118" s="99">
        <v>2.24</v>
      </c>
      <c r="H118" s="98">
        <v>0.24</v>
      </c>
      <c r="I118" s="100">
        <v>404.8</v>
      </c>
      <c r="J118" s="100">
        <v>445.8397864583333</v>
      </c>
      <c r="K118" s="100">
        <f t="shared" si="5"/>
        <v>85.63015440000001</v>
      </c>
      <c r="M118" s="62"/>
      <c r="N118" s="62"/>
      <c r="O118" s="62"/>
      <c r="P118" s="62"/>
      <c r="Q118" s="62"/>
      <c r="R118" s="62"/>
      <c r="S118" s="62"/>
      <c r="T118" s="62"/>
      <c r="U118" s="62"/>
    </row>
    <row r="119" spans="1:21" ht="14.25">
      <c r="A119" s="93" t="s">
        <v>543</v>
      </c>
      <c r="B119" s="95">
        <v>39289.59027777778</v>
      </c>
      <c r="C119" s="96">
        <f t="shared" si="7"/>
        <v>39289.59027777778</v>
      </c>
      <c r="D119" s="100">
        <v>28</v>
      </c>
      <c r="E119" s="98">
        <f t="shared" si="8"/>
        <v>0.7928718</v>
      </c>
      <c r="F119" s="100">
        <v>111.2</v>
      </c>
      <c r="G119" s="99">
        <v>2.32</v>
      </c>
      <c r="H119" s="98">
        <v>0.24</v>
      </c>
      <c r="I119" s="100">
        <v>403.2</v>
      </c>
      <c r="J119" s="100">
        <v>435.670953125</v>
      </c>
      <c r="K119" s="100">
        <f t="shared" si="5"/>
        <v>88.16734416</v>
      </c>
      <c r="M119" s="62"/>
      <c r="N119" s="62"/>
      <c r="O119" s="62"/>
      <c r="P119" s="62"/>
      <c r="Q119" s="62"/>
      <c r="R119" s="62"/>
      <c r="S119" s="62"/>
      <c r="T119" s="62"/>
      <c r="U119" s="62"/>
    </row>
    <row r="120" spans="1:21" ht="14.25">
      <c r="A120" s="93" t="s">
        <v>544</v>
      </c>
      <c r="B120" s="95">
        <v>39303.479166666664</v>
      </c>
      <c r="C120" s="96">
        <f t="shared" si="7"/>
        <v>39303.479166666664</v>
      </c>
      <c r="D120" s="100">
        <v>27</v>
      </c>
      <c r="E120" s="98">
        <f t="shared" si="8"/>
        <v>0.7645549500000001</v>
      </c>
      <c r="F120" s="100">
        <v>116.8</v>
      </c>
      <c r="G120" s="99">
        <v>2.48</v>
      </c>
      <c r="H120" s="98">
        <v>0.24</v>
      </c>
      <c r="I120" s="100">
        <v>422.4</v>
      </c>
      <c r="J120" s="100">
        <v>445.9986744791667</v>
      </c>
      <c r="K120" s="100">
        <f t="shared" si="5"/>
        <v>89.30001816000001</v>
      </c>
      <c r="M120" s="62"/>
      <c r="N120" s="62"/>
      <c r="O120" s="62"/>
      <c r="P120" s="62"/>
      <c r="Q120" s="62"/>
      <c r="R120" s="62"/>
      <c r="S120" s="62"/>
      <c r="T120" s="62"/>
      <c r="U120" s="62"/>
    </row>
    <row r="121" spans="1:21" ht="14.25">
      <c r="A121" s="93" t="s">
        <v>545</v>
      </c>
      <c r="B121" s="95">
        <v>39316.3125</v>
      </c>
      <c r="C121" s="96">
        <f t="shared" si="7"/>
        <v>39316.3125</v>
      </c>
      <c r="D121" s="100">
        <v>27</v>
      </c>
      <c r="E121" s="98">
        <f t="shared" si="8"/>
        <v>0.7645549500000001</v>
      </c>
      <c r="F121" s="100">
        <v>115.2</v>
      </c>
      <c r="G121" s="99">
        <v>2.48</v>
      </c>
      <c r="H121" s="98">
        <v>0.24</v>
      </c>
      <c r="I121" s="100">
        <v>414.4</v>
      </c>
      <c r="J121" s="100">
        <v>443.9331302083334</v>
      </c>
      <c r="K121" s="100">
        <f t="shared" si="5"/>
        <v>88.07673024</v>
      </c>
      <c r="M121" s="62"/>
      <c r="N121" s="62"/>
      <c r="O121" s="62"/>
      <c r="P121" s="62"/>
      <c r="Q121" s="62"/>
      <c r="R121" s="62"/>
      <c r="S121" s="62"/>
      <c r="T121" s="62"/>
      <c r="U121" s="62"/>
    </row>
    <row r="122" spans="1:21" ht="14.25">
      <c r="A122" s="93" t="s">
        <v>546</v>
      </c>
      <c r="B122" s="95">
        <v>39330.510416666664</v>
      </c>
      <c r="C122" s="96">
        <f t="shared" si="7"/>
        <v>39330.510416666664</v>
      </c>
      <c r="D122" s="100">
        <v>27</v>
      </c>
      <c r="E122" s="98">
        <f t="shared" si="8"/>
        <v>0.7645549500000001</v>
      </c>
      <c r="F122" s="100">
        <v>114.4</v>
      </c>
      <c r="G122" s="99">
        <v>2.4</v>
      </c>
      <c r="H122" s="98">
        <v>0.24</v>
      </c>
      <c r="I122" s="100">
        <v>412.8</v>
      </c>
      <c r="J122" s="100">
        <v>459.6630442708334</v>
      </c>
      <c r="K122" s="100">
        <f t="shared" si="5"/>
        <v>87.46508628000001</v>
      </c>
      <c r="M122" s="62"/>
      <c r="N122" s="62"/>
      <c r="O122" s="62"/>
      <c r="P122" s="62"/>
      <c r="Q122" s="62"/>
      <c r="R122" s="62"/>
      <c r="S122" s="62"/>
      <c r="T122" s="62"/>
      <c r="U122" s="62"/>
    </row>
    <row r="123" spans="1:21" ht="14.25">
      <c r="A123" s="93" t="s">
        <v>547</v>
      </c>
      <c r="B123" s="95">
        <v>39342.5625</v>
      </c>
      <c r="C123" s="96">
        <f t="shared" si="7"/>
        <v>39342.5625</v>
      </c>
      <c r="D123" s="100">
        <v>26</v>
      </c>
      <c r="E123" s="98">
        <f t="shared" si="8"/>
        <v>0.7362381</v>
      </c>
      <c r="F123" s="100">
        <v>118.4</v>
      </c>
      <c r="G123" s="99">
        <v>2.48</v>
      </c>
      <c r="H123" s="98">
        <v>0.24</v>
      </c>
      <c r="I123" s="100">
        <v>426.4</v>
      </c>
      <c r="J123" s="100">
        <v>466.9718932291667</v>
      </c>
      <c r="K123" s="100">
        <f t="shared" si="5"/>
        <v>87.17059104</v>
      </c>
      <c r="M123" s="62"/>
      <c r="N123" s="62"/>
      <c r="O123" s="62"/>
      <c r="P123" s="62"/>
      <c r="Q123" s="62"/>
      <c r="R123" s="62"/>
      <c r="S123" s="62"/>
      <c r="T123" s="62"/>
      <c r="U123" s="62"/>
    </row>
    <row r="124" spans="1:11" ht="12.75">
      <c r="A124" s="14" t="s">
        <v>384</v>
      </c>
      <c r="B124" s="95"/>
      <c r="C124" s="96"/>
      <c r="D124" s="97"/>
      <c r="E124" s="98"/>
      <c r="F124" s="100"/>
      <c r="G124" s="99"/>
      <c r="H124" s="98"/>
      <c r="I124" s="100"/>
      <c r="J124" s="97"/>
      <c r="K124" s="97"/>
    </row>
    <row r="125" spans="1:11" s="24" customFormat="1" ht="12.75">
      <c r="A125" s="94" t="s">
        <v>257</v>
      </c>
      <c r="B125" s="102">
        <v>39356.427083333336</v>
      </c>
      <c r="C125" s="103">
        <f aca="true" t="shared" si="9" ref="C125:C139">B125</f>
        <v>39356.427083333336</v>
      </c>
      <c r="D125" s="90">
        <v>27</v>
      </c>
      <c r="E125" s="91">
        <f aca="true" t="shared" si="10" ref="E125:E153">D125*0.02831685</f>
        <v>0.7645549500000001</v>
      </c>
      <c r="F125" s="90">
        <f>14.9*8</f>
        <v>119.2</v>
      </c>
      <c r="G125" s="105">
        <f>0.31*8</f>
        <v>2.48</v>
      </c>
      <c r="H125" s="91">
        <f>0.03*8</f>
        <v>0.24</v>
      </c>
      <c r="I125" s="90">
        <f>53.6*8</f>
        <v>428.8</v>
      </c>
      <c r="J125" s="90">
        <v>463.63524479166665</v>
      </c>
      <c r="K125" s="90">
        <f aca="true" t="shared" si="11" ref="K125:K153">E125*F125</f>
        <v>91.13495004</v>
      </c>
    </row>
    <row r="126" spans="1:11" s="24" customFormat="1" ht="12.75">
      <c r="A126" s="94" t="s">
        <v>258</v>
      </c>
      <c r="B126" s="102">
        <v>39372.385416666664</v>
      </c>
      <c r="C126" s="103">
        <f t="shared" si="9"/>
        <v>39372.385416666664</v>
      </c>
      <c r="D126" s="90">
        <v>27</v>
      </c>
      <c r="E126" s="91">
        <f t="shared" si="10"/>
        <v>0.7645549500000001</v>
      </c>
      <c r="F126" s="90">
        <f>14.6*8</f>
        <v>116.8</v>
      </c>
      <c r="G126" s="105">
        <f>0.27*8</f>
        <v>2.16</v>
      </c>
      <c r="H126" s="91">
        <f>0.04*8</f>
        <v>0.32</v>
      </c>
      <c r="I126" s="90">
        <f>52.9*8</f>
        <v>423.2</v>
      </c>
      <c r="J126" s="104">
        <v>308</v>
      </c>
      <c r="K126" s="90">
        <f t="shared" si="11"/>
        <v>89.30001816000001</v>
      </c>
    </row>
    <row r="127" spans="1:11" s="24" customFormat="1" ht="12.75">
      <c r="A127" s="94" t="s">
        <v>259</v>
      </c>
      <c r="B127" s="102">
        <v>39391.322916666664</v>
      </c>
      <c r="C127" s="103">
        <f t="shared" si="9"/>
        <v>39391.322916666664</v>
      </c>
      <c r="D127" s="90">
        <v>27</v>
      </c>
      <c r="E127" s="91">
        <f t="shared" si="10"/>
        <v>0.7645549500000001</v>
      </c>
      <c r="F127" s="90">
        <f>15.9*8</f>
        <v>127.2</v>
      </c>
      <c r="G127" s="105">
        <f>0.3*8</f>
        <v>2.4</v>
      </c>
      <c r="H127" s="91">
        <f>0.04*8</f>
        <v>0.32</v>
      </c>
      <c r="I127" s="90">
        <f>57.6*8</f>
        <v>460.8</v>
      </c>
      <c r="J127" s="104">
        <v>357</v>
      </c>
      <c r="K127" s="90">
        <f t="shared" si="11"/>
        <v>97.25138964000001</v>
      </c>
    </row>
    <row r="128" spans="1:11" s="24" customFormat="1" ht="12.75">
      <c r="A128" s="94" t="s">
        <v>260</v>
      </c>
      <c r="B128" s="102">
        <v>39422.70486111111</v>
      </c>
      <c r="C128" s="103">
        <f t="shared" si="9"/>
        <v>39422.70486111111</v>
      </c>
      <c r="D128" s="90">
        <v>24</v>
      </c>
      <c r="E128" s="91">
        <f t="shared" si="10"/>
        <v>0.6796044</v>
      </c>
      <c r="F128" s="90">
        <f>16.3*8</f>
        <v>130.4</v>
      </c>
      <c r="G128" s="105">
        <f>0.3*8</f>
        <v>2.4</v>
      </c>
      <c r="H128" s="91">
        <f>0.04*8</f>
        <v>0.32</v>
      </c>
      <c r="I128" s="90">
        <f>58.9*8</f>
        <v>471.2</v>
      </c>
      <c r="J128" s="104">
        <v>355</v>
      </c>
      <c r="K128" s="90">
        <f t="shared" si="11"/>
        <v>88.62041376</v>
      </c>
    </row>
    <row r="129" spans="1:11" s="24" customFormat="1" ht="12.75">
      <c r="A129" s="94" t="s">
        <v>261</v>
      </c>
      <c r="B129" s="102">
        <v>39450.4375</v>
      </c>
      <c r="C129" s="103">
        <f t="shared" si="9"/>
        <v>39450.4375</v>
      </c>
      <c r="D129" s="90">
        <v>25</v>
      </c>
      <c r="E129" s="91">
        <f t="shared" si="10"/>
        <v>0.7079212500000001</v>
      </c>
      <c r="F129" s="90">
        <f>17.1*8</f>
        <v>136.8</v>
      </c>
      <c r="G129" s="105">
        <f>0.33*8</f>
        <v>2.64</v>
      </c>
      <c r="H129" s="91">
        <f>0.04*8</f>
        <v>0.32</v>
      </c>
      <c r="I129" s="90">
        <f>61.7*8</f>
        <v>493.6</v>
      </c>
      <c r="J129" s="104">
        <v>498</v>
      </c>
      <c r="K129" s="90">
        <f t="shared" si="11"/>
        <v>96.84362700000001</v>
      </c>
    </row>
    <row r="130" spans="1:11" s="24" customFormat="1" ht="12.75">
      <c r="A130" s="94" t="s">
        <v>262</v>
      </c>
      <c r="B130" s="102">
        <v>39483.645833333336</v>
      </c>
      <c r="C130" s="103">
        <f t="shared" si="9"/>
        <v>39483.645833333336</v>
      </c>
      <c r="D130" s="90">
        <v>23</v>
      </c>
      <c r="E130" s="91">
        <f t="shared" si="10"/>
        <v>0.65128755</v>
      </c>
      <c r="F130" s="90">
        <f>16.4*8</f>
        <v>131.2</v>
      </c>
      <c r="G130" s="105">
        <f>0.32*8</f>
        <v>2.56</v>
      </c>
      <c r="H130" s="91">
        <f>0.04*8</f>
        <v>0.32</v>
      </c>
      <c r="I130" s="90">
        <f>59.4*8</f>
        <v>475.2</v>
      </c>
      <c r="J130" s="104">
        <v>475</v>
      </c>
      <c r="K130" s="90">
        <f t="shared" si="11"/>
        <v>85.44892656</v>
      </c>
    </row>
    <row r="131" spans="1:11" ht="12.75">
      <c r="A131" s="93" t="s">
        <v>241</v>
      </c>
      <c r="B131" s="95">
        <v>39510.6875</v>
      </c>
      <c r="C131" s="96">
        <f t="shared" si="9"/>
        <v>39510.6875</v>
      </c>
      <c r="D131" s="90">
        <v>23</v>
      </c>
      <c r="E131" s="98">
        <f t="shared" si="10"/>
        <v>0.65128755</v>
      </c>
      <c r="F131" s="100">
        <v>131.2</v>
      </c>
      <c r="G131" s="99">
        <v>2.56</v>
      </c>
      <c r="H131" s="98">
        <v>0.32</v>
      </c>
      <c r="I131" s="100">
        <v>474.4</v>
      </c>
      <c r="J131" s="100">
        <v>477.7762786458333</v>
      </c>
      <c r="K131" s="100">
        <f t="shared" si="11"/>
        <v>85.44892656</v>
      </c>
    </row>
    <row r="132" spans="1:11" ht="12.75">
      <c r="A132" s="93" t="s">
        <v>242</v>
      </c>
      <c r="B132" s="95">
        <v>39524.697916666664</v>
      </c>
      <c r="C132" s="96">
        <f t="shared" si="9"/>
        <v>39524.697916666664</v>
      </c>
      <c r="D132" s="90">
        <v>23</v>
      </c>
      <c r="E132" s="98">
        <f t="shared" si="10"/>
        <v>0.65128755</v>
      </c>
      <c r="F132" s="100">
        <v>138.4</v>
      </c>
      <c r="G132" s="99">
        <v>5.2</v>
      </c>
      <c r="H132" s="98">
        <v>0.32</v>
      </c>
      <c r="I132" s="100">
        <v>503.2</v>
      </c>
      <c r="J132" s="100">
        <v>502.2450338541667</v>
      </c>
      <c r="K132" s="100">
        <f t="shared" si="11"/>
        <v>90.13819692000001</v>
      </c>
    </row>
    <row r="133" spans="1:11" ht="12.75">
      <c r="A133" s="93" t="s">
        <v>243</v>
      </c>
      <c r="B133" s="95">
        <v>39539.98263888889</v>
      </c>
      <c r="C133" s="96">
        <f t="shared" si="9"/>
        <v>39539.98263888889</v>
      </c>
      <c r="D133" s="97">
        <v>23</v>
      </c>
      <c r="E133" s="98">
        <f t="shared" si="10"/>
        <v>0.65128755</v>
      </c>
      <c r="F133" s="100">
        <v>140.8</v>
      </c>
      <c r="G133" s="99">
        <v>2.72</v>
      </c>
      <c r="H133" s="98">
        <v>0.32</v>
      </c>
      <c r="I133" s="100">
        <v>508.8</v>
      </c>
      <c r="J133" s="100">
        <v>508.2827786458334</v>
      </c>
      <c r="K133" s="100">
        <f t="shared" si="11"/>
        <v>91.70128704000001</v>
      </c>
    </row>
    <row r="134" spans="1:11" s="24" customFormat="1" ht="12.75">
      <c r="A134" s="94" t="s">
        <v>263</v>
      </c>
      <c r="B134" s="102">
        <v>39553.416666666664</v>
      </c>
      <c r="C134" s="103">
        <f t="shared" si="9"/>
        <v>39553.416666666664</v>
      </c>
      <c r="D134" s="104">
        <v>24</v>
      </c>
      <c r="E134" s="91">
        <f>D134*0.02831685</f>
        <v>0.6796044</v>
      </c>
      <c r="F134" s="90">
        <f>17.5*8</f>
        <v>140</v>
      </c>
      <c r="G134" s="105">
        <f>0.32*8</f>
        <v>2.56</v>
      </c>
      <c r="H134" s="91">
        <f>0.04*8</f>
        <v>0.32</v>
      </c>
      <c r="I134" s="90">
        <f>63*8</f>
        <v>504</v>
      </c>
      <c r="J134" s="90">
        <v>500</v>
      </c>
      <c r="K134" s="90">
        <f t="shared" si="11"/>
        <v>95.144616</v>
      </c>
    </row>
    <row r="135" spans="1:11" s="24" customFormat="1" ht="12.75">
      <c r="A135" s="94" t="s">
        <v>264</v>
      </c>
      <c r="B135" s="102">
        <v>39566.59375</v>
      </c>
      <c r="C135" s="103">
        <f t="shared" si="9"/>
        <v>39566.59375</v>
      </c>
      <c r="D135" s="104">
        <v>24</v>
      </c>
      <c r="E135" s="91">
        <f t="shared" si="10"/>
        <v>0.6796044</v>
      </c>
      <c r="F135" s="90">
        <f>17*8</f>
        <v>136</v>
      </c>
      <c r="G135" s="105">
        <f>0.33*8</f>
        <v>2.64</v>
      </c>
      <c r="H135" s="91">
        <f>0.04*8</f>
        <v>0.32</v>
      </c>
      <c r="I135" s="90">
        <f>61.3*8</f>
        <v>490.4</v>
      </c>
      <c r="J135" s="104">
        <v>493</v>
      </c>
      <c r="K135" s="90">
        <f t="shared" si="11"/>
        <v>92.4261984</v>
      </c>
    </row>
    <row r="136" spans="1:11" s="24" customFormat="1" ht="12.75">
      <c r="A136" s="94" t="s">
        <v>265</v>
      </c>
      <c r="B136" s="102">
        <v>39573.447916666664</v>
      </c>
      <c r="C136" s="103">
        <f t="shared" si="9"/>
        <v>39573.447916666664</v>
      </c>
      <c r="D136" s="104">
        <v>25</v>
      </c>
      <c r="E136" s="91">
        <f t="shared" si="10"/>
        <v>0.7079212500000001</v>
      </c>
      <c r="F136" s="90">
        <f>16.9*8</f>
        <v>135.2</v>
      </c>
      <c r="G136" s="105">
        <f>0.33*8</f>
        <v>2.64</v>
      </c>
      <c r="H136" s="91">
        <f>0.04*8</f>
        <v>0.32</v>
      </c>
      <c r="I136" s="90">
        <f>61.1*8</f>
        <v>488.8</v>
      </c>
      <c r="J136" s="104">
        <v>471</v>
      </c>
      <c r="K136" s="90">
        <f t="shared" si="11"/>
        <v>95.710953</v>
      </c>
    </row>
    <row r="137" spans="1:11" s="24" customFormat="1" ht="12.75">
      <c r="A137" s="94" t="s">
        <v>266</v>
      </c>
      <c r="B137" s="102">
        <v>39581.28125</v>
      </c>
      <c r="C137" s="103">
        <f t="shared" si="9"/>
        <v>39581.28125</v>
      </c>
      <c r="D137" s="104">
        <v>27</v>
      </c>
      <c r="E137" s="91">
        <f>D137*0.02831685</f>
        <v>0.7645549500000001</v>
      </c>
      <c r="F137" s="90">
        <f>15*8</f>
        <v>120</v>
      </c>
      <c r="G137" s="105">
        <f>0.3*8</f>
        <v>2.4</v>
      </c>
      <c r="H137" s="91">
        <f>0.03*8</f>
        <v>0.24</v>
      </c>
      <c r="I137" s="90">
        <f>54.5*8</f>
        <v>436</v>
      </c>
      <c r="J137" s="104">
        <v>454</v>
      </c>
      <c r="K137" s="90">
        <f t="shared" si="11"/>
        <v>91.746594</v>
      </c>
    </row>
    <row r="138" spans="1:11" s="24" customFormat="1" ht="12.75">
      <c r="A138" s="94" t="s">
        <v>267</v>
      </c>
      <c r="B138" s="102">
        <v>39588.885416666664</v>
      </c>
      <c r="C138" s="103">
        <f t="shared" si="9"/>
        <v>39588.885416666664</v>
      </c>
      <c r="D138" s="104">
        <v>30</v>
      </c>
      <c r="E138" s="91">
        <f t="shared" si="10"/>
        <v>0.8495055</v>
      </c>
      <c r="F138" s="90">
        <f>11.5*8</f>
        <v>92</v>
      </c>
      <c r="G138" s="105">
        <f>0.26*8</f>
        <v>2.08</v>
      </c>
      <c r="H138" s="91">
        <f>0.03*8</f>
        <v>0.24</v>
      </c>
      <c r="I138" s="90">
        <f>43.6*8</f>
        <v>348.8</v>
      </c>
      <c r="J138" s="104">
        <v>371</v>
      </c>
      <c r="K138" s="90">
        <f t="shared" si="11"/>
        <v>78.154506</v>
      </c>
    </row>
    <row r="139" spans="1:11" s="24" customFormat="1" ht="12.75">
      <c r="A139" s="94" t="s">
        <v>268</v>
      </c>
      <c r="B139" s="102">
        <v>39595.375</v>
      </c>
      <c r="C139" s="103">
        <f t="shared" si="9"/>
        <v>39595.375</v>
      </c>
      <c r="D139" s="104">
        <v>30</v>
      </c>
      <c r="E139" s="91">
        <f t="shared" si="10"/>
        <v>0.8495055</v>
      </c>
      <c r="F139" s="90">
        <f>13.4*8</f>
        <v>107.2</v>
      </c>
      <c r="G139" s="105">
        <f>0.29*8</f>
        <v>2.32</v>
      </c>
      <c r="H139" s="91">
        <f>0.03*8</f>
        <v>0.24</v>
      </c>
      <c r="I139" s="90">
        <f>49.6*8</f>
        <v>396.8</v>
      </c>
      <c r="J139" s="104">
        <v>402</v>
      </c>
      <c r="K139" s="90">
        <f t="shared" si="11"/>
        <v>91.0669896</v>
      </c>
    </row>
    <row r="140" spans="1:11" s="24" customFormat="1" ht="12.75">
      <c r="A140" s="94" t="s">
        <v>269</v>
      </c>
      <c r="B140" s="102">
        <v>39602</v>
      </c>
      <c r="C140" s="103"/>
      <c r="D140" s="104">
        <v>30</v>
      </c>
      <c r="E140" s="91">
        <f>D140*0.02831685</f>
        <v>0.8495055</v>
      </c>
      <c r="F140" s="90">
        <f>13.1*8</f>
        <v>104.8</v>
      </c>
      <c r="G140" s="105">
        <f>0.28*8</f>
        <v>2.24</v>
      </c>
      <c r="H140" s="91">
        <f>0.03*8</f>
        <v>0.24</v>
      </c>
      <c r="I140" s="90">
        <f>48.1*8</f>
        <v>384.8</v>
      </c>
      <c r="J140" s="104">
        <v>394</v>
      </c>
      <c r="K140" s="90">
        <f t="shared" si="11"/>
        <v>89.0281764</v>
      </c>
    </row>
    <row r="141" spans="1:11" ht="12.75">
      <c r="A141" s="93" t="s">
        <v>244</v>
      </c>
      <c r="B141" s="95">
        <v>39610.583333333336</v>
      </c>
      <c r="C141" s="96">
        <f aca="true" t="shared" si="12" ref="C141:C153">B141</f>
        <v>39610.583333333336</v>
      </c>
      <c r="D141" s="97">
        <v>29</v>
      </c>
      <c r="E141" s="98">
        <f t="shared" si="10"/>
        <v>0.8211886500000001</v>
      </c>
      <c r="F141" s="100">
        <v>105.6</v>
      </c>
      <c r="G141" s="99">
        <v>2.08</v>
      </c>
      <c r="H141" s="98">
        <v>0.24</v>
      </c>
      <c r="I141" s="100">
        <v>382.4</v>
      </c>
      <c r="J141" s="97">
        <v>411</v>
      </c>
      <c r="K141" s="100">
        <f t="shared" si="11"/>
        <v>86.71752144</v>
      </c>
    </row>
    <row r="142" spans="1:11" ht="12.75">
      <c r="A142" s="93" t="s">
        <v>245</v>
      </c>
      <c r="B142" s="95">
        <v>39615.6875</v>
      </c>
      <c r="C142" s="96">
        <f t="shared" si="12"/>
        <v>39615.6875</v>
      </c>
      <c r="D142" s="97">
        <v>29</v>
      </c>
      <c r="E142" s="98">
        <f t="shared" si="10"/>
        <v>0.8211886500000001</v>
      </c>
      <c r="F142" s="100">
        <v>105.6</v>
      </c>
      <c r="G142" s="99">
        <v>2</v>
      </c>
      <c r="H142" s="98">
        <v>0.24</v>
      </c>
      <c r="I142" s="100">
        <v>385.6</v>
      </c>
      <c r="J142" s="97">
        <v>374</v>
      </c>
      <c r="K142" s="100">
        <f t="shared" si="11"/>
        <v>86.71752144</v>
      </c>
    </row>
    <row r="143" spans="1:11" ht="12.75">
      <c r="A143" s="93" t="s">
        <v>246</v>
      </c>
      <c r="B143" s="95">
        <v>39622.645833333336</v>
      </c>
      <c r="C143" s="96">
        <f t="shared" si="12"/>
        <v>39622.645833333336</v>
      </c>
      <c r="D143" s="97">
        <v>30</v>
      </c>
      <c r="E143" s="98">
        <f t="shared" si="10"/>
        <v>0.8495055</v>
      </c>
      <c r="F143" s="100">
        <v>101.6</v>
      </c>
      <c r="G143" s="99">
        <v>1.92</v>
      </c>
      <c r="H143" s="98">
        <v>0.24</v>
      </c>
      <c r="I143" s="100">
        <v>369.6</v>
      </c>
      <c r="J143" s="97">
        <v>398</v>
      </c>
      <c r="K143" s="100">
        <f t="shared" si="11"/>
        <v>86.3097588</v>
      </c>
    </row>
    <row r="144" spans="1:11" ht="12">
      <c r="A144" s="93" t="s">
        <v>247</v>
      </c>
      <c r="B144" s="95">
        <v>39629.479166666664</v>
      </c>
      <c r="C144" s="96">
        <f t="shared" si="12"/>
        <v>39629.479166666664</v>
      </c>
      <c r="D144" s="97">
        <v>29</v>
      </c>
      <c r="E144" s="98">
        <f t="shared" si="10"/>
        <v>0.8211886500000001</v>
      </c>
      <c r="F144" s="100">
        <v>104.8</v>
      </c>
      <c r="G144" s="99">
        <v>2</v>
      </c>
      <c r="H144" s="98">
        <v>0.24</v>
      </c>
      <c r="I144" s="100">
        <v>380.8</v>
      </c>
      <c r="J144" s="97">
        <v>397</v>
      </c>
      <c r="K144" s="100">
        <f t="shared" si="11"/>
        <v>86.06057052</v>
      </c>
    </row>
    <row r="145" spans="1:11" ht="12">
      <c r="A145" s="93" t="s">
        <v>248</v>
      </c>
      <c r="B145" s="95">
        <v>39638.635416666664</v>
      </c>
      <c r="C145" s="96">
        <f t="shared" si="12"/>
        <v>39638.635416666664</v>
      </c>
      <c r="D145" s="97">
        <v>28</v>
      </c>
      <c r="E145" s="98">
        <f t="shared" si="10"/>
        <v>0.7928718</v>
      </c>
      <c r="F145" s="100">
        <v>107.2</v>
      </c>
      <c r="G145" s="99">
        <v>2.08</v>
      </c>
      <c r="H145" s="98">
        <v>0.24</v>
      </c>
      <c r="I145" s="100">
        <v>389.6</v>
      </c>
      <c r="J145" s="97">
        <v>417</v>
      </c>
      <c r="K145" s="100">
        <f t="shared" si="11"/>
        <v>84.99585696</v>
      </c>
    </row>
    <row r="146" spans="1:11" ht="12">
      <c r="A146" s="93" t="s">
        <v>249</v>
      </c>
      <c r="B146" s="95">
        <v>39643.635416666664</v>
      </c>
      <c r="C146" s="96">
        <f t="shared" si="12"/>
        <v>39643.635416666664</v>
      </c>
      <c r="D146" s="97">
        <v>28</v>
      </c>
      <c r="E146" s="98">
        <f t="shared" si="10"/>
        <v>0.7928718</v>
      </c>
      <c r="F146" s="100">
        <v>108</v>
      </c>
      <c r="G146" s="99">
        <v>2</v>
      </c>
      <c r="H146" s="98">
        <v>0.24</v>
      </c>
      <c r="I146" s="100">
        <v>392</v>
      </c>
      <c r="J146" s="97">
        <v>419</v>
      </c>
      <c r="K146" s="100">
        <f t="shared" si="11"/>
        <v>85.6301544</v>
      </c>
    </row>
    <row r="147" spans="1:11" ht="12">
      <c r="A147" s="93" t="s">
        <v>250</v>
      </c>
      <c r="B147" s="95">
        <v>39650.625</v>
      </c>
      <c r="C147" s="96">
        <f t="shared" si="12"/>
        <v>39650.625</v>
      </c>
      <c r="D147" s="97">
        <v>26</v>
      </c>
      <c r="E147" s="98">
        <f t="shared" si="10"/>
        <v>0.7362381</v>
      </c>
      <c r="F147" s="100">
        <v>110.4</v>
      </c>
      <c r="G147" s="99">
        <v>2.08</v>
      </c>
      <c r="H147" s="98">
        <v>0.24</v>
      </c>
      <c r="I147" s="100">
        <v>400</v>
      </c>
      <c r="J147" s="97">
        <v>438</v>
      </c>
      <c r="K147" s="100">
        <f t="shared" si="11"/>
        <v>81.28068624000001</v>
      </c>
    </row>
    <row r="148" spans="1:11" ht="12">
      <c r="A148" s="93" t="s">
        <v>251</v>
      </c>
      <c r="B148" s="95">
        <v>39659.645833333336</v>
      </c>
      <c r="C148" s="96">
        <f t="shared" si="12"/>
        <v>39659.645833333336</v>
      </c>
      <c r="D148" s="97">
        <v>23</v>
      </c>
      <c r="E148" s="98">
        <f t="shared" si="10"/>
        <v>0.65128755</v>
      </c>
      <c r="F148" s="100">
        <v>140.8</v>
      </c>
      <c r="G148" s="99">
        <v>2.48</v>
      </c>
      <c r="H148" s="98">
        <v>0.32</v>
      </c>
      <c r="I148" s="100">
        <v>506.4</v>
      </c>
      <c r="J148" s="97">
        <v>311</v>
      </c>
      <c r="K148" s="100">
        <f t="shared" si="11"/>
        <v>91.70128704000001</v>
      </c>
    </row>
    <row r="149" spans="1:11" ht="12">
      <c r="A149" s="93" t="s">
        <v>252</v>
      </c>
      <c r="B149" s="95">
        <v>39664.65625</v>
      </c>
      <c r="C149" s="96">
        <f t="shared" si="12"/>
        <v>39664.65625</v>
      </c>
      <c r="D149" s="97">
        <v>23</v>
      </c>
      <c r="E149" s="98">
        <f t="shared" si="10"/>
        <v>0.65128755</v>
      </c>
      <c r="F149" s="100">
        <v>140.8</v>
      </c>
      <c r="G149" s="99">
        <v>2.4</v>
      </c>
      <c r="H149" s="98">
        <v>0.32</v>
      </c>
      <c r="I149" s="100">
        <v>506.4</v>
      </c>
      <c r="J149" s="97">
        <v>266</v>
      </c>
      <c r="K149" s="100">
        <f t="shared" si="11"/>
        <v>91.70128704000001</v>
      </c>
    </row>
    <row r="150" spans="1:11" ht="12">
      <c r="A150" s="93" t="s">
        <v>253</v>
      </c>
      <c r="B150" s="95">
        <v>39680.645833333336</v>
      </c>
      <c r="C150" s="96">
        <f t="shared" si="12"/>
        <v>39680.645833333336</v>
      </c>
      <c r="D150" s="97">
        <v>24</v>
      </c>
      <c r="E150" s="98">
        <f t="shared" si="10"/>
        <v>0.6796044</v>
      </c>
      <c r="F150" s="100">
        <v>128.8</v>
      </c>
      <c r="G150" s="99">
        <v>2.4</v>
      </c>
      <c r="H150" s="98">
        <v>0.32</v>
      </c>
      <c r="I150" s="100">
        <v>464</v>
      </c>
      <c r="J150" s="97">
        <v>296</v>
      </c>
      <c r="K150" s="100">
        <f t="shared" si="11"/>
        <v>87.53304672</v>
      </c>
    </row>
    <row r="151" spans="1:11" ht="12">
      <c r="A151" s="93" t="s">
        <v>254</v>
      </c>
      <c r="B151" s="95">
        <v>39693.583333333336</v>
      </c>
      <c r="C151" s="96">
        <f t="shared" si="12"/>
        <v>39693.583333333336</v>
      </c>
      <c r="D151" s="97">
        <v>25</v>
      </c>
      <c r="E151" s="98">
        <f t="shared" si="10"/>
        <v>0.7079212500000001</v>
      </c>
      <c r="F151" s="100">
        <v>124</v>
      </c>
      <c r="G151" s="99">
        <v>2.4</v>
      </c>
      <c r="H151" s="98">
        <v>0.32</v>
      </c>
      <c r="I151" s="100">
        <v>446.4</v>
      </c>
      <c r="J151" s="97">
        <v>316</v>
      </c>
      <c r="K151" s="100">
        <f t="shared" si="11"/>
        <v>87.78223500000001</v>
      </c>
    </row>
    <row r="152" spans="1:11" ht="12">
      <c r="A152" s="93" t="s">
        <v>255</v>
      </c>
      <c r="B152" s="95">
        <v>39707.604166666664</v>
      </c>
      <c r="C152" s="96">
        <f t="shared" si="12"/>
        <v>39707.604166666664</v>
      </c>
      <c r="D152" s="97">
        <v>26</v>
      </c>
      <c r="E152" s="98">
        <f t="shared" si="10"/>
        <v>0.7362381</v>
      </c>
      <c r="F152" s="100">
        <v>120.8</v>
      </c>
      <c r="G152" s="99">
        <v>2.4</v>
      </c>
      <c r="H152" s="98">
        <v>0.32</v>
      </c>
      <c r="I152" s="100">
        <v>435.2</v>
      </c>
      <c r="J152" s="97">
        <v>304</v>
      </c>
      <c r="K152" s="100">
        <f t="shared" si="11"/>
        <v>88.93756248</v>
      </c>
    </row>
    <row r="153" spans="1:11" ht="12">
      <c r="A153" s="93" t="s">
        <v>256</v>
      </c>
      <c r="B153" s="95">
        <v>39721.6875</v>
      </c>
      <c r="C153" s="96">
        <f t="shared" si="12"/>
        <v>39721.6875</v>
      </c>
      <c r="D153" s="97">
        <v>25</v>
      </c>
      <c r="E153" s="98">
        <f t="shared" si="10"/>
        <v>0.7079212500000001</v>
      </c>
      <c r="F153" s="100">
        <v>124</v>
      </c>
      <c r="G153" s="99">
        <v>2.48</v>
      </c>
      <c r="H153" s="98">
        <v>0.32</v>
      </c>
      <c r="I153" s="100">
        <v>448</v>
      </c>
      <c r="J153" s="97">
        <v>441</v>
      </c>
      <c r="K153" s="100">
        <f t="shared" si="11"/>
        <v>87.78223500000001</v>
      </c>
    </row>
    <row r="154" spans="1:11" ht="12">
      <c r="A154" s="82" t="s">
        <v>1685</v>
      </c>
      <c r="B154" s="77"/>
      <c r="C154" s="138"/>
      <c r="D154" s="1"/>
      <c r="E154" s="18"/>
      <c r="F154" s="167"/>
      <c r="G154" s="9"/>
      <c r="H154" s="12"/>
      <c r="I154" s="2"/>
      <c r="J154" s="164"/>
      <c r="K154" s="2"/>
    </row>
    <row r="155" spans="1:11" ht="13.5">
      <c r="A155" s="169" t="s">
        <v>1845</v>
      </c>
      <c r="B155" s="166">
        <v>39738.680555555555</v>
      </c>
      <c r="C155" s="158">
        <v>39738.680555555555</v>
      </c>
      <c r="D155" s="142">
        <v>27</v>
      </c>
      <c r="E155" s="170">
        <f aca="true" t="shared" si="13" ref="E155:E181">D155*0.02831685</f>
        <v>0.7645549500000001</v>
      </c>
      <c r="F155" s="167">
        <f>14.3*8</f>
        <v>114.4</v>
      </c>
      <c r="G155" s="135">
        <f>0.27*8</f>
        <v>2.16</v>
      </c>
      <c r="H155" s="139">
        <f>0.04*8</f>
        <v>0.32</v>
      </c>
      <c r="I155" s="167">
        <f>51.5*8</f>
        <v>412</v>
      </c>
      <c r="J155" s="163">
        <v>368</v>
      </c>
      <c r="K155" s="160">
        <f aca="true" t="shared" si="14" ref="K155:K181">E155*F155</f>
        <v>87.46508628000001</v>
      </c>
    </row>
    <row r="156" spans="1:11" ht="13.5">
      <c r="A156" s="169" t="s">
        <v>1846</v>
      </c>
      <c r="B156" s="166">
        <v>39757.395833333336</v>
      </c>
      <c r="C156" s="158">
        <v>39757.395833333336</v>
      </c>
      <c r="D156" s="142">
        <v>27</v>
      </c>
      <c r="E156" s="170">
        <f t="shared" si="13"/>
        <v>0.7645549500000001</v>
      </c>
      <c r="F156" s="167">
        <f>14.4*8</f>
        <v>115.2</v>
      </c>
      <c r="G156" s="135">
        <f>0.29*8</f>
        <v>2.32</v>
      </c>
      <c r="H156" s="139">
        <f>0.03*8</f>
        <v>0.24</v>
      </c>
      <c r="I156" s="167">
        <f>52.1*8</f>
        <v>416.8</v>
      </c>
      <c r="J156" s="163">
        <v>401</v>
      </c>
      <c r="K156" s="160">
        <f t="shared" si="14"/>
        <v>88.07673024</v>
      </c>
    </row>
    <row r="157" spans="1:11" ht="13.5">
      <c r="A157" s="169" t="s">
        <v>1847</v>
      </c>
      <c r="B157" s="166">
        <v>39786.489583333336</v>
      </c>
      <c r="C157" s="158">
        <v>39786.489583333336</v>
      </c>
      <c r="D157" s="142">
        <v>27</v>
      </c>
      <c r="E157" s="170">
        <f t="shared" si="13"/>
        <v>0.7645549500000001</v>
      </c>
      <c r="F157" s="167">
        <f>14.5*8</f>
        <v>116</v>
      </c>
      <c r="G157" s="135">
        <f>0.29*8</f>
        <v>2.32</v>
      </c>
      <c r="H157" s="139">
        <f>0.04*8</f>
        <v>0.32</v>
      </c>
      <c r="I157" s="167">
        <f>52.4*8</f>
        <v>419.2</v>
      </c>
      <c r="J157" s="163">
        <v>439</v>
      </c>
      <c r="K157" s="160">
        <f t="shared" si="14"/>
        <v>88.68837420000001</v>
      </c>
    </row>
    <row r="158" spans="1:11" ht="13.5">
      <c r="A158" s="169" t="s">
        <v>1848</v>
      </c>
      <c r="B158" s="166">
        <v>39826.614583333336</v>
      </c>
      <c r="C158" s="158">
        <v>39826.614583333336</v>
      </c>
      <c r="D158" s="142">
        <v>28</v>
      </c>
      <c r="E158" s="168">
        <f t="shared" si="13"/>
        <v>0.7928718</v>
      </c>
      <c r="F158" s="167">
        <f>14.4*8</f>
        <v>115.2</v>
      </c>
      <c r="G158" s="135">
        <f>0.29*8</f>
        <v>2.32</v>
      </c>
      <c r="H158" s="139">
        <f>0.04*8</f>
        <v>0.32</v>
      </c>
      <c r="I158" s="167">
        <f>51.8*8</f>
        <v>414.4</v>
      </c>
      <c r="J158" s="163">
        <v>422</v>
      </c>
      <c r="K158" s="164">
        <f t="shared" si="14"/>
        <v>91.33883136</v>
      </c>
    </row>
    <row r="159" spans="1:11" ht="13.5">
      <c r="A159" s="169" t="s">
        <v>1849</v>
      </c>
      <c r="B159" s="166">
        <v>39850.458333333336</v>
      </c>
      <c r="C159" s="158">
        <f aca="true" t="shared" si="15" ref="C159:C167">B159</f>
        <v>39850.458333333336</v>
      </c>
      <c r="D159" s="142">
        <v>28</v>
      </c>
      <c r="E159" s="168">
        <f t="shared" si="13"/>
        <v>0.7928718</v>
      </c>
      <c r="F159" s="167">
        <f>14.4*8</f>
        <v>115.2</v>
      </c>
      <c r="G159" s="135">
        <f>0.31*8</f>
        <v>2.48</v>
      </c>
      <c r="H159" s="139">
        <f>0.03*8</f>
        <v>0.24</v>
      </c>
      <c r="I159" s="167">
        <f>51.8*8</f>
        <v>414.4</v>
      </c>
      <c r="J159" s="163">
        <v>443</v>
      </c>
      <c r="K159" s="164">
        <f t="shared" si="14"/>
        <v>91.33883136</v>
      </c>
    </row>
    <row r="160" spans="1:11" ht="13.5">
      <c r="A160" s="169" t="s">
        <v>1850</v>
      </c>
      <c r="B160" s="166">
        <v>39875.416666666664</v>
      </c>
      <c r="C160" s="158">
        <f t="shared" si="15"/>
        <v>39875.416666666664</v>
      </c>
      <c r="D160" s="142">
        <v>29</v>
      </c>
      <c r="E160" s="170">
        <f t="shared" si="13"/>
        <v>0.8211886500000001</v>
      </c>
      <c r="F160" s="167">
        <f>14.3*8</f>
        <v>114.4</v>
      </c>
      <c r="G160" s="135">
        <f>0.27*8</f>
        <v>2.16</v>
      </c>
      <c r="H160" s="139">
        <f>0.03*8</f>
        <v>0.24</v>
      </c>
      <c r="I160" s="167">
        <f>51.2*8</f>
        <v>409.6</v>
      </c>
      <c r="J160" s="164">
        <v>319.04714583333333</v>
      </c>
      <c r="K160" s="164">
        <f t="shared" si="14"/>
        <v>93.94398156000001</v>
      </c>
    </row>
    <row r="161" spans="1:11" ht="13.5">
      <c r="A161" s="169" t="s">
        <v>1851</v>
      </c>
      <c r="B161" s="166">
        <v>39889.416666666664</v>
      </c>
      <c r="C161" s="158">
        <f t="shared" si="15"/>
        <v>39889.416666666664</v>
      </c>
      <c r="D161" s="142">
        <v>28</v>
      </c>
      <c r="E161" s="170">
        <f t="shared" si="13"/>
        <v>0.7928718</v>
      </c>
      <c r="F161" s="167">
        <f>14.3*8</f>
        <v>114.4</v>
      </c>
      <c r="G161" s="135">
        <f>0.27*8</f>
        <v>2.16</v>
      </c>
      <c r="H161" s="139">
        <f>0.03*8</f>
        <v>0.24</v>
      </c>
      <c r="I161" s="167">
        <f>51.3*8</f>
        <v>410.4</v>
      </c>
      <c r="J161" s="164">
        <v>326.03821875000006</v>
      </c>
      <c r="K161" s="164">
        <f t="shared" si="14"/>
        <v>90.70453392</v>
      </c>
    </row>
    <row r="162" spans="1:11" ht="13.5">
      <c r="A162" s="169" t="s">
        <v>1852</v>
      </c>
      <c r="B162" s="166">
        <v>39904.447916666664</v>
      </c>
      <c r="C162" s="158">
        <f t="shared" si="15"/>
        <v>39904.447916666664</v>
      </c>
      <c r="D162" s="142">
        <v>29</v>
      </c>
      <c r="E162" s="170">
        <f t="shared" si="13"/>
        <v>0.8211886500000001</v>
      </c>
      <c r="F162" s="167">
        <f>14.4*8</f>
        <v>115.2</v>
      </c>
      <c r="G162" s="135">
        <f>0.27*8</f>
        <v>2.16</v>
      </c>
      <c r="H162" s="139">
        <f>0.03*8</f>
        <v>0.24</v>
      </c>
      <c r="I162" s="167">
        <f>51.8*8</f>
        <v>414.4</v>
      </c>
      <c r="J162" s="164">
        <v>336.8426041666667</v>
      </c>
      <c r="K162" s="164">
        <f t="shared" si="14"/>
        <v>94.60093248000001</v>
      </c>
    </row>
    <row r="163" spans="1:11" ht="13.5">
      <c r="A163" s="169" t="s">
        <v>1853</v>
      </c>
      <c r="B163" s="166">
        <v>39917.427083333336</v>
      </c>
      <c r="C163" s="158">
        <f t="shared" si="15"/>
        <v>39917.427083333336</v>
      </c>
      <c r="D163" s="142">
        <v>28</v>
      </c>
      <c r="E163" s="170">
        <f t="shared" si="13"/>
        <v>0.7928718</v>
      </c>
      <c r="F163" s="167">
        <f>14.1*8</f>
        <v>112.8</v>
      </c>
      <c r="G163" s="135">
        <f>0.27*8</f>
        <v>2.16</v>
      </c>
      <c r="H163" s="139">
        <f>0.02*8</f>
        <v>0.16</v>
      </c>
      <c r="I163" s="167">
        <f>50.9*8</f>
        <v>407.2</v>
      </c>
      <c r="J163" s="164">
        <v>424.231015625</v>
      </c>
      <c r="K163" s="164">
        <f t="shared" si="14"/>
        <v>89.43593904</v>
      </c>
    </row>
    <row r="164" spans="1:11" ht="13.5">
      <c r="A164" s="169" t="s">
        <v>1854</v>
      </c>
      <c r="B164" s="166">
        <v>39932.395833333336</v>
      </c>
      <c r="C164" s="158">
        <f t="shared" si="15"/>
        <v>39932.395833333336</v>
      </c>
      <c r="D164" s="142">
        <v>29</v>
      </c>
      <c r="E164" s="170">
        <f t="shared" si="13"/>
        <v>0.8211886500000001</v>
      </c>
      <c r="F164" s="167">
        <f>13.9*8</f>
        <v>111.2</v>
      </c>
      <c r="G164" s="135">
        <f>0.29*8</f>
        <v>2.32</v>
      </c>
      <c r="H164" s="139">
        <f>0.03*8</f>
        <v>0.24</v>
      </c>
      <c r="I164" s="167">
        <f>50.6*8</f>
        <v>404.8</v>
      </c>
      <c r="J164" s="164">
        <v>434.71762500000006</v>
      </c>
      <c r="K164" s="164">
        <f t="shared" si="14"/>
        <v>91.31617788000001</v>
      </c>
    </row>
    <row r="165" spans="1:11" ht="13.5">
      <c r="A165" s="169" t="s">
        <v>1855</v>
      </c>
      <c r="B165" s="166">
        <v>39939.4375</v>
      </c>
      <c r="C165" s="158">
        <f t="shared" si="15"/>
        <v>39939.4375</v>
      </c>
      <c r="D165" s="142">
        <v>29</v>
      </c>
      <c r="E165" s="170">
        <f t="shared" si="13"/>
        <v>0.8211886500000001</v>
      </c>
      <c r="F165" s="167">
        <f>13.5*8</f>
        <v>108</v>
      </c>
      <c r="G165" s="135">
        <f>0.28*8</f>
        <v>2.24</v>
      </c>
      <c r="H165" s="139">
        <f>0.03*8</f>
        <v>0.24</v>
      </c>
      <c r="I165" s="167">
        <f>49.1*8</f>
        <v>392.8</v>
      </c>
      <c r="J165" s="164">
        <v>419.464375</v>
      </c>
      <c r="K165" s="164">
        <f t="shared" si="14"/>
        <v>88.68837420000001</v>
      </c>
    </row>
    <row r="166" spans="1:11" ht="13.5">
      <c r="A166" s="169" t="s">
        <v>1856</v>
      </c>
      <c r="B166" s="166">
        <v>39946.4375</v>
      </c>
      <c r="C166" s="158">
        <f t="shared" si="15"/>
        <v>39946.4375</v>
      </c>
      <c r="D166" s="142">
        <v>30</v>
      </c>
      <c r="E166" s="170">
        <f t="shared" si="13"/>
        <v>0.8495055</v>
      </c>
      <c r="F166" s="167">
        <f>13.1*8</f>
        <v>104.8</v>
      </c>
      <c r="G166" s="135">
        <f>0.27*8</f>
        <v>2.16</v>
      </c>
      <c r="H166" s="139">
        <f aca="true" t="shared" si="16" ref="H166:H173">0.02*8</f>
        <v>0.16</v>
      </c>
      <c r="I166" s="167">
        <f>48*8</f>
        <v>384</v>
      </c>
      <c r="J166" s="164">
        <v>409.45442968750007</v>
      </c>
      <c r="K166" s="164">
        <f t="shared" si="14"/>
        <v>89.0281764</v>
      </c>
    </row>
    <row r="167" spans="1:11" ht="13.5">
      <c r="A167" s="169" t="s">
        <v>1857</v>
      </c>
      <c r="B167" s="166">
        <v>39953.447916666664</v>
      </c>
      <c r="C167" s="158">
        <f t="shared" si="15"/>
        <v>39953.447916666664</v>
      </c>
      <c r="D167" s="142">
        <v>31</v>
      </c>
      <c r="E167" s="170">
        <f t="shared" si="13"/>
        <v>0.8778223500000001</v>
      </c>
      <c r="F167" s="167">
        <f>10.9*8</f>
        <v>87.2</v>
      </c>
      <c r="G167" s="135">
        <f>0.23*8</f>
        <v>1.84</v>
      </c>
      <c r="H167" s="139">
        <f t="shared" si="16"/>
        <v>0.16</v>
      </c>
      <c r="I167" s="167">
        <f>40.9*8</f>
        <v>327.2</v>
      </c>
      <c r="J167" s="164">
        <v>370.6857526041667</v>
      </c>
      <c r="K167" s="164">
        <f t="shared" si="14"/>
        <v>76.54610892000001</v>
      </c>
    </row>
    <row r="168" spans="1:11" ht="13.5">
      <c r="A168" s="169" t="s">
        <v>1858</v>
      </c>
      <c r="B168" s="166">
        <v>39960.447916666664</v>
      </c>
      <c r="C168" s="158">
        <v>39960.447916666664</v>
      </c>
      <c r="D168" s="165">
        <v>32</v>
      </c>
      <c r="E168" s="170">
        <f t="shared" si="13"/>
        <v>0.9061392</v>
      </c>
      <c r="F168" s="167">
        <f>12.2*8</f>
        <v>97.6</v>
      </c>
      <c r="G168" s="135">
        <f>0.26*8</f>
        <v>2.08</v>
      </c>
      <c r="H168" s="139">
        <f t="shared" si="16"/>
        <v>0.16</v>
      </c>
      <c r="I168" s="167">
        <f>45.2*8</f>
        <v>361.6</v>
      </c>
      <c r="J168" s="164">
        <v>390.2289791666666</v>
      </c>
      <c r="K168" s="164">
        <f t="shared" si="14"/>
        <v>88.43918592</v>
      </c>
    </row>
    <row r="169" spans="1:11" ht="13.5">
      <c r="A169" s="169" t="s">
        <v>1859</v>
      </c>
      <c r="B169" s="166">
        <v>39966.4375</v>
      </c>
      <c r="C169" s="158">
        <v>39966.4375</v>
      </c>
      <c r="D169" s="165">
        <v>31</v>
      </c>
      <c r="E169" s="170">
        <f t="shared" si="13"/>
        <v>0.8778223500000001</v>
      </c>
      <c r="F169" s="167">
        <f>12*8</f>
        <v>96</v>
      </c>
      <c r="G169" s="135">
        <f>0.26*8</f>
        <v>2.08</v>
      </c>
      <c r="H169" s="139">
        <f t="shared" si="16"/>
        <v>0.16</v>
      </c>
      <c r="I169" s="167">
        <f>44.1*8</f>
        <v>352.8</v>
      </c>
      <c r="J169" s="164">
        <v>392.7711875</v>
      </c>
      <c r="K169" s="164">
        <f t="shared" si="14"/>
        <v>84.2709456</v>
      </c>
    </row>
    <row r="170" spans="1:11" ht="13.5">
      <c r="A170" s="169" t="s">
        <v>1860</v>
      </c>
      <c r="B170" s="166">
        <v>39973.447916666664</v>
      </c>
      <c r="C170" s="158">
        <v>39973.447916666664</v>
      </c>
      <c r="D170" s="165">
        <v>30</v>
      </c>
      <c r="E170" s="170">
        <f t="shared" si="13"/>
        <v>0.8495055</v>
      </c>
      <c r="F170" s="167">
        <f>12.6*8</f>
        <v>100.8</v>
      </c>
      <c r="G170" s="135">
        <f>0.27*8</f>
        <v>2.16</v>
      </c>
      <c r="H170" s="139">
        <f t="shared" si="16"/>
        <v>0.16</v>
      </c>
      <c r="I170" s="167">
        <f>46.2*8</f>
        <v>369.6</v>
      </c>
      <c r="J170" s="164">
        <v>410.5666458333332</v>
      </c>
      <c r="K170" s="164">
        <f t="shared" si="14"/>
        <v>85.6301544</v>
      </c>
    </row>
    <row r="171" spans="1:11" ht="13.5">
      <c r="A171" s="169" t="s">
        <v>1861</v>
      </c>
      <c r="B171" s="166">
        <v>39980.479166666664</v>
      </c>
      <c r="C171" s="158">
        <v>39980.479166666664</v>
      </c>
      <c r="D171" s="165">
        <v>30</v>
      </c>
      <c r="E171" s="170">
        <f t="shared" si="13"/>
        <v>0.8495055</v>
      </c>
      <c r="F171" s="167">
        <f>12.7*8</f>
        <v>101.6</v>
      </c>
      <c r="G171" s="135">
        <f>0.26*8</f>
        <v>2.08</v>
      </c>
      <c r="H171" s="139">
        <f t="shared" si="16"/>
        <v>0.16</v>
      </c>
      <c r="I171" s="167">
        <f>46.8*8</f>
        <v>374.4</v>
      </c>
      <c r="J171" s="164">
        <v>413.2677421875001</v>
      </c>
      <c r="K171" s="164">
        <f t="shared" si="14"/>
        <v>86.3097588</v>
      </c>
    </row>
    <row r="172" spans="1:11" ht="13.5">
      <c r="A172" s="169" t="s">
        <v>1862</v>
      </c>
      <c r="B172" s="166">
        <v>39987.46875</v>
      </c>
      <c r="C172" s="158">
        <v>39987.46875</v>
      </c>
      <c r="D172" s="165">
        <v>30</v>
      </c>
      <c r="E172" s="170">
        <f t="shared" si="13"/>
        <v>0.8495055</v>
      </c>
      <c r="F172" s="167">
        <f>12.7*8</f>
        <v>101.6</v>
      </c>
      <c r="G172" s="135">
        <f>0.26*8</f>
        <v>2.08</v>
      </c>
      <c r="H172" s="139">
        <f t="shared" si="16"/>
        <v>0.16</v>
      </c>
      <c r="I172" s="167">
        <f>46.9*8</f>
        <v>375.2</v>
      </c>
      <c r="J172" s="164">
        <v>417.7166067708332</v>
      </c>
      <c r="K172" s="164">
        <f t="shared" si="14"/>
        <v>86.3097588</v>
      </c>
    </row>
    <row r="173" spans="1:11" ht="13.5">
      <c r="A173" s="169" t="s">
        <v>1863</v>
      </c>
      <c r="B173" s="166">
        <v>39994.416666666664</v>
      </c>
      <c r="C173" s="158">
        <v>39994.416666666664</v>
      </c>
      <c r="D173" s="165">
        <v>30</v>
      </c>
      <c r="E173" s="170">
        <f t="shared" si="13"/>
        <v>0.8495055</v>
      </c>
      <c r="F173" s="167">
        <f>13.1*8</f>
        <v>104.8</v>
      </c>
      <c r="G173" s="135">
        <f>0.27*8</f>
        <v>2.16</v>
      </c>
      <c r="H173" s="139">
        <f t="shared" si="16"/>
        <v>0.16</v>
      </c>
      <c r="I173" s="167">
        <f>47.9*8</f>
        <v>383.2</v>
      </c>
      <c r="J173" s="164">
        <v>424.231015625</v>
      </c>
      <c r="K173" s="164">
        <f t="shared" si="14"/>
        <v>89.0281764</v>
      </c>
    </row>
    <row r="174" spans="1:11" ht="13.5">
      <c r="A174" s="169" t="s">
        <v>1864</v>
      </c>
      <c r="B174" s="166">
        <v>40001.46875</v>
      </c>
      <c r="C174" s="158">
        <v>40001.46875</v>
      </c>
      <c r="D174" s="165">
        <v>28</v>
      </c>
      <c r="E174" s="170">
        <f t="shared" si="13"/>
        <v>0.7928718</v>
      </c>
      <c r="F174" s="167">
        <f>13.9*8</f>
        <v>111.2</v>
      </c>
      <c r="G174" s="135">
        <f>0.25*8</f>
        <v>2</v>
      </c>
      <c r="H174" s="139">
        <f>0.04*8</f>
        <v>0.32</v>
      </c>
      <c r="I174" s="167">
        <f>51.1*8</f>
        <v>408.8</v>
      </c>
      <c r="J174" s="164">
        <v>430.74542447916673</v>
      </c>
      <c r="K174" s="164">
        <f t="shared" si="14"/>
        <v>88.16734416</v>
      </c>
    </row>
    <row r="175" spans="1:11" ht="13.5">
      <c r="A175" s="169" t="s">
        <v>1865</v>
      </c>
      <c r="B175" s="166">
        <v>40008.47222222222</v>
      </c>
      <c r="C175" s="158">
        <v>40008.47222222222</v>
      </c>
      <c r="D175" s="165">
        <v>28</v>
      </c>
      <c r="E175" s="170">
        <f t="shared" si="13"/>
        <v>0.7928718</v>
      </c>
      <c r="F175" s="167">
        <f>13.2*8</f>
        <v>105.6</v>
      </c>
      <c r="G175" s="135">
        <f>0.28*8</f>
        <v>2.24</v>
      </c>
      <c r="H175" s="139">
        <f>0.02*8</f>
        <v>0.16</v>
      </c>
      <c r="I175" s="167">
        <f>48.2*8</f>
        <v>385.6</v>
      </c>
      <c r="J175" s="164">
        <v>433.1287447916668</v>
      </c>
      <c r="K175" s="164">
        <f t="shared" si="14"/>
        <v>83.72726208</v>
      </c>
    </row>
    <row r="176" spans="1:11" ht="13.5">
      <c r="A176" s="169" t="s">
        <v>1866</v>
      </c>
      <c r="B176" s="166">
        <v>40015.489583333336</v>
      </c>
      <c r="C176" s="158">
        <v>40015.489583333336</v>
      </c>
      <c r="D176" s="165">
        <v>28</v>
      </c>
      <c r="E176" s="170">
        <f t="shared" si="13"/>
        <v>0.7928718</v>
      </c>
      <c r="F176" s="167">
        <f>13.3*8</f>
        <v>106.4</v>
      </c>
      <c r="G176" s="135">
        <f>0.26*8</f>
        <v>2.08</v>
      </c>
      <c r="H176" s="139">
        <f>0.03*8</f>
        <v>0.24</v>
      </c>
      <c r="I176" s="167">
        <f>48.4*8</f>
        <v>387.2</v>
      </c>
      <c r="J176" s="164">
        <v>374.97572916666667</v>
      </c>
      <c r="K176" s="164">
        <f t="shared" si="14"/>
        <v>84.36155952</v>
      </c>
    </row>
    <row r="177" spans="1:11" ht="13.5">
      <c r="A177" s="169" t="s">
        <v>1867</v>
      </c>
      <c r="B177" s="166">
        <v>40022.5</v>
      </c>
      <c r="C177" s="158">
        <v>40022.5</v>
      </c>
      <c r="D177" s="165">
        <v>28</v>
      </c>
      <c r="E177" s="170">
        <f t="shared" si="13"/>
        <v>0.7928718</v>
      </c>
      <c r="F177" s="167">
        <f>13.3*8</f>
        <v>106.4</v>
      </c>
      <c r="G177" s="135">
        <f>0.25*8</f>
        <v>2</v>
      </c>
      <c r="H177" s="139">
        <f>0.03*8</f>
        <v>0.24</v>
      </c>
      <c r="I177" s="167">
        <f>48.7*8</f>
        <v>389.6</v>
      </c>
      <c r="J177" s="164">
        <v>392.7711875</v>
      </c>
      <c r="K177" s="164">
        <f t="shared" si="14"/>
        <v>84.36155952</v>
      </c>
    </row>
    <row r="178" spans="1:11" ht="13.5">
      <c r="A178" s="169" t="s">
        <v>1868</v>
      </c>
      <c r="B178" s="166">
        <v>40029.447916666664</v>
      </c>
      <c r="C178" s="158">
        <v>40029.447916666664</v>
      </c>
      <c r="D178" s="165">
        <v>28</v>
      </c>
      <c r="E178" s="170">
        <f t="shared" si="13"/>
        <v>0.7928718</v>
      </c>
      <c r="F178" s="167">
        <f>13.6*8</f>
        <v>108.8</v>
      </c>
      <c r="G178" s="135">
        <f>0.25*8</f>
        <v>2</v>
      </c>
      <c r="H178" s="139">
        <f>0.04*8</f>
        <v>0.32</v>
      </c>
      <c r="I178" s="167">
        <f>49.6*8</f>
        <v>396.8</v>
      </c>
      <c r="J178" s="164">
        <v>385.62122656250006</v>
      </c>
      <c r="K178" s="164">
        <f t="shared" si="14"/>
        <v>86.26445183999999</v>
      </c>
    </row>
    <row r="179" spans="1:11" ht="13.5">
      <c r="A179" s="169" t="s">
        <v>1869</v>
      </c>
      <c r="B179" s="166">
        <v>40043.4375</v>
      </c>
      <c r="C179" s="158">
        <v>40043.4375</v>
      </c>
      <c r="D179" s="165">
        <v>27</v>
      </c>
      <c r="E179" s="170">
        <f t="shared" si="13"/>
        <v>0.7645549500000001</v>
      </c>
      <c r="F179" s="167">
        <f>13.6*8</f>
        <v>108.8</v>
      </c>
      <c r="G179" s="135">
        <f>0.27*8</f>
        <v>2.16</v>
      </c>
      <c r="H179" s="139">
        <f>0.03*8</f>
        <v>0.24</v>
      </c>
      <c r="I179" s="167">
        <f>49.2*8</f>
        <v>393.6</v>
      </c>
      <c r="J179" s="164">
        <v>422.6421354166667</v>
      </c>
      <c r="K179" s="164">
        <f t="shared" si="14"/>
        <v>83.18357856</v>
      </c>
    </row>
    <row r="180" spans="1:11" ht="13.5">
      <c r="A180" s="169" t="s">
        <v>1870</v>
      </c>
      <c r="B180" s="166">
        <v>40057.447916666664</v>
      </c>
      <c r="C180" s="158">
        <v>40057.447916666664</v>
      </c>
      <c r="D180" s="165">
        <v>26</v>
      </c>
      <c r="E180" s="170">
        <f t="shared" si="13"/>
        <v>0.7362381</v>
      </c>
      <c r="F180" s="167">
        <f>13.8*8</f>
        <v>110.4</v>
      </c>
      <c r="G180" s="135">
        <f>0.27*8</f>
        <v>2.16</v>
      </c>
      <c r="H180" s="139">
        <f>0.04*8</f>
        <v>0.32</v>
      </c>
      <c r="I180" s="167">
        <f>50*8</f>
        <v>400</v>
      </c>
      <c r="J180" s="164">
        <v>444.25090625</v>
      </c>
      <c r="K180" s="164">
        <f t="shared" si="14"/>
        <v>81.28068624000001</v>
      </c>
    </row>
    <row r="181" spans="1:11" ht="13.5">
      <c r="A181" s="169" t="s">
        <v>1871</v>
      </c>
      <c r="B181" s="166">
        <v>40074.4375</v>
      </c>
      <c r="C181" s="158">
        <v>40074.4375</v>
      </c>
      <c r="D181" s="165">
        <v>26</v>
      </c>
      <c r="E181" s="170">
        <f t="shared" si="13"/>
        <v>0.7362381</v>
      </c>
      <c r="F181" s="167">
        <f>13.9*8</f>
        <v>111.2</v>
      </c>
      <c r="G181" s="135">
        <f>0.27*8</f>
        <v>2.16</v>
      </c>
      <c r="H181" s="139">
        <f>0.03*8</f>
        <v>0.24</v>
      </c>
      <c r="I181" s="167">
        <f>49.5*8</f>
        <v>396</v>
      </c>
      <c r="J181" s="164">
        <v>446.4753385416667</v>
      </c>
      <c r="K181" s="164">
        <f t="shared" si="14"/>
        <v>81.86967672</v>
      </c>
    </row>
    <row r="182" spans="1:11" ht="12">
      <c r="A182" s="82" t="s">
        <v>1713</v>
      </c>
      <c r="B182" s="77"/>
      <c r="C182" s="138"/>
      <c r="D182" s="1"/>
      <c r="E182" s="18"/>
      <c r="F182" s="167"/>
      <c r="G182" s="9"/>
      <c r="H182" s="12"/>
      <c r="I182" s="2"/>
      <c r="J182" s="164"/>
      <c r="K182" s="2"/>
    </row>
    <row r="183" spans="1:11" ht="13.5">
      <c r="A183" s="169" t="s">
        <v>1872</v>
      </c>
      <c r="B183" s="166">
        <v>40087.666666666664</v>
      </c>
      <c r="C183" s="158">
        <v>40087.666666666664</v>
      </c>
      <c r="D183" s="165">
        <v>26</v>
      </c>
      <c r="E183" s="170">
        <f aca="true" t="shared" si="17" ref="E183:E210">D183*0.02831685</f>
        <v>0.7362381</v>
      </c>
      <c r="F183" s="167">
        <f>13.9*8</f>
        <v>111.2</v>
      </c>
      <c r="G183" s="135">
        <f>0.27*8</f>
        <v>2.16</v>
      </c>
      <c r="H183" s="139">
        <f>0.04*8</f>
        <v>0.32</v>
      </c>
      <c r="I183" s="167">
        <f>49.5*8</f>
        <v>396</v>
      </c>
      <c r="J183" s="164">
        <v>440.1198177083333</v>
      </c>
      <c r="K183" s="164">
        <f aca="true" t="shared" si="18" ref="K183:K210">E183*F183</f>
        <v>81.86967672</v>
      </c>
    </row>
    <row r="184" spans="1:11" ht="13.5">
      <c r="A184" s="169" t="s">
        <v>1873</v>
      </c>
      <c r="B184" s="166">
        <v>40101.46875</v>
      </c>
      <c r="C184" s="158">
        <v>40101.46875</v>
      </c>
      <c r="D184" s="142">
        <v>25</v>
      </c>
      <c r="E184" s="170">
        <f t="shared" si="17"/>
        <v>0.7079212500000001</v>
      </c>
      <c r="F184" s="167">
        <f>14*8</f>
        <v>112</v>
      </c>
      <c r="G184" s="135">
        <f>0.26*8</f>
        <v>2.08</v>
      </c>
      <c r="H184" s="139">
        <f>0.03*8</f>
        <v>0.24</v>
      </c>
      <c r="I184" s="167">
        <f>51.7*8</f>
        <v>413.6</v>
      </c>
      <c r="J184" s="2">
        <v>294.41950260416667</v>
      </c>
      <c r="K184" s="160">
        <f t="shared" si="18"/>
        <v>79.28718</v>
      </c>
    </row>
    <row r="185" spans="1:11" ht="13.5">
      <c r="A185" s="169" t="s">
        <v>1874</v>
      </c>
      <c r="B185" s="166">
        <v>40126.447916666664</v>
      </c>
      <c r="C185" s="158">
        <v>40126.447916666664</v>
      </c>
      <c r="D185" s="142">
        <v>25</v>
      </c>
      <c r="E185" s="170">
        <f t="shared" si="17"/>
        <v>0.7079212500000001</v>
      </c>
      <c r="F185" s="167">
        <f>14.6*8</f>
        <v>116.8</v>
      </c>
      <c r="G185" s="135">
        <f>0.27*8</f>
        <v>2.16</v>
      </c>
      <c r="H185" s="139">
        <f>0.03*8</f>
        <v>0.24</v>
      </c>
      <c r="I185" s="167">
        <f>53*8</f>
        <v>424</v>
      </c>
      <c r="J185" s="2">
        <v>285.20399739583337</v>
      </c>
      <c r="K185" s="160">
        <f t="shared" si="18"/>
        <v>82.685202</v>
      </c>
    </row>
    <row r="186" spans="1:11" ht="13.5">
      <c r="A186" s="169" t="s">
        <v>1875</v>
      </c>
      <c r="B186" s="166">
        <v>40155.458333333336</v>
      </c>
      <c r="C186" s="158">
        <v>40155.458333333336</v>
      </c>
      <c r="D186" s="142">
        <v>27</v>
      </c>
      <c r="E186" s="170">
        <f t="shared" si="17"/>
        <v>0.7645549500000001</v>
      </c>
      <c r="F186" s="167">
        <f>14*8</f>
        <v>112</v>
      </c>
      <c r="G186" s="135">
        <f>0.26*8</f>
        <v>2.08</v>
      </c>
      <c r="H186" s="139">
        <f>0.02*8</f>
        <v>0.16</v>
      </c>
      <c r="I186" s="167">
        <f>50.6*8</f>
        <v>404.8</v>
      </c>
      <c r="J186" s="2">
        <v>318.57048177083334</v>
      </c>
      <c r="K186" s="160">
        <f t="shared" si="18"/>
        <v>85.63015440000001</v>
      </c>
    </row>
    <row r="187" spans="1:11" ht="13.5">
      <c r="A187" s="169" t="s">
        <v>1876</v>
      </c>
      <c r="B187" s="166">
        <v>40168.458333333336</v>
      </c>
      <c r="C187" s="158">
        <v>40168.458333333336</v>
      </c>
      <c r="D187" s="142">
        <v>26</v>
      </c>
      <c r="E187" s="170">
        <f t="shared" si="17"/>
        <v>0.7362381</v>
      </c>
      <c r="F187" s="167">
        <f>14.4*8</f>
        <v>115.2</v>
      </c>
      <c r="G187" s="135">
        <f>0.27*8</f>
        <v>2.16</v>
      </c>
      <c r="H187" s="139">
        <f>0.02*8</f>
        <v>0.16</v>
      </c>
      <c r="I187" s="167">
        <f>52.4*8</f>
        <v>419.2</v>
      </c>
      <c r="J187" s="2">
        <v>325.24377864583334</v>
      </c>
      <c r="K187" s="160">
        <f t="shared" si="18"/>
        <v>84.81462912</v>
      </c>
    </row>
    <row r="188" spans="1:11" ht="13.5">
      <c r="A188" s="169" t="s">
        <v>1877</v>
      </c>
      <c r="B188" s="166">
        <v>40207.4375</v>
      </c>
      <c r="C188" s="158">
        <v>40207.4375</v>
      </c>
      <c r="D188" s="142">
        <v>26</v>
      </c>
      <c r="E188" s="170">
        <f t="shared" si="17"/>
        <v>0.7362381</v>
      </c>
      <c r="F188" s="167">
        <f>14.7*8</f>
        <v>117.6</v>
      </c>
      <c r="G188" s="135">
        <f>0.28*8</f>
        <v>2.24</v>
      </c>
      <c r="H188" s="139">
        <f>0.03*8</f>
        <v>0.24</v>
      </c>
      <c r="I188" s="167">
        <f>53.9*8</f>
        <v>431.2</v>
      </c>
      <c r="J188" s="2">
        <v>373.54573697916663</v>
      </c>
      <c r="K188" s="160">
        <f t="shared" si="18"/>
        <v>86.58160056</v>
      </c>
    </row>
    <row r="189" spans="1:11" ht="13.5">
      <c r="A189" s="169" t="s">
        <v>1878</v>
      </c>
      <c r="B189" s="166">
        <v>40234.458333333336</v>
      </c>
      <c r="C189" s="158">
        <v>40234.458333333336</v>
      </c>
      <c r="D189" s="142">
        <v>27</v>
      </c>
      <c r="E189" s="170">
        <f t="shared" si="17"/>
        <v>0.7645549500000001</v>
      </c>
      <c r="F189" s="167">
        <f>14.6*8</f>
        <v>116.8</v>
      </c>
      <c r="G189" s="135">
        <f>0.28*8</f>
        <v>2.24</v>
      </c>
      <c r="H189" s="139">
        <f>0.03*8</f>
        <v>0.24</v>
      </c>
      <c r="I189" s="167">
        <f>53.3*8</f>
        <v>426.4</v>
      </c>
      <c r="J189" s="2">
        <v>357.18027083333334</v>
      </c>
      <c r="K189" s="160">
        <f t="shared" si="18"/>
        <v>89.30001816000001</v>
      </c>
    </row>
    <row r="190" spans="1:11" ht="13.5">
      <c r="A190" s="169" t="s">
        <v>1879</v>
      </c>
      <c r="B190" s="166">
        <v>40262.5</v>
      </c>
      <c r="C190" s="158">
        <v>40262.5</v>
      </c>
      <c r="D190" s="142">
        <v>27</v>
      </c>
      <c r="E190" s="168">
        <f t="shared" si="17"/>
        <v>0.7645549500000001</v>
      </c>
      <c r="F190" s="167">
        <f>14.2*8</f>
        <v>113.6</v>
      </c>
      <c r="G190" s="135">
        <f>0.28*8</f>
        <v>2.24</v>
      </c>
      <c r="H190" s="139">
        <f>0.02*8</f>
        <v>0.16</v>
      </c>
      <c r="I190" s="167">
        <f>51.5*8</f>
        <v>412</v>
      </c>
      <c r="J190" s="2">
        <v>434.3998489583334</v>
      </c>
      <c r="K190" s="160">
        <f t="shared" si="18"/>
        <v>86.85344232</v>
      </c>
    </row>
    <row r="191" spans="1:11" ht="13.5">
      <c r="A191" s="169" t="s">
        <v>1880</v>
      </c>
      <c r="B191" s="166">
        <v>40276.458333333336</v>
      </c>
      <c r="C191" s="158">
        <v>40276.458333333336</v>
      </c>
      <c r="D191" s="142">
        <v>28</v>
      </c>
      <c r="E191" s="168">
        <f t="shared" si="17"/>
        <v>0.7928718</v>
      </c>
      <c r="F191" s="167">
        <f>14.5*8</f>
        <v>116</v>
      </c>
      <c r="G191" s="135">
        <f>0.27*8</f>
        <v>2.16</v>
      </c>
      <c r="H191" s="139">
        <f>0.03*8</f>
        <v>0.24</v>
      </c>
      <c r="I191" s="167">
        <f>52.8*8</f>
        <v>422.4</v>
      </c>
      <c r="J191" s="2">
        <v>430.10987239583335</v>
      </c>
      <c r="K191" s="164">
        <f t="shared" si="18"/>
        <v>91.9731288</v>
      </c>
    </row>
    <row r="192" spans="1:11" ht="13.5">
      <c r="A192" s="169" t="s">
        <v>1881</v>
      </c>
      <c r="B192" s="166">
        <v>40295.479166666664</v>
      </c>
      <c r="C192" s="158">
        <v>40295.479166666664</v>
      </c>
      <c r="D192" s="142">
        <v>28</v>
      </c>
      <c r="E192" s="170">
        <f t="shared" si="17"/>
        <v>0.7928718</v>
      </c>
      <c r="F192" s="167">
        <f>14.1*8</f>
        <v>112.8</v>
      </c>
      <c r="G192" s="135">
        <f>0.28*8</f>
        <v>2.24</v>
      </c>
      <c r="H192" s="139">
        <f>0.02*8</f>
        <v>0.16</v>
      </c>
      <c r="I192" s="167">
        <f>51.5*8</f>
        <v>412</v>
      </c>
      <c r="J192" s="2">
        <v>433.44652083333335</v>
      </c>
      <c r="K192" s="164">
        <f t="shared" si="18"/>
        <v>89.43593904</v>
      </c>
    </row>
    <row r="193" spans="1:11" ht="13.5">
      <c r="A193" s="169" t="s">
        <v>1882</v>
      </c>
      <c r="B193" s="166">
        <v>40305.458333333336</v>
      </c>
      <c r="C193" s="158">
        <v>40305.458333333336</v>
      </c>
      <c r="D193" s="142">
        <v>28</v>
      </c>
      <c r="E193" s="170">
        <f t="shared" si="17"/>
        <v>0.7928718</v>
      </c>
      <c r="F193" s="167">
        <f>14.4*8</f>
        <v>115.2</v>
      </c>
      <c r="G193" s="135">
        <f>0.28*8</f>
        <v>2.24</v>
      </c>
      <c r="H193" s="139">
        <f>0.04*8</f>
        <v>0.32</v>
      </c>
      <c r="I193" s="167">
        <f>52.1*8</f>
        <v>416.8</v>
      </c>
      <c r="J193" s="164">
        <v>331.28152343749997</v>
      </c>
      <c r="K193" s="164">
        <f t="shared" si="18"/>
        <v>91.33883136</v>
      </c>
    </row>
    <row r="194" spans="1:11" ht="13.5">
      <c r="A194" s="169" t="s">
        <v>1883</v>
      </c>
      <c r="B194" s="166">
        <v>40316.458333333336</v>
      </c>
      <c r="C194" s="158">
        <v>40316.458333333336</v>
      </c>
      <c r="D194" s="142">
        <v>29</v>
      </c>
      <c r="E194" s="170">
        <f t="shared" si="17"/>
        <v>0.8211886500000001</v>
      </c>
      <c r="F194" s="167">
        <f>13.2*8</f>
        <v>105.6</v>
      </c>
      <c r="G194" s="135">
        <f>0.23*8</f>
        <v>1.84</v>
      </c>
      <c r="H194" s="139">
        <f>0.04*8</f>
        <v>0.32</v>
      </c>
      <c r="I194" s="167">
        <f>48.5*8</f>
        <v>388</v>
      </c>
      <c r="J194" s="164">
        <v>337.47815625</v>
      </c>
      <c r="K194" s="164">
        <f t="shared" si="18"/>
        <v>86.71752144</v>
      </c>
    </row>
    <row r="195" spans="1:11" ht="13.5">
      <c r="A195" s="169" t="s">
        <v>1884</v>
      </c>
      <c r="B195" s="166">
        <v>40323.510416666664</v>
      </c>
      <c r="C195" s="158">
        <v>40323.510416666664</v>
      </c>
      <c r="D195" s="142">
        <v>29</v>
      </c>
      <c r="E195" s="170">
        <f t="shared" si="17"/>
        <v>0.8211886500000001</v>
      </c>
      <c r="F195" s="167">
        <f>13.7*8</f>
        <v>109.6</v>
      </c>
      <c r="G195" s="135">
        <f>0.26*8</f>
        <v>2.08</v>
      </c>
      <c r="H195" s="139">
        <f>0.04*8</f>
        <v>0.32</v>
      </c>
      <c r="I195" s="167">
        <f>50*8</f>
        <v>400</v>
      </c>
      <c r="J195" s="164">
        <v>370.36797656249996</v>
      </c>
      <c r="K195" s="164">
        <f t="shared" si="18"/>
        <v>90.00227604</v>
      </c>
    </row>
    <row r="196" spans="1:11" ht="13.5">
      <c r="A196" s="169" t="s">
        <v>1885</v>
      </c>
      <c r="B196" s="166">
        <v>40332.6875</v>
      </c>
      <c r="C196" s="158">
        <v>40332.6875</v>
      </c>
      <c r="D196" s="142">
        <v>28</v>
      </c>
      <c r="E196" s="170">
        <f t="shared" si="17"/>
        <v>0.7928718</v>
      </c>
      <c r="F196" s="167">
        <f>13.1*8</f>
        <v>104.8</v>
      </c>
      <c r="G196" s="135">
        <f>0.23*8</f>
        <v>1.84</v>
      </c>
      <c r="H196" s="139">
        <f>0.04*8</f>
        <v>0.32</v>
      </c>
      <c r="I196" s="167">
        <f>48.4*8</f>
        <v>387.2</v>
      </c>
      <c r="J196" s="164">
        <v>416.604390625</v>
      </c>
      <c r="K196" s="164">
        <f t="shared" si="18"/>
        <v>83.09296464</v>
      </c>
    </row>
    <row r="197" spans="1:11" ht="13.5">
      <c r="A197" s="169" t="s">
        <v>1886</v>
      </c>
      <c r="B197" s="166">
        <v>40338.46875</v>
      </c>
      <c r="C197" s="158">
        <v>40338.46875</v>
      </c>
      <c r="D197" s="142">
        <v>29</v>
      </c>
      <c r="E197" s="170">
        <f t="shared" si="17"/>
        <v>0.8211886500000001</v>
      </c>
      <c r="F197" s="167">
        <f>12.9*8</f>
        <v>103.2</v>
      </c>
      <c r="G197" s="135">
        <f>0.24*8</f>
        <v>1.92</v>
      </c>
      <c r="H197" s="139">
        <f>0.03*8</f>
        <v>0.24</v>
      </c>
      <c r="I197" s="167">
        <f>47.3*8</f>
        <v>378.4</v>
      </c>
      <c r="J197" s="164">
        <v>407.07110937500005</v>
      </c>
      <c r="K197" s="164">
        <f t="shared" si="18"/>
        <v>84.74666868000001</v>
      </c>
    </row>
    <row r="198" spans="1:11" ht="13.5">
      <c r="A198" s="169" t="s">
        <v>1887</v>
      </c>
      <c r="B198" s="166">
        <v>40343.583333333336</v>
      </c>
      <c r="C198" s="158">
        <v>40343.583333333336</v>
      </c>
      <c r="D198" s="142">
        <v>28</v>
      </c>
      <c r="E198" s="170">
        <f t="shared" si="17"/>
        <v>0.7928718</v>
      </c>
      <c r="F198" s="167">
        <f>13.3*8</f>
        <v>106.4</v>
      </c>
      <c r="G198" s="135">
        <f>0.25*8</f>
        <v>2</v>
      </c>
      <c r="H198" s="139">
        <f aca="true" t="shared" si="19" ref="H198:H210">0.04*8</f>
        <v>0.32</v>
      </c>
      <c r="I198" s="167">
        <f>48.5*8</f>
        <v>388</v>
      </c>
      <c r="J198" s="164">
        <v>396.2667239583334</v>
      </c>
      <c r="K198" s="164">
        <f t="shared" si="18"/>
        <v>84.36155952</v>
      </c>
    </row>
    <row r="199" spans="1:11" ht="13.5">
      <c r="A199" s="169" t="s">
        <v>1888</v>
      </c>
      <c r="B199" s="166">
        <v>40354.822916666664</v>
      </c>
      <c r="C199" s="158">
        <v>40354.822916666664</v>
      </c>
      <c r="D199" s="142">
        <v>28</v>
      </c>
      <c r="E199" s="170">
        <f t="shared" si="17"/>
        <v>0.7928718</v>
      </c>
      <c r="F199" s="167">
        <f>13.6*8</f>
        <v>108.8</v>
      </c>
      <c r="G199" s="135">
        <f>0.26*8</f>
        <v>2.08</v>
      </c>
      <c r="H199" s="139">
        <f t="shared" si="19"/>
        <v>0.32</v>
      </c>
      <c r="I199" s="167">
        <f>49.9*8</f>
        <v>399.2</v>
      </c>
      <c r="J199" s="164">
        <v>362.58246354166664</v>
      </c>
      <c r="K199" s="164">
        <f t="shared" si="18"/>
        <v>86.26445183999999</v>
      </c>
    </row>
    <row r="200" spans="1:11" ht="13.5">
      <c r="A200" s="169" t="s">
        <v>1889</v>
      </c>
      <c r="B200" s="166">
        <v>40361.552083333336</v>
      </c>
      <c r="C200" s="158">
        <v>40361.552083333336</v>
      </c>
      <c r="D200" s="142">
        <v>28</v>
      </c>
      <c r="E200" s="170">
        <f t="shared" si="17"/>
        <v>0.7928718</v>
      </c>
      <c r="F200" s="167">
        <f>13.3*8</f>
        <v>106.4</v>
      </c>
      <c r="G200" s="135">
        <f>0.25*8</f>
        <v>2</v>
      </c>
      <c r="H200" s="139">
        <f t="shared" si="19"/>
        <v>0.32</v>
      </c>
      <c r="I200" s="167">
        <f>48.3*8</f>
        <v>386.4</v>
      </c>
      <c r="J200" s="164">
        <v>393.4067395833333</v>
      </c>
      <c r="K200" s="164">
        <f t="shared" si="18"/>
        <v>84.36155952</v>
      </c>
    </row>
    <row r="201" spans="1:11" ht="13.5">
      <c r="A201" s="169" t="s">
        <v>1890</v>
      </c>
      <c r="B201" s="166">
        <v>40366.4375</v>
      </c>
      <c r="C201" s="158">
        <v>40366.4375</v>
      </c>
      <c r="D201" s="142">
        <v>28</v>
      </c>
      <c r="E201" s="170">
        <f t="shared" si="17"/>
        <v>0.7928718</v>
      </c>
      <c r="F201" s="167">
        <f>13.5*8</f>
        <v>108</v>
      </c>
      <c r="G201" s="135">
        <f>0.26*8</f>
        <v>2.08</v>
      </c>
      <c r="H201" s="139">
        <f t="shared" si="19"/>
        <v>0.32</v>
      </c>
      <c r="I201" s="167">
        <f>49.7*8</f>
        <v>397.6</v>
      </c>
      <c r="J201" s="164">
        <v>389.5934270833333</v>
      </c>
      <c r="K201" s="164">
        <f t="shared" si="18"/>
        <v>85.6301544</v>
      </c>
    </row>
    <row r="202" spans="1:11" ht="13.5">
      <c r="A202" s="169" t="s">
        <v>1891</v>
      </c>
      <c r="B202" s="166">
        <v>40374.552083333336</v>
      </c>
      <c r="C202" s="158">
        <f>B202</f>
        <v>40374.552083333336</v>
      </c>
      <c r="D202" s="142">
        <v>27</v>
      </c>
      <c r="E202" s="170">
        <f t="shared" si="17"/>
        <v>0.7645549500000001</v>
      </c>
      <c r="F202" s="167">
        <f>14*8</f>
        <v>112</v>
      </c>
      <c r="G202" s="135">
        <f>0.28*8</f>
        <v>2.24</v>
      </c>
      <c r="H202" s="139">
        <f t="shared" si="19"/>
        <v>0.32</v>
      </c>
      <c r="I202" s="167">
        <f>50.7*8</f>
        <v>405.6</v>
      </c>
      <c r="J202" s="164">
        <v>349.2358697916667</v>
      </c>
      <c r="K202" s="164">
        <f t="shared" si="18"/>
        <v>85.63015440000001</v>
      </c>
    </row>
    <row r="203" spans="1:11" ht="13.5">
      <c r="A203" s="169" t="s">
        <v>1892</v>
      </c>
      <c r="B203" s="166">
        <v>40380.65625</v>
      </c>
      <c r="C203" s="158">
        <f>B203</f>
        <v>40380.65625</v>
      </c>
      <c r="D203" s="142">
        <v>27</v>
      </c>
      <c r="E203" s="170">
        <f t="shared" si="17"/>
        <v>0.7645549500000001</v>
      </c>
      <c r="F203" s="167">
        <f>13.9*8</f>
        <v>111.2</v>
      </c>
      <c r="G203" s="135">
        <f>0.28*8</f>
        <v>2.24</v>
      </c>
      <c r="H203" s="139">
        <f t="shared" si="19"/>
        <v>0.32</v>
      </c>
      <c r="I203" s="167">
        <f>50.5*8</f>
        <v>404</v>
      </c>
      <c r="J203" s="164">
        <v>363.6946796875</v>
      </c>
      <c r="K203" s="164">
        <f t="shared" si="18"/>
        <v>85.01851044000001</v>
      </c>
    </row>
    <row r="204" spans="1:11" ht="13.5">
      <c r="A204" s="169" t="s">
        <v>1893</v>
      </c>
      <c r="B204" s="166">
        <v>40387.51388888889</v>
      </c>
      <c r="C204" s="158">
        <v>40387.51388888889</v>
      </c>
      <c r="D204" s="142">
        <v>27</v>
      </c>
      <c r="E204" s="170">
        <f t="shared" si="17"/>
        <v>0.7645549500000001</v>
      </c>
      <c r="F204" s="167">
        <f>13.9*8</f>
        <v>111.2</v>
      </c>
      <c r="G204" s="135">
        <f>0.27*8</f>
        <v>2.16</v>
      </c>
      <c r="H204" s="139">
        <f t="shared" si="19"/>
        <v>0.32</v>
      </c>
      <c r="I204" s="167">
        <f>50.5*8</f>
        <v>404</v>
      </c>
      <c r="J204" s="164">
        <v>363.6946796875</v>
      </c>
      <c r="K204" s="164">
        <f t="shared" si="18"/>
        <v>85.01851044000001</v>
      </c>
    </row>
    <row r="205" spans="1:11" ht="13.5">
      <c r="A205" s="169" t="s">
        <v>1894</v>
      </c>
      <c r="B205" s="166">
        <v>40394.427083333336</v>
      </c>
      <c r="C205" s="158">
        <v>40394.427083333336</v>
      </c>
      <c r="D205" s="142">
        <v>27</v>
      </c>
      <c r="E205" s="170">
        <f t="shared" si="17"/>
        <v>0.7645549500000001</v>
      </c>
      <c r="F205" s="167">
        <f>13.9*8</f>
        <v>111.2</v>
      </c>
      <c r="G205" s="135">
        <f>0.29*8</f>
        <v>2.32</v>
      </c>
      <c r="H205" s="139">
        <f t="shared" si="19"/>
        <v>0.32</v>
      </c>
      <c r="I205" s="167">
        <f>50.8*8</f>
        <v>406.4</v>
      </c>
      <c r="J205" s="164">
        <v>404.84667708333336</v>
      </c>
      <c r="K205" s="164">
        <f t="shared" si="18"/>
        <v>85.01851044000001</v>
      </c>
    </row>
    <row r="206" spans="1:11" ht="13.5">
      <c r="A206" s="169" t="s">
        <v>1895</v>
      </c>
      <c r="B206" s="166">
        <v>40403.37847222222</v>
      </c>
      <c r="C206" s="158">
        <v>40403.37847222222</v>
      </c>
      <c r="D206" s="142">
        <v>27</v>
      </c>
      <c r="E206" s="170">
        <f t="shared" si="17"/>
        <v>0.7645549500000001</v>
      </c>
      <c r="F206" s="167">
        <f>13.9*8</f>
        <v>111.2</v>
      </c>
      <c r="G206" s="135">
        <f>0.28*8</f>
        <v>2.24</v>
      </c>
      <c r="H206" s="139">
        <f t="shared" si="19"/>
        <v>0.32</v>
      </c>
      <c r="I206" s="167">
        <f>50.5*8</f>
        <v>404</v>
      </c>
      <c r="J206" s="164">
        <v>416.12772656249996</v>
      </c>
      <c r="K206" s="164">
        <f t="shared" si="18"/>
        <v>85.01851044000001</v>
      </c>
    </row>
    <row r="207" spans="1:11" ht="13.5">
      <c r="A207" s="169" t="s">
        <v>1896</v>
      </c>
      <c r="B207" s="166">
        <v>40408.54861111111</v>
      </c>
      <c r="C207" s="158">
        <v>40408.54861111111</v>
      </c>
      <c r="D207" s="142">
        <v>27</v>
      </c>
      <c r="E207" s="170">
        <f t="shared" si="17"/>
        <v>0.7645549500000001</v>
      </c>
      <c r="F207" s="167">
        <f>14*8</f>
        <v>112</v>
      </c>
      <c r="G207" s="135">
        <f>0.27*8</f>
        <v>2.16</v>
      </c>
      <c r="H207" s="139">
        <f t="shared" si="19"/>
        <v>0.32</v>
      </c>
      <c r="I207" s="167">
        <f>50.9*8</f>
        <v>407.2</v>
      </c>
      <c r="J207" s="164">
        <v>359.7224791666667</v>
      </c>
      <c r="K207" s="164">
        <f t="shared" si="18"/>
        <v>85.63015440000001</v>
      </c>
    </row>
    <row r="208" spans="1:11" ht="13.5">
      <c r="A208" s="169" t="s">
        <v>1897</v>
      </c>
      <c r="B208" s="166">
        <v>40415.475694444445</v>
      </c>
      <c r="C208" s="158">
        <v>40415.475694444445</v>
      </c>
      <c r="D208" s="142">
        <v>27</v>
      </c>
      <c r="E208" s="170">
        <f t="shared" si="17"/>
        <v>0.7645549500000001</v>
      </c>
      <c r="F208" s="167">
        <f>14*8</f>
        <v>112</v>
      </c>
      <c r="G208" s="135">
        <f>0.29*8</f>
        <v>2.32</v>
      </c>
      <c r="H208" s="139">
        <f t="shared" si="19"/>
        <v>0.32</v>
      </c>
      <c r="I208" s="167">
        <f>50.6*8</f>
        <v>404.8</v>
      </c>
      <c r="J208" s="164">
        <v>386.5745546875</v>
      </c>
      <c r="K208" s="164">
        <f t="shared" si="18"/>
        <v>85.63015440000001</v>
      </c>
    </row>
    <row r="209" spans="1:11" ht="13.5">
      <c r="A209" s="169" t="s">
        <v>1898</v>
      </c>
      <c r="B209" s="166">
        <v>40430.48263888889</v>
      </c>
      <c r="C209" s="158">
        <v>40430.48263888889</v>
      </c>
      <c r="D209" s="142">
        <v>28</v>
      </c>
      <c r="E209" s="170">
        <f t="shared" si="17"/>
        <v>0.7928718</v>
      </c>
      <c r="F209" s="167">
        <f>14.9*8</f>
        <v>119.2</v>
      </c>
      <c r="G209" s="135">
        <f>0.32*8</f>
        <v>2.56</v>
      </c>
      <c r="H209" s="139">
        <f t="shared" si="19"/>
        <v>0.32</v>
      </c>
      <c r="I209" s="167">
        <f>54.1*8</f>
        <v>432.8</v>
      </c>
      <c r="J209" s="164">
        <v>434.71762500000006</v>
      </c>
      <c r="K209" s="164">
        <f t="shared" si="18"/>
        <v>94.51031856</v>
      </c>
    </row>
    <row r="210" spans="1:11" ht="13.5">
      <c r="A210" s="169" t="s">
        <v>1899</v>
      </c>
      <c r="B210" s="166">
        <v>40445.447916666664</v>
      </c>
      <c r="C210" s="158">
        <v>40445.447916666664</v>
      </c>
      <c r="D210" s="142">
        <v>27</v>
      </c>
      <c r="E210" s="170">
        <f t="shared" si="17"/>
        <v>0.7645549500000001</v>
      </c>
      <c r="F210" s="167">
        <f>14.1*8</f>
        <v>112.8</v>
      </c>
      <c r="G210" s="135">
        <f>0.3*8</f>
        <v>2.4</v>
      </c>
      <c r="H210" s="139">
        <f t="shared" si="19"/>
        <v>0.32</v>
      </c>
      <c r="I210" s="167">
        <f>51.5*8</f>
        <v>412</v>
      </c>
      <c r="J210" s="164">
        <v>436.78316927083335</v>
      </c>
      <c r="K210" s="164">
        <f t="shared" si="18"/>
        <v>86.24179836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8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8515625" style="113" customWidth="1"/>
    <col min="2" max="2" width="18.7109375" style="95" customWidth="1"/>
    <col min="3" max="3" width="15.421875" style="86" bestFit="1" customWidth="1"/>
    <col min="4" max="5" width="11.421875" style="86" customWidth="1"/>
    <col min="6" max="7" width="9.140625" style="110" customWidth="1"/>
    <col min="8" max="8" width="9.140625" style="109" customWidth="1"/>
    <col min="9" max="9" width="9.140625" style="110" customWidth="1"/>
    <col min="10" max="11" width="11.421875" style="86" customWidth="1"/>
  </cols>
  <sheetData>
    <row r="1" spans="1:8" ht="12.75">
      <c r="A1" s="82" t="s">
        <v>53</v>
      </c>
      <c r="H1" s="67" t="s">
        <v>784</v>
      </c>
    </row>
    <row r="2" spans="1:11" ht="15.75">
      <c r="A2" s="82" t="s">
        <v>524</v>
      </c>
      <c r="B2" s="84" t="s">
        <v>1644</v>
      </c>
      <c r="C2" s="78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79" t="s">
        <v>327</v>
      </c>
      <c r="J2" s="58" t="s">
        <v>971</v>
      </c>
      <c r="K2" s="79" t="s">
        <v>328</v>
      </c>
    </row>
    <row r="3" spans="3:11" ht="14.25">
      <c r="C3" s="97" t="s">
        <v>735</v>
      </c>
      <c r="D3" s="97" t="s">
        <v>968</v>
      </c>
      <c r="E3" s="98" t="s">
        <v>271</v>
      </c>
      <c r="F3" s="99" t="s">
        <v>969</v>
      </c>
      <c r="G3" s="99" t="s">
        <v>969</v>
      </c>
      <c r="H3" s="98" t="s">
        <v>969</v>
      </c>
      <c r="I3" s="99" t="s">
        <v>969</v>
      </c>
      <c r="J3" s="100" t="s">
        <v>969</v>
      </c>
      <c r="K3" s="99" t="s">
        <v>783</v>
      </c>
    </row>
    <row r="4" spans="1:11" ht="12.75">
      <c r="A4" s="82" t="s">
        <v>960</v>
      </c>
      <c r="C4" s="97"/>
      <c r="D4" s="97"/>
      <c r="E4" s="99"/>
      <c r="F4" s="99"/>
      <c r="G4" s="99"/>
      <c r="H4" s="98"/>
      <c r="I4" s="99"/>
      <c r="J4" s="100"/>
      <c r="K4" s="97"/>
    </row>
    <row r="5" spans="1:11" ht="12.75">
      <c r="A5" s="113" t="s">
        <v>1537</v>
      </c>
      <c r="B5" s="95">
        <v>37181</v>
      </c>
      <c r="C5" s="119">
        <v>0.6840277777777778</v>
      </c>
      <c r="D5" s="101">
        <v>381</v>
      </c>
      <c r="E5" s="99">
        <v>10.78871985</v>
      </c>
      <c r="F5" s="99">
        <v>66</v>
      </c>
      <c r="G5" s="99">
        <v>7.7</v>
      </c>
      <c r="H5" s="98">
        <v>0.14</v>
      </c>
      <c r="I5" s="99">
        <v>18.4</v>
      </c>
      <c r="J5" s="100">
        <v>143.6</v>
      </c>
      <c r="K5" s="100">
        <f>E5*F5</f>
        <v>712.0555101</v>
      </c>
    </row>
    <row r="6" spans="1:11" ht="12.75">
      <c r="A6" s="113" t="s">
        <v>1538</v>
      </c>
      <c r="B6" s="95">
        <v>37209</v>
      </c>
      <c r="C6" s="119">
        <v>0.4375</v>
      </c>
      <c r="D6" s="101">
        <v>369</v>
      </c>
      <c r="E6" s="99">
        <v>10.44891765</v>
      </c>
      <c r="F6" s="99">
        <v>67</v>
      </c>
      <c r="G6" s="99">
        <v>7.9</v>
      </c>
      <c r="H6" s="98">
        <v>0.15</v>
      </c>
      <c r="I6" s="99">
        <v>16.8</v>
      </c>
      <c r="J6" s="100">
        <v>146.5</v>
      </c>
      <c r="K6" s="100">
        <f aca="true" t="shared" si="0" ref="K6:K68">E6*F6</f>
        <v>700.07748255</v>
      </c>
    </row>
    <row r="7" spans="1:11" ht="12.75">
      <c r="A7" s="113" t="s">
        <v>1645</v>
      </c>
      <c r="B7" s="95">
        <v>37235</v>
      </c>
      <c r="C7" s="119">
        <v>0.6041666666666666</v>
      </c>
      <c r="D7" s="97">
        <v>369</v>
      </c>
      <c r="E7" s="99">
        <v>10.44891765</v>
      </c>
      <c r="F7" s="99">
        <v>74</v>
      </c>
      <c r="G7" s="99">
        <v>8.1</v>
      </c>
      <c r="H7" s="98">
        <v>0.2</v>
      </c>
      <c r="I7" s="99">
        <v>19.3</v>
      </c>
      <c r="J7" s="100">
        <v>153.485828125</v>
      </c>
      <c r="K7" s="100">
        <f t="shared" si="0"/>
        <v>773.2199061</v>
      </c>
    </row>
    <row r="8" spans="1:11" ht="12.75">
      <c r="A8" s="113" t="s">
        <v>1539</v>
      </c>
      <c r="B8" s="95">
        <v>37238</v>
      </c>
      <c r="C8" s="119">
        <v>0.5729166666666666</v>
      </c>
      <c r="D8" s="97">
        <v>375</v>
      </c>
      <c r="E8" s="99">
        <v>10.61881875</v>
      </c>
      <c r="F8" s="99">
        <v>67</v>
      </c>
      <c r="G8" s="99">
        <v>7.8</v>
      </c>
      <c r="H8" s="98">
        <v>0.13</v>
      </c>
      <c r="I8" s="99">
        <v>17.9</v>
      </c>
      <c r="J8" s="100">
        <v>148.7</v>
      </c>
      <c r="K8" s="100">
        <f t="shared" si="0"/>
        <v>711.46085625</v>
      </c>
    </row>
    <row r="9" spans="1:11" ht="12.75">
      <c r="A9" s="113" t="s">
        <v>1646</v>
      </c>
      <c r="B9" s="95">
        <v>37273</v>
      </c>
      <c r="C9" s="119">
        <v>0.5833333333333334</v>
      </c>
      <c r="D9" s="97">
        <v>358</v>
      </c>
      <c r="E9" s="99">
        <v>10.1374323</v>
      </c>
      <c r="F9" s="99">
        <v>70</v>
      </c>
      <c r="G9" s="99">
        <v>7.9</v>
      </c>
      <c r="H9" s="98">
        <v>0.18</v>
      </c>
      <c r="I9" s="99">
        <v>17</v>
      </c>
      <c r="J9" s="100">
        <v>152.2147239583333</v>
      </c>
      <c r="K9" s="100">
        <f t="shared" si="0"/>
        <v>709.620261</v>
      </c>
    </row>
    <row r="10" spans="1:11" ht="12.75">
      <c r="A10" s="113" t="s">
        <v>1647</v>
      </c>
      <c r="B10" s="95">
        <v>37301</v>
      </c>
      <c r="C10" s="119">
        <v>0.5625</v>
      </c>
      <c r="D10" s="97">
        <v>369</v>
      </c>
      <c r="E10" s="99">
        <v>10.44891765</v>
      </c>
      <c r="F10" s="99">
        <v>74</v>
      </c>
      <c r="G10" s="99">
        <v>8</v>
      </c>
      <c r="H10" s="98">
        <v>0.21</v>
      </c>
      <c r="I10" s="99">
        <v>18</v>
      </c>
      <c r="J10" s="100">
        <v>156.66358854166668</v>
      </c>
      <c r="K10" s="100">
        <f t="shared" si="0"/>
        <v>773.2199061</v>
      </c>
    </row>
    <row r="11" spans="1:11" ht="12.75">
      <c r="A11" s="113" t="s">
        <v>1648</v>
      </c>
      <c r="B11" s="95">
        <v>37322</v>
      </c>
      <c r="C11" s="119">
        <v>0.6354166666666666</v>
      </c>
      <c r="D11" s="97">
        <v>387</v>
      </c>
      <c r="E11" s="99">
        <v>10.95862095</v>
      </c>
      <c r="F11" s="99">
        <v>71</v>
      </c>
      <c r="G11" s="99">
        <v>7.8</v>
      </c>
      <c r="H11" s="98">
        <v>0.2</v>
      </c>
      <c r="I11" s="99">
        <v>18</v>
      </c>
      <c r="J11" s="100">
        <v>149.35473958333333</v>
      </c>
      <c r="K11" s="100">
        <f t="shared" si="0"/>
        <v>778.06208745</v>
      </c>
    </row>
    <row r="12" spans="1:11" ht="12.75">
      <c r="A12" s="113" t="s">
        <v>1649</v>
      </c>
      <c r="B12" s="95">
        <v>37329</v>
      </c>
      <c r="C12" s="119">
        <v>0.5208333333333334</v>
      </c>
      <c r="D12" s="97">
        <v>381</v>
      </c>
      <c r="E12" s="99">
        <v>10.78871985</v>
      </c>
      <c r="F12" s="99">
        <v>78</v>
      </c>
      <c r="G12" s="99">
        <v>8.2</v>
      </c>
      <c r="H12" s="98">
        <v>0.21</v>
      </c>
      <c r="I12" s="99">
        <v>20</v>
      </c>
      <c r="J12" s="100">
        <v>156.02803645833336</v>
      </c>
      <c r="K12" s="100">
        <f>E12*F12</f>
        <v>841.5201483</v>
      </c>
    </row>
    <row r="13" spans="1:11" ht="12.75">
      <c r="A13" s="113" t="s">
        <v>1650</v>
      </c>
      <c r="B13" s="95">
        <v>37335</v>
      </c>
      <c r="C13" s="119">
        <v>0.5347222222222222</v>
      </c>
      <c r="D13" s="97">
        <v>358</v>
      </c>
      <c r="E13" s="99">
        <v>10.1374323</v>
      </c>
      <c r="F13" s="99">
        <v>72</v>
      </c>
      <c r="G13" s="99">
        <v>8</v>
      </c>
      <c r="H13" s="98">
        <v>0.2</v>
      </c>
      <c r="I13" s="99">
        <v>18</v>
      </c>
      <c r="J13" s="100">
        <v>153.80360416666664</v>
      </c>
      <c r="K13" s="100">
        <f t="shared" si="0"/>
        <v>729.8951256</v>
      </c>
    </row>
    <row r="14" spans="1:11" ht="12.75">
      <c r="A14" s="113" t="s">
        <v>1651</v>
      </c>
      <c r="B14" s="95">
        <v>37356</v>
      </c>
      <c r="C14" s="119">
        <v>0.3125</v>
      </c>
      <c r="D14" s="97">
        <v>468</v>
      </c>
      <c r="E14" s="99">
        <v>13.252285800000001</v>
      </c>
      <c r="F14" s="99">
        <v>63</v>
      </c>
      <c r="G14" s="99">
        <v>7</v>
      </c>
      <c r="H14" s="98">
        <v>0.16</v>
      </c>
      <c r="I14" s="99">
        <v>19</v>
      </c>
      <c r="J14" s="100">
        <v>133.78371354166669</v>
      </c>
      <c r="K14" s="100">
        <f t="shared" si="0"/>
        <v>834.8940054000001</v>
      </c>
    </row>
    <row r="15" spans="1:11" ht="12.75">
      <c r="A15" s="113" t="s">
        <v>1652</v>
      </c>
      <c r="B15" s="95">
        <v>37365</v>
      </c>
      <c r="C15" s="119">
        <v>0.5625</v>
      </c>
      <c r="D15" s="97">
        <v>448</v>
      </c>
      <c r="E15" s="99">
        <v>12.6859488</v>
      </c>
      <c r="F15" s="99">
        <v>64</v>
      </c>
      <c r="G15" s="99">
        <v>7.2</v>
      </c>
      <c r="H15" s="98">
        <v>0.17</v>
      </c>
      <c r="I15" s="99">
        <v>19</v>
      </c>
      <c r="J15" s="100">
        <v>135.37259375</v>
      </c>
      <c r="K15" s="100">
        <f t="shared" si="0"/>
        <v>811.9007232</v>
      </c>
    </row>
    <row r="16" spans="1:11" ht="12.75">
      <c r="A16" s="113" t="s">
        <v>1653</v>
      </c>
      <c r="B16" s="95">
        <v>37371</v>
      </c>
      <c r="C16" s="119">
        <v>0.5104166666666666</v>
      </c>
      <c r="D16" s="97">
        <v>423</v>
      </c>
      <c r="E16" s="99">
        <v>11.97802755</v>
      </c>
      <c r="F16" s="99">
        <v>64</v>
      </c>
      <c r="G16" s="99">
        <v>7.2</v>
      </c>
      <c r="H16" s="98">
        <v>0.19</v>
      </c>
      <c r="I16" s="99">
        <v>18</v>
      </c>
      <c r="J16" s="100">
        <v>142.04589062500003</v>
      </c>
      <c r="K16" s="100">
        <f t="shared" si="0"/>
        <v>766.5937632</v>
      </c>
    </row>
    <row r="17" spans="1:11" ht="12.75">
      <c r="A17" s="113" t="s">
        <v>1654</v>
      </c>
      <c r="B17" s="95">
        <v>37378</v>
      </c>
      <c r="C17" s="119">
        <v>0.6041666666666666</v>
      </c>
      <c r="D17" s="97">
        <v>538</v>
      </c>
      <c r="E17" s="99">
        <v>15.2344653</v>
      </c>
      <c r="F17" s="99">
        <v>53</v>
      </c>
      <c r="G17" s="99">
        <v>6.2</v>
      </c>
      <c r="H17" s="98">
        <v>0.13</v>
      </c>
      <c r="I17" s="99">
        <v>16</v>
      </c>
      <c r="J17" s="100">
        <v>115.03492708333333</v>
      </c>
      <c r="K17" s="100">
        <f t="shared" si="0"/>
        <v>807.4266609</v>
      </c>
    </row>
    <row r="18" spans="1:11" ht="12.75">
      <c r="A18" s="113" t="s">
        <v>1655</v>
      </c>
      <c r="B18" s="95">
        <v>37384</v>
      </c>
      <c r="C18" s="119">
        <v>0.625</v>
      </c>
      <c r="D18" s="97">
        <v>552</v>
      </c>
      <c r="E18" s="99">
        <v>15.6309012</v>
      </c>
      <c r="F18" s="99">
        <v>46</v>
      </c>
      <c r="G18" s="99">
        <v>5.4</v>
      </c>
      <c r="H18" s="98">
        <v>0.11</v>
      </c>
      <c r="I18" s="99">
        <v>15</v>
      </c>
      <c r="J18" s="100">
        <v>108.04385416666669</v>
      </c>
      <c r="K18" s="100">
        <f t="shared" si="0"/>
        <v>719.0214552</v>
      </c>
    </row>
    <row r="19" spans="1:11" ht="12.75">
      <c r="A19" s="113" t="s">
        <v>1656</v>
      </c>
      <c r="B19" s="95">
        <v>37391</v>
      </c>
      <c r="C19" s="119">
        <v>0.8125</v>
      </c>
      <c r="D19" s="97">
        <v>793</v>
      </c>
      <c r="E19" s="99">
        <v>22.45526205</v>
      </c>
      <c r="F19" s="99">
        <v>30</v>
      </c>
      <c r="G19" s="99">
        <v>3.8</v>
      </c>
      <c r="H19" s="98">
        <v>0.071</v>
      </c>
      <c r="I19" s="99">
        <v>11</v>
      </c>
      <c r="J19" s="100">
        <v>74.35959375</v>
      </c>
      <c r="K19" s="100">
        <f t="shared" si="0"/>
        <v>673.6578615000001</v>
      </c>
    </row>
    <row r="20" spans="1:11" ht="12.75">
      <c r="A20" s="113" t="s">
        <v>1657</v>
      </c>
      <c r="B20" s="95">
        <v>37398</v>
      </c>
      <c r="C20" s="119">
        <v>0.4166666666666667</v>
      </c>
      <c r="D20" s="97">
        <v>919</v>
      </c>
      <c r="E20" s="99">
        <v>26.02318515</v>
      </c>
      <c r="F20" s="99">
        <v>30</v>
      </c>
      <c r="G20" s="99">
        <v>3.8</v>
      </c>
      <c r="H20" s="98">
        <v>0.089</v>
      </c>
      <c r="I20" s="99">
        <v>11</v>
      </c>
      <c r="J20" s="100">
        <v>74.99514583333332</v>
      </c>
      <c r="K20" s="100">
        <f t="shared" si="0"/>
        <v>780.6955545</v>
      </c>
    </row>
    <row r="21" spans="1:11" ht="12.75">
      <c r="A21" s="113" t="s">
        <v>1658</v>
      </c>
      <c r="B21" s="95">
        <v>37406</v>
      </c>
      <c r="C21" s="119">
        <v>0.7465277777777778</v>
      </c>
      <c r="D21" s="97">
        <v>748</v>
      </c>
      <c r="E21" s="99">
        <v>21.1810038</v>
      </c>
      <c r="F21" s="99">
        <v>32</v>
      </c>
      <c r="G21" s="99">
        <v>4.2</v>
      </c>
      <c r="H21" s="98">
        <v>0.089</v>
      </c>
      <c r="I21" s="99">
        <v>10</v>
      </c>
      <c r="J21" s="100">
        <v>83.25732291666667</v>
      </c>
      <c r="K21" s="100">
        <f t="shared" si="0"/>
        <v>677.7921216</v>
      </c>
    </row>
    <row r="22" spans="1:11" ht="12.75">
      <c r="A22" s="113" t="s">
        <v>1659</v>
      </c>
      <c r="B22" s="95">
        <v>37411</v>
      </c>
      <c r="C22" s="119">
        <v>0.6041666666666666</v>
      </c>
      <c r="D22" s="97">
        <v>757</v>
      </c>
      <c r="E22" s="99">
        <v>21.435855450000002</v>
      </c>
      <c r="F22" s="99">
        <v>34</v>
      </c>
      <c r="G22" s="99">
        <v>4.5</v>
      </c>
      <c r="H22" s="98">
        <v>0.089</v>
      </c>
      <c r="I22" s="99">
        <v>10</v>
      </c>
      <c r="J22" s="100">
        <v>86.11730729166666</v>
      </c>
      <c r="K22" s="100">
        <f t="shared" si="0"/>
        <v>728.8190853000001</v>
      </c>
    </row>
    <row r="23" spans="1:11" ht="12.75">
      <c r="A23" s="113" t="s">
        <v>1660</v>
      </c>
      <c r="B23" s="95">
        <v>37419</v>
      </c>
      <c r="C23" s="119">
        <v>0.375</v>
      </c>
      <c r="D23" s="97">
        <v>621</v>
      </c>
      <c r="E23" s="99">
        <v>17.58476385</v>
      </c>
      <c r="F23" s="99">
        <v>45</v>
      </c>
      <c r="G23" s="99">
        <v>5.5</v>
      </c>
      <c r="H23" s="98">
        <v>0.12</v>
      </c>
      <c r="I23" s="99">
        <v>12</v>
      </c>
      <c r="J23" s="100">
        <v>103.27721354166667</v>
      </c>
      <c r="K23" s="100">
        <f t="shared" si="0"/>
        <v>791.31437325</v>
      </c>
    </row>
    <row r="24" spans="1:11" ht="12.75">
      <c r="A24" s="113" t="s">
        <v>1661</v>
      </c>
      <c r="B24" s="95">
        <v>37420</v>
      </c>
      <c r="C24" s="119">
        <v>0.5729166666666666</v>
      </c>
      <c r="D24" s="97">
        <v>567</v>
      </c>
      <c r="E24" s="99">
        <v>16.05565395</v>
      </c>
      <c r="F24" s="99">
        <v>44</v>
      </c>
      <c r="G24" s="99">
        <v>5.4</v>
      </c>
      <c r="H24" s="98">
        <v>0.11</v>
      </c>
      <c r="I24" s="99">
        <v>12</v>
      </c>
      <c r="J24" s="100">
        <v>104.86609375</v>
      </c>
      <c r="K24" s="100">
        <f t="shared" si="0"/>
        <v>706.4487738</v>
      </c>
    </row>
    <row r="25" spans="1:11" ht="12.75">
      <c r="A25" s="113" t="s">
        <v>1662</v>
      </c>
      <c r="B25" s="95">
        <v>37433</v>
      </c>
      <c r="C25" s="119">
        <v>0.6145833333333334</v>
      </c>
      <c r="D25" s="97">
        <v>455</v>
      </c>
      <c r="E25" s="99">
        <v>12.88416675</v>
      </c>
      <c r="F25" s="99">
        <v>52</v>
      </c>
      <c r="G25" s="99">
        <v>6.3</v>
      </c>
      <c r="H25" s="98">
        <v>0.15</v>
      </c>
      <c r="I25" s="99">
        <v>13</v>
      </c>
      <c r="J25" s="100">
        <v>125.83931249999999</v>
      </c>
      <c r="K25" s="100">
        <f t="shared" si="0"/>
        <v>669.976671</v>
      </c>
    </row>
    <row r="26" spans="1:11" ht="12.75">
      <c r="A26" s="113" t="s">
        <v>1663</v>
      </c>
      <c r="B26" s="95">
        <v>37440</v>
      </c>
      <c r="C26" s="119">
        <v>0.3020833333333333</v>
      </c>
      <c r="D26" s="97">
        <v>405</v>
      </c>
      <c r="E26" s="99">
        <v>11.46832425</v>
      </c>
      <c r="F26" s="99">
        <v>56</v>
      </c>
      <c r="G26" s="99">
        <v>6.9</v>
      </c>
      <c r="H26" s="98">
        <v>0.17</v>
      </c>
      <c r="I26" s="99">
        <v>13</v>
      </c>
      <c r="J26" s="100">
        <v>135.69036979166668</v>
      </c>
      <c r="K26" s="100">
        <f t="shared" si="0"/>
        <v>642.226158</v>
      </c>
    </row>
    <row r="27" spans="1:11" ht="12.75">
      <c r="A27" s="113" t="s">
        <v>1664</v>
      </c>
      <c r="B27" s="95">
        <v>37453</v>
      </c>
      <c r="C27" s="119">
        <v>0.5</v>
      </c>
      <c r="D27" s="97">
        <v>387</v>
      </c>
      <c r="E27" s="99">
        <v>10.95862095</v>
      </c>
      <c r="F27" s="99">
        <v>60</v>
      </c>
      <c r="G27" s="99">
        <v>7.3</v>
      </c>
      <c r="H27" s="98">
        <v>0.18</v>
      </c>
      <c r="I27" s="99">
        <v>13</v>
      </c>
      <c r="J27" s="100">
        <v>142.99921874999998</v>
      </c>
      <c r="K27" s="100">
        <f t="shared" si="0"/>
        <v>657.517257</v>
      </c>
    </row>
    <row r="28" spans="1:11" ht="12.75">
      <c r="A28" s="113" t="s">
        <v>1665</v>
      </c>
      <c r="B28" s="95">
        <v>37461</v>
      </c>
      <c r="C28" s="119">
        <v>0.2708333333333333</v>
      </c>
      <c r="D28" s="97">
        <v>381</v>
      </c>
      <c r="E28" s="99">
        <v>10.78871985</v>
      </c>
      <c r="F28" s="99">
        <v>60</v>
      </c>
      <c r="G28" s="99">
        <v>7.3</v>
      </c>
      <c r="H28" s="98">
        <v>0.17</v>
      </c>
      <c r="I28" s="99">
        <v>14</v>
      </c>
      <c r="J28" s="100">
        <v>146.49475520833334</v>
      </c>
      <c r="K28" s="100">
        <f t="shared" si="0"/>
        <v>647.323191</v>
      </c>
    </row>
    <row r="29" spans="1:11" ht="12.75">
      <c r="A29" s="113" t="s">
        <v>1666</v>
      </c>
      <c r="B29" s="95">
        <v>37468</v>
      </c>
      <c r="C29" s="119">
        <v>0.3090277777777778</v>
      </c>
      <c r="D29" s="97">
        <v>381</v>
      </c>
      <c r="E29" s="99">
        <v>10.78871985</v>
      </c>
      <c r="F29" s="99">
        <v>60</v>
      </c>
      <c r="G29" s="99">
        <v>7.4</v>
      </c>
      <c r="H29" s="98">
        <v>0.18</v>
      </c>
      <c r="I29" s="99">
        <v>15</v>
      </c>
      <c r="J29" s="100">
        <v>146.17697916666668</v>
      </c>
      <c r="K29" s="100">
        <f t="shared" si="0"/>
        <v>647.323191</v>
      </c>
    </row>
    <row r="30" spans="1:11" ht="12.75">
      <c r="A30" s="113" t="s">
        <v>1667</v>
      </c>
      <c r="B30" s="95">
        <v>37482</v>
      </c>
      <c r="C30" s="119">
        <v>0.3576388888888889</v>
      </c>
      <c r="D30" s="97">
        <v>369</v>
      </c>
      <c r="E30" s="99">
        <v>10.44891765</v>
      </c>
      <c r="F30" s="99">
        <v>62</v>
      </c>
      <c r="G30" s="99">
        <v>7.7</v>
      </c>
      <c r="H30" s="98">
        <v>0.18</v>
      </c>
      <c r="I30" s="99">
        <v>14</v>
      </c>
      <c r="J30" s="100">
        <v>147.44808333333336</v>
      </c>
      <c r="K30" s="100">
        <f t="shared" si="0"/>
        <v>647.8328943</v>
      </c>
    </row>
    <row r="31" spans="1:11" ht="12.75">
      <c r="A31" s="113" t="s">
        <v>1668</v>
      </c>
      <c r="B31" s="95">
        <v>37495</v>
      </c>
      <c r="C31" s="119">
        <v>0.8333333333333334</v>
      </c>
      <c r="D31" s="97">
        <v>398</v>
      </c>
      <c r="E31" s="99">
        <v>11.2701063</v>
      </c>
      <c r="F31" s="99">
        <v>63</v>
      </c>
      <c r="G31" s="99">
        <v>7.4</v>
      </c>
      <c r="H31" s="98">
        <v>0.17</v>
      </c>
      <c r="I31" s="99">
        <v>14</v>
      </c>
      <c r="J31" s="100">
        <v>144.905875</v>
      </c>
      <c r="K31" s="100">
        <f t="shared" si="0"/>
        <v>710.0166969</v>
      </c>
    </row>
    <row r="32" spans="1:11" ht="12.75">
      <c r="A32" s="113" t="s">
        <v>1669</v>
      </c>
      <c r="B32" s="95">
        <v>37496</v>
      </c>
      <c r="C32" s="119">
        <v>0.6145833333333334</v>
      </c>
      <c r="D32" s="97">
        <v>381</v>
      </c>
      <c r="E32" s="99">
        <v>10.78871985</v>
      </c>
      <c r="F32" s="99">
        <v>67</v>
      </c>
      <c r="G32" s="99">
        <v>7.5</v>
      </c>
      <c r="H32" s="98">
        <v>0.19</v>
      </c>
      <c r="I32" s="99">
        <v>18</v>
      </c>
      <c r="J32" s="100">
        <v>147.765859375</v>
      </c>
      <c r="K32" s="100">
        <f t="shared" si="0"/>
        <v>722.84422995</v>
      </c>
    </row>
    <row r="33" spans="1:11" ht="12.75">
      <c r="A33" s="82" t="s">
        <v>961</v>
      </c>
      <c r="C33" s="119"/>
      <c r="D33" s="101"/>
      <c r="E33" s="99"/>
      <c r="F33" s="99"/>
      <c r="G33" s="99"/>
      <c r="H33" s="98"/>
      <c r="I33" s="99"/>
      <c r="J33" s="100"/>
      <c r="K33" s="100"/>
    </row>
    <row r="34" spans="1:11" ht="12.75">
      <c r="A34" s="113" t="s">
        <v>1670</v>
      </c>
      <c r="B34" s="95">
        <v>37530</v>
      </c>
      <c r="C34" s="119">
        <v>0.625</v>
      </c>
      <c r="D34" s="101">
        <v>381</v>
      </c>
      <c r="E34" s="99">
        <v>10.78871985</v>
      </c>
      <c r="F34" s="99">
        <v>66</v>
      </c>
      <c r="G34" s="99">
        <v>7.3</v>
      </c>
      <c r="H34" s="98">
        <v>0.19</v>
      </c>
      <c r="I34" s="99">
        <v>18</v>
      </c>
      <c r="J34" s="100">
        <v>140.77478645833335</v>
      </c>
      <c r="K34" s="100">
        <f t="shared" si="0"/>
        <v>712.0555101</v>
      </c>
    </row>
    <row r="35" spans="1:11" ht="12.75">
      <c r="A35" s="113" t="s">
        <v>1542</v>
      </c>
      <c r="B35" s="95">
        <v>37537</v>
      </c>
      <c r="C35" s="119">
        <v>0.6215277777777778</v>
      </c>
      <c r="D35" s="97">
        <v>387</v>
      </c>
      <c r="E35" s="99">
        <v>10.95862095</v>
      </c>
      <c r="F35" s="99">
        <v>64</v>
      </c>
      <c r="G35" s="99">
        <v>7.5</v>
      </c>
      <c r="H35" s="98">
        <v>0.19</v>
      </c>
      <c r="I35" s="99">
        <v>17</v>
      </c>
      <c r="J35" s="100">
        <v>147.44808333333336</v>
      </c>
      <c r="K35" s="100">
        <f t="shared" si="0"/>
        <v>701.3517408</v>
      </c>
    </row>
    <row r="36" spans="1:11" ht="12.75">
      <c r="A36" s="113" t="s">
        <v>962</v>
      </c>
      <c r="B36" s="95">
        <v>37553</v>
      </c>
      <c r="C36" s="119">
        <v>0.625</v>
      </c>
      <c r="D36" s="97">
        <v>411</v>
      </c>
      <c r="E36" s="99">
        <v>11.63822535</v>
      </c>
      <c r="F36" s="99">
        <v>66</v>
      </c>
      <c r="G36" s="99">
        <v>7.5</v>
      </c>
      <c r="H36" s="98">
        <v>0.19</v>
      </c>
      <c r="I36" s="99">
        <v>16</v>
      </c>
      <c r="J36" s="100">
        <v>146.81253125</v>
      </c>
      <c r="K36" s="100">
        <f t="shared" si="0"/>
        <v>768.1228731000001</v>
      </c>
    </row>
    <row r="37" spans="1:11" ht="12.75">
      <c r="A37" s="113" t="s">
        <v>1543</v>
      </c>
      <c r="B37" s="95">
        <v>37574</v>
      </c>
      <c r="C37" s="119">
        <v>0.4479166666666667</v>
      </c>
      <c r="D37" s="97">
        <v>392</v>
      </c>
      <c r="E37" s="99">
        <v>11.1002052</v>
      </c>
      <c r="F37" s="99">
        <v>69</v>
      </c>
      <c r="G37" s="99">
        <v>7.7</v>
      </c>
      <c r="H37" s="98">
        <v>0.2</v>
      </c>
      <c r="I37" s="99">
        <v>17</v>
      </c>
      <c r="J37" s="100">
        <v>148.08363541666668</v>
      </c>
      <c r="K37" s="100">
        <f t="shared" si="0"/>
        <v>765.9141588</v>
      </c>
    </row>
    <row r="38" spans="1:11" ht="12.75">
      <c r="A38" s="113" t="s">
        <v>1544</v>
      </c>
      <c r="B38" s="95">
        <v>37607</v>
      </c>
      <c r="C38" s="119">
        <v>0.642361111111111</v>
      </c>
      <c r="D38" s="97">
        <v>392</v>
      </c>
      <c r="E38" s="99">
        <v>11.1002052</v>
      </c>
      <c r="F38" s="99">
        <v>70</v>
      </c>
      <c r="G38" s="99">
        <v>8</v>
      </c>
      <c r="H38" s="98">
        <v>0.2</v>
      </c>
      <c r="I38" s="99">
        <v>17</v>
      </c>
      <c r="J38" s="100">
        <v>154.12138020833333</v>
      </c>
      <c r="K38" s="100">
        <f t="shared" si="0"/>
        <v>777.014364</v>
      </c>
    </row>
    <row r="39" spans="1:11" ht="12.75">
      <c r="A39" s="113" t="s">
        <v>1545</v>
      </c>
      <c r="B39" s="95">
        <v>37636</v>
      </c>
      <c r="C39" s="119">
        <v>0.5833333333333334</v>
      </c>
      <c r="D39" s="97">
        <v>392</v>
      </c>
      <c r="E39" s="99">
        <v>11.1002052</v>
      </c>
      <c r="F39" s="99">
        <v>69</v>
      </c>
      <c r="G39" s="99">
        <v>7.9</v>
      </c>
      <c r="H39" s="98">
        <v>0.19</v>
      </c>
      <c r="I39" s="99">
        <v>18</v>
      </c>
      <c r="J39" s="100">
        <v>147.60697135416666</v>
      </c>
      <c r="K39" s="100">
        <f t="shared" si="0"/>
        <v>765.9141588</v>
      </c>
    </row>
    <row r="40" spans="1:11" ht="12.75">
      <c r="A40" s="113" t="s">
        <v>1546</v>
      </c>
      <c r="B40" s="95">
        <v>37664</v>
      </c>
      <c r="C40" s="119">
        <v>0.5625</v>
      </c>
      <c r="D40" s="101">
        <v>375</v>
      </c>
      <c r="E40" s="99">
        <v>10.61881875</v>
      </c>
      <c r="F40" s="99">
        <v>71</v>
      </c>
      <c r="G40" s="99">
        <v>7.8</v>
      </c>
      <c r="H40" s="98">
        <v>0.19</v>
      </c>
      <c r="I40" s="99">
        <v>18</v>
      </c>
      <c r="J40" s="100">
        <v>152.5325</v>
      </c>
      <c r="K40" s="100">
        <f t="shared" si="0"/>
        <v>753.93613125</v>
      </c>
    </row>
    <row r="41" spans="1:11" ht="12.75">
      <c r="A41" s="113" t="s">
        <v>1547</v>
      </c>
      <c r="B41" s="95">
        <v>37691</v>
      </c>
      <c r="C41" s="119">
        <v>0.5520833333333334</v>
      </c>
      <c r="D41" s="101">
        <v>387</v>
      </c>
      <c r="E41" s="99">
        <v>10.95862095</v>
      </c>
      <c r="F41" s="99">
        <v>73.2</v>
      </c>
      <c r="G41" s="99">
        <v>8.02</v>
      </c>
      <c r="H41" s="98">
        <v>0.19</v>
      </c>
      <c r="I41" s="99">
        <v>18.3</v>
      </c>
      <c r="J41" s="100">
        <v>154.75693229166666</v>
      </c>
      <c r="K41" s="100">
        <f t="shared" si="0"/>
        <v>802.17105354</v>
      </c>
    </row>
    <row r="42" spans="1:11" ht="12.75">
      <c r="A42" s="113" t="s">
        <v>1548</v>
      </c>
      <c r="B42" s="95">
        <v>37699</v>
      </c>
      <c r="C42" s="97" t="s">
        <v>1549</v>
      </c>
      <c r="D42" s="101">
        <v>387</v>
      </c>
      <c r="E42" s="99">
        <v>10.95862095</v>
      </c>
      <c r="F42" s="99">
        <v>72.1</v>
      </c>
      <c r="G42" s="99">
        <v>7.91</v>
      </c>
      <c r="H42" s="98">
        <v>0.17</v>
      </c>
      <c r="I42" s="99">
        <v>18.9</v>
      </c>
      <c r="J42" s="100">
        <v>150.62584375</v>
      </c>
      <c r="K42" s="100">
        <f t="shared" si="0"/>
        <v>790.1165704949999</v>
      </c>
    </row>
    <row r="43" spans="1:11" ht="12.75">
      <c r="A43" s="113" t="s">
        <v>1550</v>
      </c>
      <c r="B43" s="95">
        <v>37720</v>
      </c>
      <c r="C43" s="97" t="s">
        <v>1549</v>
      </c>
      <c r="D43" s="101">
        <v>387</v>
      </c>
      <c r="E43" s="99">
        <v>10.95862095</v>
      </c>
      <c r="F43" s="99">
        <v>64.1</v>
      </c>
      <c r="G43" s="99">
        <v>7.26</v>
      </c>
      <c r="H43" s="98">
        <v>0.12</v>
      </c>
      <c r="I43" s="99">
        <v>17.5</v>
      </c>
      <c r="J43" s="100">
        <v>137.27925000000002</v>
      </c>
      <c r="K43" s="100">
        <f t="shared" si="0"/>
        <v>702.4476028949999</v>
      </c>
    </row>
    <row r="44" spans="1:11" ht="12.75">
      <c r="A44" s="113" t="s">
        <v>1551</v>
      </c>
      <c r="B44" s="95">
        <v>37727</v>
      </c>
      <c r="C44" s="97" t="s">
        <v>1549</v>
      </c>
      <c r="D44" s="101">
        <v>545</v>
      </c>
      <c r="E44" s="99">
        <v>15.43268325</v>
      </c>
      <c r="F44" s="99">
        <v>56.2</v>
      </c>
      <c r="G44" s="99">
        <v>6.34</v>
      </c>
      <c r="H44" s="98">
        <v>0.12</v>
      </c>
      <c r="I44" s="99">
        <v>17</v>
      </c>
      <c r="J44" s="100">
        <v>120.75489583333332</v>
      </c>
      <c r="K44" s="100">
        <f t="shared" si="0"/>
        <v>867.31679865</v>
      </c>
    </row>
    <row r="45" spans="1:11" ht="12.75">
      <c r="A45" s="113" t="s">
        <v>1552</v>
      </c>
      <c r="B45" s="95">
        <v>37734</v>
      </c>
      <c r="C45" s="119">
        <v>0.40972222222222227</v>
      </c>
      <c r="D45" s="101">
        <v>606</v>
      </c>
      <c r="E45" s="99">
        <v>17.160011100000002</v>
      </c>
      <c r="F45" s="99">
        <v>53.1</v>
      </c>
      <c r="G45" s="99">
        <v>5.92</v>
      </c>
      <c r="H45" s="98">
        <v>0.1</v>
      </c>
      <c r="I45" s="99">
        <v>16.1</v>
      </c>
      <c r="J45" s="100">
        <v>111.85716666666666</v>
      </c>
      <c r="K45" s="100">
        <f t="shared" si="0"/>
        <v>911.1965894100001</v>
      </c>
    </row>
    <row r="46" spans="1:11" ht="12.75">
      <c r="A46" s="113" t="s">
        <v>1553</v>
      </c>
      <c r="B46" s="95">
        <v>37741</v>
      </c>
      <c r="C46" s="97" t="s">
        <v>1549</v>
      </c>
      <c r="D46" s="101">
        <v>560</v>
      </c>
      <c r="E46" s="99">
        <v>15.857436</v>
      </c>
      <c r="F46" s="99">
        <v>58.3</v>
      </c>
      <c r="G46" s="99">
        <v>6.41</v>
      </c>
      <c r="H46" s="98">
        <v>0.14</v>
      </c>
      <c r="I46" s="99">
        <v>17.4</v>
      </c>
      <c r="J46" s="100">
        <v>121.39044791666667</v>
      </c>
      <c r="K46" s="100">
        <f t="shared" si="0"/>
        <v>924.4885188</v>
      </c>
    </row>
    <row r="47" spans="1:11" ht="12.75">
      <c r="A47" s="113" t="s">
        <v>1554</v>
      </c>
      <c r="B47" s="95">
        <v>37742</v>
      </c>
      <c r="C47" s="97" t="s">
        <v>1549</v>
      </c>
      <c r="D47" s="101">
        <v>544</v>
      </c>
      <c r="E47" s="99">
        <f>0.028316*D47</f>
        <v>15.403904</v>
      </c>
      <c r="F47" s="99">
        <v>55.3</v>
      </c>
      <c r="G47" s="99">
        <v>6.14</v>
      </c>
      <c r="H47" s="98">
        <v>0.11</v>
      </c>
      <c r="I47" s="99">
        <v>16.7</v>
      </c>
      <c r="J47" s="100">
        <v>115.67047916666667</v>
      </c>
      <c r="K47" s="100">
        <f t="shared" si="0"/>
        <v>851.8358912</v>
      </c>
    </row>
    <row r="48" spans="1:11" ht="12.75">
      <c r="A48" s="113" t="s">
        <v>1555</v>
      </c>
      <c r="B48" s="95">
        <v>37748</v>
      </c>
      <c r="C48" s="119">
        <v>0.517361111111111</v>
      </c>
      <c r="D48" s="101">
        <v>552</v>
      </c>
      <c r="E48" s="99">
        <v>15.6309012</v>
      </c>
      <c r="F48" s="99">
        <v>55.3</v>
      </c>
      <c r="G48" s="99">
        <v>6.14</v>
      </c>
      <c r="H48" s="98">
        <v>0.11</v>
      </c>
      <c r="I48" s="99">
        <v>17.6</v>
      </c>
      <c r="J48" s="100">
        <v>116.30603124999999</v>
      </c>
      <c r="K48" s="100">
        <f t="shared" si="0"/>
        <v>864.3888363599999</v>
      </c>
    </row>
    <row r="49" spans="1:11" ht="12.75">
      <c r="A49" s="113" t="s">
        <v>1556</v>
      </c>
      <c r="B49" s="95">
        <v>37755</v>
      </c>
      <c r="C49" s="119">
        <v>0.5208333333333334</v>
      </c>
      <c r="D49" s="101">
        <v>606</v>
      </c>
      <c r="E49" s="99">
        <v>17.160011100000002</v>
      </c>
      <c r="F49" s="99">
        <v>49.6</v>
      </c>
      <c r="G49" s="99">
        <v>5.67</v>
      </c>
      <c r="H49" s="98">
        <v>0.08</v>
      </c>
      <c r="I49" s="99">
        <v>15.1</v>
      </c>
      <c r="J49" s="100">
        <v>104.23054166666665</v>
      </c>
      <c r="K49" s="100">
        <f t="shared" si="0"/>
        <v>851.1365505600002</v>
      </c>
    </row>
    <row r="50" spans="1:11" ht="12.75">
      <c r="A50" s="113" t="s">
        <v>1557</v>
      </c>
      <c r="B50" s="95">
        <v>37763</v>
      </c>
      <c r="C50" s="119">
        <v>0.5729166666666666</v>
      </c>
      <c r="D50" s="101">
        <v>821</v>
      </c>
      <c r="E50" s="99">
        <v>23.248133850000002</v>
      </c>
      <c r="F50" s="99">
        <v>32.1</v>
      </c>
      <c r="G50" s="99">
        <v>3.9</v>
      </c>
      <c r="H50" s="98">
        <v>0.05</v>
      </c>
      <c r="I50" s="99">
        <v>10.2</v>
      </c>
      <c r="J50" s="100">
        <v>72.4529375</v>
      </c>
      <c r="K50" s="100">
        <f t="shared" si="0"/>
        <v>746.2650965850002</v>
      </c>
    </row>
    <row r="51" spans="1:11" ht="12.75">
      <c r="A51" s="113" t="s">
        <v>1558</v>
      </c>
      <c r="B51" s="95">
        <v>37768</v>
      </c>
      <c r="C51" s="119">
        <v>0.75</v>
      </c>
      <c r="D51" s="101">
        <v>1110</v>
      </c>
      <c r="E51" s="99">
        <v>31.4317035</v>
      </c>
      <c r="F51" s="99">
        <v>21.5</v>
      </c>
      <c r="G51" s="99">
        <v>2.77</v>
      </c>
      <c r="H51" s="98">
        <v>0.05</v>
      </c>
      <c r="I51" s="99">
        <v>7.44</v>
      </c>
      <c r="J51" s="100">
        <v>52.75082291666667</v>
      </c>
      <c r="K51" s="100">
        <f t="shared" si="0"/>
        <v>675.78162525</v>
      </c>
    </row>
    <row r="52" spans="1:11" ht="12.75">
      <c r="A52" s="113" t="s">
        <v>1314</v>
      </c>
      <c r="B52" s="95">
        <v>37769</v>
      </c>
      <c r="C52" s="119">
        <v>0.46875</v>
      </c>
      <c r="D52" s="101">
        <v>1200</v>
      </c>
      <c r="E52" s="99">
        <v>33.98022</v>
      </c>
      <c r="F52" s="99">
        <v>21.8</v>
      </c>
      <c r="G52" s="99">
        <v>2.88</v>
      </c>
      <c r="H52" s="98">
        <v>0.04</v>
      </c>
      <c r="I52" s="99">
        <v>7.25</v>
      </c>
      <c r="J52" s="100">
        <v>52.75082291666667</v>
      </c>
      <c r="K52" s="100">
        <f t="shared" si="0"/>
        <v>740.7687960000001</v>
      </c>
    </row>
    <row r="53" spans="1:11" ht="12.75">
      <c r="A53" s="113" t="s">
        <v>1315</v>
      </c>
      <c r="B53" s="95">
        <v>37776</v>
      </c>
      <c r="C53" s="119">
        <v>0.4895833333333333</v>
      </c>
      <c r="D53" s="101">
        <v>775</v>
      </c>
      <c r="E53" s="99">
        <v>21.94555875</v>
      </c>
      <c r="F53" s="99">
        <v>32.5</v>
      </c>
      <c r="G53" s="99">
        <v>3.99</v>
      </c>
      <c r="H53" s="98">
        <v>0.07</v>
      </c>
      <c r="I53" s="99">
        <v>9.22</v>
      </c>
      <c r="J53" s="100">
        <v>77.219578125</v>
      </c>
      <c r="K53" s="100">
        <f t="shared" si="0"/>
        <v>713.230659375</v>
      </c>
    </row>
    <row r="54" spans="1:11" ht="12.75">
      <c r="A54" s="113" t="s">
        <v>1316</v>
      </c>
      <c r="B54" s="95">
        <v>37783</v>
      </c>
      <c r="C54" s="119">
        <v>0.3090277777777778</v>
      </c>
      <c r="D54" s="101">
        <v>606</v>
      </c>
      <c r="E54" s="99">
        <v>17.160011100000002</v>
      </c>
      <c r="F54" s="99">
        <v>39.4</v>
      </c>
      <c r="G54" s="99">
        <v>4.75</v>
      </c>
      <c r="H54" s="98">
        <v>0.09</v>
      </c>
      <c r="I54" s="99">
        <v>10.3</v>
      </c>
      <c r="J54" s="100">
        <v>94.06170833333334</v>
      </c>
      <c r="K54" s="100">
        <f t="shared" si="0"/>
        <v>676.10443734</v>
      </c>
    </row>
    <row r="55" spans="1:11" ht="12.75">
      <c r="A55" s="113" t="s">
        <v>1317</v>
      </c>
      <c r="B55" s="95">
        <v>37791</v>
      </c>
      <c r="C55" s="119">
        <v>0.4305555555555556</v>
      </c>
      <c r="D55" s="101">
        <v>516</v>
      </c>
      <c r="E55" s="99">
        <v>14.6114946</v>
      </c>
      <c r="F55" s="99">
        <v>47.6</v>
      </c>
      <c r="G55" s="99">
        <v>5.68</v>
      </c>
      <c r="H55" s="98">
        <v>0.12</v>
      </c>
      <c r="I55" s="99">
        <v>12</v>
      </c>
      <c r="J55" s="100">
        <v>113.76382291666667</v>
      </c>
      <c r="K55" s="100">
        <f t="shared" si="0"/>
        <v>695.50714296</v>
      </c>
    </row>
    <row r="56" spans="1:11" ht="12.75">
      <c r="A56" s="113" t="s">
        <v>1318</v>
      </c>
      <c r="B56" s="95">
        <v>37796</v>
      </c>
      <c r="C56" s="97" t="s">
        <v>1549</v>
      </c>
      <c r="D56" s="101">
        <v>488</v>
      </c>
      <c r="E56" s="99">
        <v>13.8186228</v>
      </c>
      <c r="F56" s="99">
        <v>50.7</v>
      </c>
      <c r="G56" s="99">
        <v>6.1</v>
      </c>
      <c r="H56" s="98">
        <v>0.12</v>
      </c>
      <c r="I56" s="99">
        <v>12.8</v>
      </c>
      <c r="J56" s="100">
        <v>120.75489583333332</v>
      </c>
      <c r="K56" s="100">
        <f t="shared" si="0"/>
        <v>700.60417596</v>
      </c>
    </row>
    <row r="57" spans="1:11" ht="12.75">
      <c r="A57" s="113" t="s">
        <v>1319</v>
      </c>
      <c r="B57" s="95">
        <v>37811</v>
      </c>
      <c r="C57" s="97" t="s">
        <v>1549</v>
      </c>
      <c r="D57" s="101">
        <v>387</v>
      </c>
      <c r="E57" s="99">
        <v>10.95862095</v>
      </c>
      <c r="F57" s="99">
        <v>56.5</v>
      </c>
      <c r="G57" s="99">
        <v>6.89</v>
      </c>
      <c r="H57" s="98">
        <v>0.15</v>
      </c>
      <c r="I57" s="99">
        <v>12.7</v>
      </c>
      <c r="J57" s="100">
        <v>135.05481770833336</v>
      </c>
      <c r="K57" s="100">
        <f t="shared" si="0"/>
        <v>619.162083675</v>
      </c>
    </row>
    <row r="58" spans="1:11" ht="12.75">
      <c r="A58" s="113" t="s">
        <v>1320</v>
      </c>
      <c r="B58" s="95">
        <v>37818</v>
      </c>
      <c r="C58" s="119">
        <v>0.5208333333333334</v>
      </c>
      <c r="D58" s="101">
        <v>358</v>
      </c>
      <c r="E58" s="99">
        <v>10.1374323</v>
      </c>
      <c r="F58" s="99">
        <v>59.5</v>
      </c>
      <c r="G58" s="99">
        <v>7.25</v>
      </c>
      <c r="H58" s="98">
        <v>0.16</v>
      </c>
      <c r="I58" s="99">
        <v>12.8</v>
      </c>
      <c r="J58" s="100">
        <v>141.72811458333334</v>
      </c>
      <c r="K58" s="100">
        <f t="shared" si="0"/>
        <v>603.17722185</v>
      </c>
    </row>
    <row r="59" spans="1:11" ht="12.75">
      <c r="A59" s="113" t="s">
        <v>1321</v>
      </c>
      <c r="B59" s="95">
        <v>37826</v>
      </c>
      <c r="C59" s="97" t="s">
        <v>1549</v>
      </c>
      <c r="D59" s="101">
        <v>352</v>
      </c>
      <c r="E59" s="99">
        <v>9.9675312</v>
      </c>
      <c r="F59" s="99">
        <v>57.9</v>
      </c>
      <c r="G59" s="99">
        <v>7.24</v>
      </c>
      <c r="H59" s="98">
        <v>0.15</v>
      </c>
      <c r="I59" s="99">
        <v>12.3</v>
      </c>
      <c r="J59" s="100">
        <v>145.54142708333336</v>
      </c>
      <c r="K59" s="100">
        <f t="shared" si="0"/>
        <v>577.12005648</v>
      </c>
    </row>
    <row r="60" spans="1:11" ht="12.75">
      <c r="A60" s="113" t="s">
        <v>1322</v>
      </c>
      <c r="B60" s="95">
        <v>37832</v>
      </c>
      <c r="C60" s="119">
        <v>0.4270833333333333</v>
      </c>
      <c r="D60" s="101">
        <v>352</v>
      </c>
      <c r="E60" s="99">
        <v>9.9675312</v>
      </c>
      <c r="F60" s="99">
        <v>58.9</v>
      </c>
      <c r="G60" s="99">
        <v>7.29</v>
      </c>
      <c r="H60" s="98">
        <v>0.15</v>
      </c>
      <c r="I60" s="99">
        <v>13</v>
      </c>
      <c r="J60" s="100">
        <v>142.04589062500003</v>
      </c>
      <c r="K60" s="100">
        <f t="shared" si="0"/>
        <v>587.08758768</v>
      </c>
    </row>
    <row r="61" spans="1:11" ht="12.75">
      <c r="A61" s="113" t="s">
        <v>1323</v>
      </c>
      <c r="B61" s="95">
        <v>37843</v>
      </c>
      <c r="C61" s="97" t="s">
        <v>1549</v>
      </c>
      <c r="D61" s="101">
        <v>352</v>
      </c>
      <c r="E61" s="99">
        <v>9.9675312</v>
      </c>
      <c r="F61" s="99">
        <v>65.1</v>
      </c>
      <c r="G61" s="99">
        <v>7.67</v>
      </c>
      <c r="H61" s="98">
        <v>0.17</v>
      </c>
      <c r="I61" s="99">
        <v>14.7</v>
      </c>
      <c r="J61" s="100">
        <v>152.2147239583333</v>
      </c>
      <c r="K61" s="100">
        <f t="shared" si="0"/>
        <v>648.8862811199999</v>
      </c>
    </row>
    <row r="62" spans="1:11" ht="12.75">
      <c r="A62" s="113" t="s">
        <v>1324</v>
      </c>
      <c r="B62" s="95">
        <v>37846</v>
      </c>
      <c r="C62" s="119">
        <v>0.5520833333333334</v>
      </c>
      <c r="D62" s="101">
        <v>347</v>
      </c>
      <c r="E62" s="99">
        <v>9.82594695</v>
      </c>
      <c r="F62" s="99">
        <v>60</v>
      </c>
      <c r="G62" s="99">
        <v>7.4</v>
      </c>
      <c r="H62" s="98">
        <v>0.15</v>
      </c>
      <c r="I62" s="99">
        <v>13.3</v>
      </c>
      <c r="J62" s="100">
        <v>145.54142708333336</v>
      </c>
      <c r="K62" s="100">
        <f t="shared" si="0"/>
        <v>589.556817</v>
      </c>
    </row>
    <row r="63" spans="1:11" ht="12.75">
      <c r="A63" s="113" t="s">
        <v>1325</v>
      </c>
      <c r="B63" s="95">
        <v>37860</v>
      </c>
      <c r="C63" s="119">
        <v>0.5069444444444444</v>
      </c>
      <c r="D63" s="101">
        <v>336</v>
      </c>
      <c r="E63" s="99">
        <v>9.5144616</v>
      </c>
      <c r="F63" s="99">
        <v>61.5</v>
      </c>
      <c r="G63" s="99">
        <v>7.52</v>
      </c>
      <c r="H63" s="98">
        <v>0.16</v>
      </c>
      <c r="I63" s="99">
        <v>13.2</v>
      </c>
      <c r="J63" s="100">
        <v>146.17697916666668</v>
      </c>
      <c r="K63" s="100">
        <f t="shared" si="0"/>
        <v>585.1393884</v>
      </c>
    </row>
    <row r="64" spans="1:11" ht="12.75">
      <c r="A64" s="113" t="s">
        <v>1326</v>
      </c>
      <c r="B64" s="95">
        <v>37874</v>
      </c>
      <c r="C64" s="119">
        <v>0.46875</v>
      </c>
      <c r="D64" s="101">
        <v>363</v>
      </c>
      <c r="E64" s="99">
        <v>10.27901655</v>
      </c>
      <c r="F64" s="99">
        <v>61</v>
      </c>
      <c r="G64" s="99">
        <v>7.2</v>
      </c>
      <c r="H64" s="98">
        <v>0.15</v>
      </c>
      <c r="I64" s="99">
        <v>14.6</v>
      </c>
      <c r="J64" s="100">
        <v>140.45701041666666</v>
      </c>
      <c r="K64" s="100">
        <f t="shared" si="0"/>
        <v>627.0200095499999</v>
      </c>
    </row>
    <row r="65" spans="1:11" ht="12.75">
      <c r="A65" s="113" t="s">
        <v>1327</v>
      </c>
      <c r="B65" s="95">
        <v>37888</v>
      </c>
      <c r="C65" s="97" t="s">
        <v>1549</v>
      </c>
      <c r="D65" s="101">
        <v>341</v>
      </c>
      <c r="E65" s="99">
        <v>9.65604585</v>
      </c>
      <c r="F65" s="99">
        <v>63.5</v>
      </c>
      <c r="G65" s="99">
        <v>7.59</v>
      </c>
      <c r="H65" s="98">
        <v>0.16</v>
      </c>
      <c r="I65" s="99">
        <v>14.6</v>
      </c>
      <c r="J65" s="100">
        <v>147.44808333333336</v>
      </c>
      <c r="K65" s="100">
        <f t="shared" si="0"/>
        <v>613.158911475</v>
      </c>
    </row>
    <row r="66" spans="1:11" ht="12.75">
      <c r="A66" s="82" t="s">
        <v>963</v>
      </c>
      <c r="C66" s="119"/>
      <c r="D66" s="101"/>
      <c r="E66" s="99"/>
      <c r="F66" s="99"/>
      <c r="G66" s="99"/>
      <c r="H66" s="98"/>
      <c r="I66" s="99"/>
      <c r="J66" s="100"/>
      <c r="K66" s="100"/>
    </row>
    <row r="67" spans="1:11" ht="12.75">
      <c r="A67" s="113" t="s">
        <v>1175</v>
      </c>
      <c r="B67" s="95">
        <v>37922</v>
      </c>
      <c r="C67" s="119">
        <v>0.5625</v>
      </c>
      <c r="D67" s="97">
        <v>347</v>
      </c>
      <c r="E67" s="99">
        <v>9.82594695</v>
      </c>
      <c r="F67" s="99">
        <v>65.4</v>
      </c>
      <c r="G67" s="99">
        <v>6.83</v>
      </c>
      <c r="H67" s="98">
        <v>0.08</v>
      </c>
      <c r="I67" s="99">
        <v>8.08</v>
      </c>
      <c r="J67" s="100">
        <v>156</v>
      </c>
      <c r="K67" s="100">
        <f t="shared" si="0"/>
        <v>642.6169305300001</v>
      </c>
    </row>
    <row r="68" spans="1:11" ht="12.75">
      <c r="A68" s="113" t="s">
        <v>1176</v>
      </c>
      <c r="B68" s="95">
        <v>38031</v>
      </c>
      <c r="C68" s="119">
        <v>0.5</v>
      </c>
      <c r="D68" s="97">
        <v>334</v>
      </c>
      <c r="E68" s="99">
        <f>0.028316*D68</f>
        <v>9.457544</v>
      </c>
      <c r="F68" s="99">
        <v>73.9</v>
      </c>
      <c r="G68" s="99">
        <v>8.11</v>
      </c>
      <c r="H68" s="98">
        <v>0.18</v>
      </c>
      <c r="I68" s="99">
        <v>17.7</v>
      </c>
      <c r="J68" s="100">
        <v>156.3458125</v>
      </c>
      <c r="K68" s="100">
        <f t="shared" si="0"/>
        <v>698.9125016</v>
      </c>
    </row>
    <row r="69" spans="1:11" ht="12.75">
      <c r="A69" s="113" t="s">
        <v>1177</v>
      </c>
      <c r="B69" s="95">
        <v>38041</v>
      </c>
      <c r="C69" s="119">
        <v>0.5833333333333334</v>
      </c>
      <c r="D69" s="97">
        <v>348</v>
      </c>
      <c r="E69" s="99">
        <f>0.028316*D69</f>
        <v>9.853968</v>
      </c>
      <c r="F69" s="99">
        <v>76.2</v>
      </c>
      <c r="G69" s="99">
        <v>8.18</v>
      </c>
      <c r="H69" s="98">
        <v>0.13</v>
      </c>
      <c r="I69" s="99">
        <v>18.3</v>
      </c>
      <c r="J69" s="100">
        <v>156.3458125</v>
      </c>
      <c r="K69" s="100">
        <f aca="true" t="shared" si="1" ref="K69:K132">E69*F69</f>
        <v>750.8723616</v>
      </c>
    </row>
    <row r="70" spans="1:11" ht="12.75">
      <c r="A70" s="120" t="s">
        <v>1178</v>
      </c>
      <c r="B70" s="95">
        <v>38055</v>
      </c>
      <c r="C70" s="119">
        <v>0.46875</v>
      </c>
      <c r="D70" s="97">
        <v>375</v>
      </c>
      <c r="E70" s="99">
        <v>10.61881875</v>
      </c>
      <c r="F70" s="99">
        <v>71.7</v>
      </c>
      <c r="G70" s="99">
        <v>8.14</v>
      </c>
      <c r="H70" s="98">
        <v>0.18</v>
      </c>
      <c r="I70" s="99">
        <v>17.6</v>
      </c>
      <c r="J70" s="100">
        <v>153.80360416666664</v>
      </c>
      <c r="K70" s="100">
        <f t="shared" si="1"/>
        <v>761.3693043750001</v>
      </c>
    </row>
    <row r="71" spans="1:11" ht="12.75">
      <c r="A71" s="120" t="s">
        <v>1179</v>
      </c>
      <c r="B71" s="95">
        <v>38066</v>
      </c>
      <c r="C71" s="119">
        <v>0.3854166666666667</v>
      </c>
      <c r="D71" s="97">
        <v>436</v>
      </c>
      <c r="E71" s="99">
        <v>12.3461466</v>
      </c>
      <c r="F71" s="99">
        <v>67.4</v>
      </c>
      <c r="G71" s="99">
        <v>7.77</v>
      </c>
      <c r="H71" s="98">
        <v>0.14</v>
      </c>
      <c r="I71" s="99">
        <v>18.3</v>
      </c>
      <c r="J71" s="100">
        <v>141.41033854166668</v>
      </c>
      <c r="K71" s="100">
        <f t="shared" si="1"/>
        <v>832.1302808400002</v>
      </c>
    </row>
    <row r="72" spans="1:11" ht="12.75">
      <c r="A72" s="120" t="s">
        <v>1180</v>
      </c>
      <c r="B72" s="95">
        <v>38084</v>
      </c>
      <c r="C72" s="119">
        <v>0.375</v>
      </c>
      <c r="D72" s="97">
        <v>516</v>
      </c>
      <c r="E72" s="99">
        <v>14.6114946</v>
      </c>
      <c r="F72" s="99">
        <v>55.2</v>
      </c>
      <c r="G72" s="99">
        <v>6.4</v>
      </c>
      <c r="H72" s="98">
        <v>0.13</v>
      </c>
      <c r="I72" s="99">
        <v>16.3</v>
      </c>
      <c r="J72" s="100">
        <v>119.80156770833335</v>
      </c>
      <c r="K72" s="100">
        <f t="shared" si="1"/>
        <v>806.55450192</v>
      </c>
    </row>
    <row r="73" spans="1:11" ht="12.75">
      <c r="A73" s="120" t="s">
        <v>1181</v>
      </c>
      <c r="B73" s="95">
        <v>38087</v>
      </c>
      <c r="C73" s="119">
        <v>0.7708333333333334</v>
      </c>
      <c r="D73" s="97">
        <v>462</v>
      </c>
      <c r="E73" s="99">
        <v>13.0823847</v>
      </c>
      <c r="F73" s="99">
        <v>56.5</v>
      </c>
      <c r="G73" s="99">
        <v>6.56</v>
      </c>
      <c r="H73" s="98">
        <v>0.12</v>
      </c>
      <c r="I73" s="99">
        <v>16.3</v>
      </c>
      <c r="J73" s="100">
        <v>127.11041666666667</v>
      </c>
      <c r="K73" s="100">
        <f t="shared" si="1"/>
        <v>739.15473555</v>
      </c>
    </row>
    <row r="74" spans="1:11" ht="12.75">
      <c r="A74" s="120" t="s">
        <v>1182</v>
      </c>
      <c r="B74" s="95">
        <v>38094</v>
      </c>
      <c r="C74" s="119">
        <v>0.4479166666666667</v>
      </c>
      <c r="D74" s="97">
        <v>462</v>
      </c>
      <c r="E74" s="99">
        <v>13.0823847</v>
      </c>
      <c r="F74" s="99">
        <v>57.3</v>
      </c>
      <c r="G74" s="99">
        <v>6.66</v>
      </c>
      <c r="H74" s="98">
        <v>0.12</v>
      </c>
      <c r="I74" s="99">
        <v>15.3</v>
      </c>
      <c r="J74" s="100">
        <v>129.01707291666668</v>
      </c>
      <c r="K74" s="100">
        <f t="shared" si="1"/>
        <v>749.62064331</v>
      </c>
    </row>
    <row r="75" spans="1:11" ht="12.75">
      <c r="A75" s="120" t="s">
        <v>1183</v>
      </c>
      <c r="B75" s="95">
        <v>38101</v>
      </c>
      <c r="C75" s="119">
        <v>0.5104166666666666</v>
      </c>
      <c r="D75" s="97">
        <v>448</v>
      </c>
      <c r="E75" s="99">
        <v>12.6859488</v>
      </c>
      <c r="F75" s="99">
        <v>61.6</v>
      </c>
      <c r="G75" s="99">
        <v>7.01</v>
      </c>
      <c r="H75" s="98">
        <v>0.13</v>
      </c>
      <c r="I75" s="99">
        <v>16.8</v>
      </c>
      <c r="J75" s="100">
        <v>138.55035416666666</v>
      </c>
      <c r="K75" s="100">
        <f t="shared" si="1"/>
        <v>781.45444608</v>
      </c>
    </row>
    <row r="76" spans="1:11" ht="12.75">
      <c r="A76" s="120" t="s">
        <v>1184</v>
      </c>
      <c r="B76" s="95">
        <v>38108</v>
      </c>
      <c r="C76" s="119">
        <v>0.5208333333333334</v>
      </c>
      <c r="D76" s="97">
        <v>488</v>
      </c>
      <c r="E76" s="99">
        <v>13.8186228</v>
      </c>
      <c r="F76" s="99">
        <v>53.9</v>
      </c>
      <c r="G76" s="99">
        <v>6.32</v>
      </c>
      <c r="H76" s="98">
        <v>0.1</v>
      </c>
      <c r="I76" s="99">
        <v>14.6</v>
      </c>
      <c r="J76" s="100">
        <v>119.80156770833335</v>
      </c>
      <c r="K76" s="100">
        <f t="shared" si="1"/>
        <v>744.82376892</v>
      </c>
    </row>
    <row r="77" spans="1:11" ht="12.75">
      <c r="A77" s="120" t="s">
        <v>1185</v>
      </c>
      <c r="B77" s="95">
        <v>38115</v>
      </c>
      <c r="C77" s="119">
        <v>0.607638888888889</v>
      </c>
      <c r="D77" s="97">
        <v>739</v>
      </c>
      <c r="E77" s="99">
        <v>20.92615215</v>
      </c>
      <c r="F77" s="99">
        <v>28.5</v>
      </c>
      <c r="G77" s="99">
        <v>3.59</v>
      </c>
      <c r="H77" s="98">
        <v>0.05</v>
      </c>
      <c r="I77" s="99">
        <v>8.41</v>
      </c>
      <c r="J77" s="100">
        <v>91.83727604166667</v>
      </c>
      <c r="K77" s="100">
        <f t="shared" si="1"/>
        <v>596.395336275</v>
      </c>
    </row>
    <row r="78" spans="1:11" ht="12.75">
      <c r="A78" s="113" t="s">
        <v>1186</v>
      </c>
      <c r="B78" s="95">
        <v>38130</v>
      </c>
      <c r="C78" s="119">
        <v>0.5354166666666667</v>
      </c>
      <c r="D78" s="97">
        <v>909</v>
      </c>
      <c r="E78" s="99">
        <v>25.74001665</v>
      </c>
      <c r="F78" s="99">
        <v>39</v>
      </c>
      <c r="G78" s="99">
        <v>4.44</v>
      </c>
      <c r="H78" s="98">
        <v>0.02</v>
      </c>
      <c r="I78" s="99">
        <v>13.9</v>
      </c>
      <c r="J78" s="100">
        <v>74.99514583333332</v>
      </c>
      <c r="K78" s="100">
        <f t="shared" si="1"/>
        <v>1003.86064935</v>
      </c>
    </row>
    <row r="79" spans="1:11" ht="12.75">
      <c r="A79" s="113" t="s">
        <v>1187</v>
      </c>
      <c r="B79" s="95">
        <v>38133</v>
      </c>
      <c r="C79" s="119">
        <v>0.7916666666666666</v>
      </c>
      <c r="D79" s="97">
        <v>575</v>
      </c>
      <c r="E79" s="99">
        <v>16.28218875</v>
      </c>
      <c r="F79" s="99">
        <v>47.4</v>
      </c>
      <c r="G79" s="99">
        <v>5.49</v>
      </c>
      <c r="H79" s="98">
        <v>0.11</v>
      </c>
      <c r="I79" s="99">
        <v>13.1</v>
      </c>
      <c r="J79" s="100">
        <v>103.59498958333333</v>
      </c>
      <c r="K79" s="100">
        <f t="shared" si="1"/>
        <v>771.7757467499999</v>
      </c>
    </row>
    <row r="80" spans="1:11" ht="12.75">
      <c r="A80" s="113" t="s">
        <v>1188</v>
      </c>
      <c r="B80" s="95">
        <v>38143</v>
      </c>
      <c r="C80" s="119">
        <v>0.5729166666666666</v>
      </c>
      <c r="D80" s="97">
        <v>598</v>
      </c>
      <c r="E80" s="99">
        <v>16.933476300000002</v>
      </c>
      <c r="F80" s="99">
        <v>42.8</v>
      </c>
      <c r="G80" s="99">
        <v>4.98</v>
      </c>
      <c r="H80" s="98">
        <v>0.09</v>
      </c>
      <c r="I80" s="99">
        <v>10.8</v>
      </c>
      <c r="J80" s="100">
        <v>95.65058854166668</v>
      </c>
      <c r="K80" s="100">
        <f t="shared" si="1"/>
        <v>724.7527856400001</v>
      </c>
    </row>
    <row r="81" spans="1:11" ht="12.75">
      <c r="A81" s="113" t="s">
        <v>1189</v>
      </c>
      <c r="B81" s="95">
        <v>38150</v>
      </c>
      <c r="C81" s="119">
        <v>0.625</v>
      </c>
      <c r="D81" s="97">
        <v>687</v>
      </c>
      <c r="E81" s="99">
        <v>19.45367595</v>
      </c>
      <c r="F81" s="99">
        <v>45.3</v>
      </c>
      <c r="G81" s="99">
        <v>5.17</v>
      </c>
      <c r="H81" s="98">
        <v>0.1</v>
      </c>
      <c r="I81" s="99">
        <v>13.5</v>
      </c>
      <c r="J81" s="100">
        <v>96.60391666666668</v>
      </c>
      <c r="K81" s="100">
        <f t="shared" si="1"/>
        <v>881.2515205349999</v>
      </c>
    </row>
    <row r="82" spans="1:11" ht="12.75">
      <c r="A82" s="113" t="s">
        <v>1190</v>
      </c>
      <c r="B82" s="95">
        <v>38156</v>
      </c>
      <c r="C82" s="119">
        <v>0.5833333333333334</v>
      </c>
      <c r="D82" s="97">
        <v>509</v>
      </c>
      <c r="E82" s="99">
        <v>14.41327665</v>
      </c>
      <c r="F82" s="99">
        <v>49.2</v>
      </c>
      <c r="G82" s="99">
        <v>5.89</v>
      </c>
      <c r="H82" s="98">
        <v>0.11</v>
      </c>
      <c r="I82" s="99">
        <v>11.7</v>
      </c>
      <c r="J82" s="100">
        <v>113.12827083333333</v>
      </c>
      <c r="K82" s="100">
        <f t="shared" si="1"/>
        <v>709.1332111800001</v>
      </c>
    </row>
    <row r="83" spans="1:11" ht="12.75">
      <c r="A83" s="113" t="s">
        <v>1191</v>
      </c>
      <c r="B83" s="95">
        <v>38164</v>
      </c>
      <c r="C83" s="119">
        <v>0.5868055555555556</v>
      </c>
      <c r="D83" s="97">
        <v>516</v>
      </c>
      <c r="E83" s="99">
        <v>14.6114946</v>
      </c>
      <c r="F83" s="99">
        <v>56</v>
      </c>
      <c r="G83" s="99">
        <v>6.25</v>
      </c>
      <c r="H83" s="98">
        <v>0.12</v>
      </c>
      <c r="I83" s="99">
        <v>13.1</v>
      </c>
      <c r="J83" s="100">
        <v>116.94158333333334</v>
      </c>
      <c r="K83" s="100">
        <f t="shared" si="1"/>
        <v>818.2436976</v>
      </c>
    </row>
    <row r="84" spans="1:11" ht="12.75">
      <c r="A84" s="113" t="s">
        <v>1192</v>
      </c>
      <c r="B84" s="95">
        <v>38171</v>
      </c>
      <c r="C84" s="119">
        <v>0.6666666666666666</v>
      </c>
      <c r="D84" s="97">
        <v>429</v>
      </c>
      <c r="E84" s="99">
        <v>12.14792865</v>
      </c>
      <c r="F84" s="99">
        <v>56.3</v>
      </c>
      <c r="G84" s="99">
        <v>6.61</v>
      </c>
      <c r="H84" s="98">
        <v>0.12</v>
      </c>
      <c r="I84" s="99">
        <v>12.9</v>
      </c>
      <c r="J84" s="100">
        <v>141.72811458333334</v>
      </c>
      <c r="K84" s="100">
        <f t="shared" si="1"/>
        <v>683.928382995</v>
      </c>
    </row>
    <row r="85" spans="1:11" ht="12.75">
      <c r="A85" s="113" t="s">
        <v>951</v>
      </c>
      <c r="B85" s="95">
        <v>38175</v>
      </c>
      <c r="C85" s="119">
        <v>0.6875</v>
      </c>
      <c r="D85" s="97">
        <v>411</v>
      </c>
      <c r="E85" s="99">
        <v>11.63822535</v>
      </c>
      <c r="F85" s="99">
        <v>59.6</v>
      </c>
      <c r="G85" s="99">
        <v>6.94</v>
      </c>
      <c r="H85" s="98">
        <v>0.14</v>
      </c>
      <c r="I85" s="99">
        <v>13.8</v>
      </c>
      <c r="J85" s="100">
        <v>135.05481770833336</v>
      </c>
      <c r="K85" s="100">
        <f t="shared" si="1"/>
        <v>693.63823086</v>
      </c>
    </row>
    <row r="86" spans="1:11" ht="12.75">
      <c r="A86" s="113" t="s">
        <v>952</v>
      </c>
      <c r="B86" s="95">
        <v>38178</v>
      </c>
      <c r="C86" s="119">
        <v>0.6041666666666666</v>
      </c>
      <c r="D86" s="97">
        <v>398</v>
      </c>
      <c r="E86" s="99">
        <v>11.2701063</v>
      </c>
      <c r="F86" s="99">
        <v>59.2</v>
      </c>
      <c r="G86" s="99">
        <v>6.95</v>
      </c>
      <c r="H86" s="98">
        <v>0.14</v>
      </c>
      <c r="I86" s="99">
        <v>13.2</v>
      </c>
      <c r="J86" s="100">
        <v>135.69036979166668</v>
      </c>
      <c r="K86" s="100">
        <f t="shared" si="1"/>
        <v>667.1902929600001</v>
      </c>
    </row>
    <row r="87" spans="1:11" ht="12.75">
      <c r="A87" s="113" t="s">
        <v>953</v>
      </c>
      <c r="B87" s="95">
        <v>38185</v>
      </c>
      <c r="C87" s="119">
        <v>0.4236111111111111</v>
      </c>
      <c r="D87" s="97">
        <v>381</v>
      </c>
      <c r="E87" s="99">
        <v>10.78871985</v>
      </c>
      <c r="F87" s="99">
        <v>60.2</v>
      </c>
      <c r="G87" s="99">
        <v>7.1</v>
      </c>
      <c r="H87" s="98">
        <v>0.14</v>
      </c>
      <c r="I87" s="99">
        <v>13</v>
      </c>
      <c r="J87" s="100">
        <v>139.18590625</v>
      </c>
      <c r="K87" s="100">
        <f t="shared" si="1"/>
        <v>649.48093497</v>
      </c>
    </row>
    <row r="88" spans="1:11" ht="12.75">
      <c r="A88" s="113" t="s">
        <v>954</v>
      </c>
      <c r="B88" s="95">
        <v>38192</v>
      </c>
      <c r="C88" s="119">
        <v>0.5208333333333334</v>
      </c>
      <c r="D88" s="97">
        <v>398</v>
      </c>
      <c r="E88" s="99">
        <v>11.2701063</v>
      </c>
      <c r="F88" s="99">
        <v>59.9</v>
      </c>
      <c r="G88" s="99">
        <v>7</v>
      </c>
      <c r="H88" s="98">
        <v>0.13</v>
      </c>
      <c r="I88" s="99">
        <v>13.7</v>
      </c>
      <c r="J88" s="100">
        <v>139.18590625</v>
      </c>
      <c r="K88" s="100">
        <f t="shared" si="1"/>
        <v>675.07936737</v>
      </c>
    </row>
    <row r="89" spans="1:11" ht="12.75">
      <c r="A89" s="113" t="s">
        <v>955</v>
      </c>
      <c r="B89" s="95">
        <v>38214</v>
      </c>
      <c r="C89" s="97" t="s">
        <v>1549</v>
      </c>
      <c r="D89" s="97">
        <v>369</v>
      </c>
      <c r="E89" s="99">
        <v>10.44891765</v>
      </c>
      <c r="F89" s="99">
        <v>64</v>
      </c>
      <c r="G89" s="99">
        <v>7.55</v>
      </c>
      <c r="H89" s="98">
        <v>0.15</v>
      </c>
      <c r="I89" s="99">
        <v>13.2</v>
      </c>
      <c r="J89" s="100">
        <v>144.905875</v>
      </c>
      <c r="K89" s="100">
        <f t="shared" si="1"/>
        <v>668.7307296</v>
      </c>
    </row>
    <row r="90" spans="1:11" ht="12.75">
      <c r="A90" s="113" t="s">
        <v>956</v>
      </c>
      <c r="B90" s="95">
        <v>38220</v>
      </c>
      <c r="C90" s="119">
        <v>0.5208333333333334</v>
      </c>
      <c r="D90" s="97">
        <v>381</v>
      </c>
      <c r="E90" s="99">
        <v>10.78871985</v>
      </c>
      <c r="F90" s="99">
        <v>63.3</v>
      </c>
      <c r="G90" s="99">
        <v>7.4</v>
      </c>
      <c r="H90" s="98">
        <v>0.15</v>
      </c>
      <c r="I90" s="99">
        <v>13.8</v>
      </c>
      <c r="J90" s="100">
        <v>142.36366666666666</v>
      </c>
      <c r="K90" s="100">
        <f t="shared" si="1"/>
        <v>682.9259665049999</v>
      </c>
    </row>
    <row r="91" spans="1:11" ht="12.75">
      <c r="A91" s="113" t="s">
        <v>957</v>
      </c>
      <c r="B91" s="95">
        <v>38223</v>
      </c>
      <c r="C91" s="119">
        <v>0.53125</v>
      </c>
      <c r="D91" s="97">
        <v>423</v>
      </c>
      <c r="E91" s="99">
        <v>11.97802755</v>
      </c>
      <c r="F91" s="99">
        <v>63.2</v>
      </c>
      <c r="G91" s="99">
        <v>6.58</v>
      </c>
      <c r="H91" s="98">
        <v>0.14</v>
      </c>
      <c r="I91" s="99">
        <v>17.7</v>
      </c>
      <c r="J91" s="100">
        <v>122.34377604166667</v>
      </c>
      <c r="K91" s="100">
        <f t="shared" si="1"/>
        <v>757.01134116</v>
      </c>
    </row>
    <row r="92" spans="1:11" ht="12.75">
      <c r="A92" s="113" t="s">
        <v>958</v>
      </c>
      <c r="B92" s="95">
        <v>38227</v>
      </c>
      <c r="C92" s="119">
        <v>0.5416666666666666</v>
      </c>
      <c r="D92" s="97">
        <v>411</v>
      </c>
      <c r="E92" s="99">
        <v>11.63822535</v>
      </c>
      <c r="F92" s="99">
        <v>61.4</v>
      </c>
      <c r="G92" s="99">
        <v>6.97</v>
      </c>
      <c r="H92" s="98">
        <v>0.13</v>
      </c>
      <c r="I92" s="99">
        <v>16.5</v>
      </c>
      <c r="J92" s="100">
        <v>133.4659375</v>
      </c>
      <c r="K92" s="100">
        <f t="shared" si="1"/>
        <v>714.5870364900001</v>
      </c>
    </row>
    <row r="93" spans="1:11" ht="12.75">
      <c r="A93" s="113" t="s">
        <v>959</v>
      </c>
      <c r="B93" s="95">
        <v>38241</v>
      </c>
      <c r="C93" s="119">
        <v>0.6041666666666666</v>
      </c>
      <c r="D93" s="97">
        <v>375</v>
      </c>
      <c r="E93" s="99">
        <v>10.61881875</v>
      </c>
      <c r="F93" s="99">
        <v>64.1</v>
      </c>
      <c r="G93" s="99">
        <v>7.5</v>
      </c>
      <c r="H93" s="98">
        <v>0.15</v>
      </c>
      <c r="I93" s="99">
        <v>14.1</v>
      </c>
      <c r="J93" s="100">
        <v>143.63477083333333</v>
      </c>
      <c r="K93" s="100">
        <f t="shared" si="1"/>
        <v>680.666281875</v>
      </c>
    </row>
    <row r="94" spans="1:11" ht="12.75">
      <c r="A94" s="82" t="s">
        <v>973</v>
      </c>
      <c r="C94" s="119"/>
      <c r="D94" s="97"/>
      <c r="E94" s="99"/>
      <c r="F94" s="99"/>
      <c r="G94" s="99"/>
      <c r="H94" s="98"/>
      <c r="I94" s="99"/>
      <c r="J94" s="100"/>
      <c r="K94" s="100"/>
    </row>
    <row r="95" spans="1:11" s="24" customFormat="1" ht="14.25" customHeight="1">
      <c r="A95" s="120" t="s">
        <v>870</v>
      </c>
      <c r="B95" s="102">
        <v>38280</v>
      </c>
      <c r="C95" s="103">
        <v>0.4895833333333333</v>
      </c>
      <c r="D95" s="104">
        <v>429</v>
      </c>
      <c r="E95" s="99">
        <f aca="true" t="shared" si="2" ref="E95:E158">D95*0.02831685</f>
        <v>12.14792865</v>
      </c>
      <c r="F95" s="105">
        <v>70.4</v>
      </c>
      <c r="G95" s="105">
        <v>7.59</v>
      </c>
      <c r="H95" s="91">
        <v>0.16</v>
      </c>
      <c r="I95" s="105">
        <v>16.6</v>
      </c>
      <c r="J95" s="90">
        <v>148.08363541666668</v>
      </c>
      <c r="K95" s="100">
        <f t="shared" si="1"/>
        <v>855.2141769600001</v>
      </c>
    </row>
    <row r="96" spans="1:11" s="24" customFormat="1" ht="14.25" customHeight="1">
      <c r="A96" s="120" t="s">
        <v>871</v>
      </c>
      <c r="B96" s="102">
        <v>38306</v>
      </c>
      <c r="C96" s="103">
        <v>0.5729166666666666</v>
      </c>
      <c r="D96" s="104">
        <v>381</v>
      </c>
      <c r="E96" s="99">
        <f t="shared" si="2"/>
        <v>10.78871985</v>
      </c>
      <c r="F96" s="105">
        <v>65.5</v>
      </c>
      <c r="G96" s="105">
        <v>7.5</v>
      </c>
      <c r="H96" s="91">
        <v>0.16</v>
      </c>
      <c r="I96" s="105">
        <v>15.5</v>
      </c>
      <c r="J96" s="90">
        <v>144.905875</v>
      </c>
      <c r="K96" s="100">
        <f t="shared" si="1"/>
        <v>706.661150175</v>
      </c>
    </row>
    <row r="97" spans="1:11" s="24" customFormat="1" ht="14.25" customHeight="1">
      <c r="A97" s="120" t="s">
        <v>872</v>
      </c>
      <c r="B97" s="102">
        <v>38307</v>
      </c>
      <c r="C97" s="103">
        <v>0.7083333333333334</v>
      </c>
      <c r="D97" s="104">
        <v>381</v>
      </c>
      <c r="E97" s="99">
        <f t="shared" si="2"/>
        <v>10.78871985</v>
      </c>
      <c r="F97" s="105">
        <v>66.7</v>
      </c>
      <c r="G97" s="105">
        <v>7.55</v>
      </c>
      <c r="H97" s="91">
        <v>0.16</v>
      </c>
      <c r="I97" s="105">
        <v>15.7</v>
      </c>
      <c r="J97" s="90">
        <v>147.13030729166667</v>
      </c>
      <c r="K97" s="100">
        <f t="shared" si="1"/>
        <v>719.6076139950001</v>
      </c>
    </row>
    <row r="98" spans="1:11" s="24" customFormat="1" ht="14.25" customHeight="1">
      <c r="A98" s="120" t="s">
        <v>873</v>
      </c>
      <c r="B98" s="102">
        <v>38364</v>
      </c>
      <c r="C98" s="103">
        <v>0.44166666666666665</v>
      </c>
      <c r="D98" s="104">
        <v>392</v>
      </c>
      <c r="E98" s="99">
        <f t="shared" si="2"/>
        <v>11.1002052</v>
      </c>
      <c r="F98" s="105">
        <v>72.2</v>
      </c>
      <c r="G98" s="105">
        <v>7.75</v>
      </c>
      <c r="H98" s="91">
        <v>0.17</v>
      </c>
      <c r="I98" s="105">
        <v>17.5</v>
      </c>
      <c r="J98" s="90">
        <v>146.81253125</v>
      </c>
      <c r="K98" s="100">
        <f t="shared" si="1"/>
        <v>801.43481544</v>
      </c>
    </row>
    <row r="99" spans="1:11" s="24" customFormat="1" ht="14.25" customHeight="1">
      <c r="A99" s="120" t="s">
        <v>874</v>
      </c>
      <c r="B99" s="102">
        <v>38371</v>
      </c>
      <c r="C99" s="103">
        <v>0.375</v>
      </c>
      <c r="D99" s="104">
        <v>387</v>
      </c>
      <c r="E99" s="99">
        <f t="shared" si="2"/>
        <v>10.95862095</v>
      </c>
      <c r="F99" s="105">
        <v>70.5</v>
      </c>
      <c r="G99" s="105">
        <v>7.69</v>
      </c>
      <c r="H99" s="91">
        <v>0.17</v>
      </c>
      <c r="I99" s="105">
        <v>16.9</v>
      </c>
      <c r="J99" s="90">
        <v>146.17697916666668</v>
      </c>
      <c r="K99" s="100">
        <f t="shared" si="1"/>
        <v>772.582776975</v>
      </c>
    </row>
    <row r="100" spans="1:11" s="24" customFormat="1" ht="14.25" customHeight="1">
      <c r="A100" s="113" t="s">
        <v>875</v>
      </c>
      <c r="B100" s="102">
        <v>38398</v>
      </c>
      <c r="C100" s="103">
        <v>0.5625</v>
      </c>
      <c r="D100" s="104">
        <v>381</v>
      </c>
      <c r="E100" s="99">
        <f t="shared" si="2"/>
        <v>10.78871985</v>
      </c>
      <c r="F100" s="105">
        <v>72.4</v>
      </c>
      <c r="G100" s="99">
        <v>7.8</v>
      </c>
      <c r="H100" s="98">
        <v>0.17</v>
      </c>
      <c r="I100" s="99">
        <v>17.3</v>
      </c>
      <c r="J100" s="100">
        <v>154.43915625</v>
      </c>
      <c r="K100" s="100">
        <f t="shared" si="1"/>
        <v>781.1033171400001</v>
      </c>
    </row>
    <row r="101" spans="1:11" s="24" customFormat="1" ht="14.25" customHeight="1">
      <c r="A101" s="113" t="s">
        <v>876</v>
      </c>
      <c r="B101" s="102">
        <v>38419</v>
      </c>
      <c r="C101" s="103">
        <v>0.3541666666666667</v>
      </c>
      <c r="D101" s="104">
        <v>369</v>
      </c>
      <c r="E101" s="99">
        <f t="shared" si="2"/>
        <v>10.44891765</v>
      </c>
      <c r="F101" s="105">
        <v>72.9</v>
      </c>
      <c r="G101" s="99">
        <v>8.03</v>
      </c>
      <c r="H101" s="98">
        <v>0.18</v>
      </c>
      <c r="I101" s="99">
        <v>16.8</v>
      </c>
      <c r="J101" s="100">
        <v>158.4749119791667</v>
      </c>
      <c r="K101" s="100">
        <f t="shared" si="1"/>
        <v>761.7260966850001</v>
      </c>
    </row>
    <row r="102" spans="1:11" s="24" customFormat="1" ht="14.25" customHeight="1">
      <c r="A102" s="113" t="s">
        <v>877</v>
      </c>
      <c r="B102" s="102">
        <v>38432</v>
      </c>
      <c r="C102" s="103">
        <v>0.75</v>
      </c>
      <c r="D102" s="104">
        <v>387</v>
      </c>
      <c r="E102" s="99">
        <f t="shared" si="2"/>
        <v>10.95862095</v>
      </c>
      <c r="F102" s="105">
        <v>73</v>
      </c>
      <c r="G102" s="99">
        <v>7.95</v>
      </c>
      <c r="H102" s="98">
        <v>0.17</v>
      </c>
      <c r="I102" s="99">
        <v>17.4</v>
      </c>
      <c r="J102" s="100">
        <v>161.90689322916668</v>
      </c>
      <c r="K102" s="100">
        <f t="shared" si="1"/>
        <v>799.9793293500001</v>
      </c>
    </row>
    <row r="103" spans="1:11" s="24" customFormat="1" ht="14.25" customHeight="1">
      <c r="A103" s="113" t="s">
        <v>878</v>
      </c>
      <c r="B103" s="102">
        <v>38453</v>
      </c>
      <c r="C103" s="103">
        <v>0.375</v>
      </c>
      <c r="D103" s="104">
        <v>405</v>
      </c>
      <c r="E103" s="99">
        <f t="shared" si="2"/>
        <v>11.46832425</v>
      </c>
      <c r="F103" s="105">
        <v>70.2</v>
      </c>
      <c r="G103" s="99">
        <v>7.73</v>
      </c>
      <c r="H103" s="98">
        <v>0.16</v>
      </c>
      <c r="I103" s="99">
        <v>17.5</v>
      </c>
      <c r="J103" s="100">
        <v>163.17799739583336</v>
      </c>
      <c r="K103" s="100">
        <f t="shared" si="1"/>
        <v>805.0763623500001</v>
      </c>
    </row>
    <row r="104" spans="1:11" s="24" customFormat="1" ht="14.25" customHeight="1">
      <c r="A104" s="113" t="s">
        <v>879</v>
      </c>
      <c r="B104" s="102">
        <v>38460</v>
      </c>
      <c r="C104" s="103">
        <v>0.48819444444444443</v>
      </c>
      <c r="D104" s="104">
        <v>509</v>
      </c>
      <c r="E104" s="99">
        <f t="shared" si="2"/>
        <v>14.41327665</v>
      </c>
      <c r="F104" s="105">
        <v>58.3</v>
      </c>
      <c r="G104" s="99">
        <v>6.57</v>
      </c>
      <c r="H104" s="98">
        <v>0.13</v>
      </c>
      <c r="I104" s="99">
        <v>16.2</v>
      </c>
      <c r="J104" s="100">
        <v>122.75688489583334</v>
      </c>
      <c r="K104" s="100">
        <f t="shared" si="1"/>
        <v>840.294028695</v>
      </c>
    </row>
    <row r="105" spans="1:11" s="24" customFormat="1" ht="14.25" customHeight="1">
      <c r="A105" s="113" t="s">
        <v>880</v>
      </c>
      <c r="B105" s="102">
        <v>38468</v>
      </c>
      <c r="C105" s="103">
        <v>0.37152777777777773</v>
      </c>
      <c r="D105" s="104">
        <v>567</v>
      </c>
      <c r="E105" s="99">
        <f t="shared" si="2"/>
        <v>16.05565395</v>
      </c>
      <c r="F105" s="105">
        <v>47.6</v>
      </c>
      <c r="G105" s="99">
        <v>5.77</v>
      </c>
      <c r="H105" s="98">
        <v>0.08</v>
      </c>
      <c r="I105" s="99">
        <v>13.9</v>
      </c>
      <c r="J105" s="100">
        <v>105.02498177083329</v>
      </c>
      <c r="K105" s="100">
        <f t="shared" si="1"/>
        <v>764.2491280200001</v>
      </c>
    </row>
    <row r="106" spans="1:11" s="24" customFormat="1" ht="14.25" customHeight="1">
      <c r="A106" s="113" t="s">
        <v>881</v>
      </c>
      <c r="B106" s="102">
        <v>38474</v>
      </c>
      <c r="C106" s="96">
        <v>0.6215277777777778</v>
      </c>
      <c r="D106" s="104">
        <v>509</v>
      </c>
      <c r="E106" s="99">
        <f t="shared" si="2"/>
        <v>14.41327665</v>
      </c>
      <c r="F106" s="105">
        <v>56.8</v>
      </c>
      <c r="G106" s="99">
        <v>6.64</v>
      </c>
      <c r="H106" s="98">
        <v>0.12</v>
      </c>
      <c r="I106" s="99">
        <v>14.9</v>
      </c>
      <c r="J106" s="100">
        <v>131.55928125</v>
      </c>
      <c r="K106" s="100">
        <f t="shared" si="1"/>
        <v>818.6741137199999</v>
      </c>
    </row>
    <row r="107" spans="1:11" s="24" customFormat="1" ht="14.25" customHeight="1">
      <c r="A107" s="113" t="s">
        <v>882</v>
      </c>
      <c r="B107" s="102">
        <v>38478</v>
      </c>
      <c r="C107" s="96">
        <v>0.3902777777777778</v>
      </c>
      <c r="D107" s="104">
        <v>670</v>
      </c>
      <c r="E107" s="99">
        <f t="shared" si="2"/>
        <v>18.972289500000002</v>
      </c>
      <c r="F107" s="105">
        <v>41.3</v>
      </c>
      <c r="G107" s="99">
        <v>4.95</v>
      </c>
      <c r="H107" s="98">
        <v>0.09</v>
      </c>
      <c r="I107" s="99">
        <v>11</v>
      </c>
      <c r="J107" s="100">
        <v>98.574128125</v>
      </c>
      <c r="K107" s="100">
        <f t="shared" si="1"/>
        <v>783.5555563500001</v>
      </c>
    </row>
    <row r="108" spans="1:11" s="24" customFormat="1" ht="14.25" customHeight="1">
      <c r="A108" s="113" t="s">
        <v>883</v>
      </c>
      <c r="B108" s="102">
        <v>38481</v>
      </c>
      <c r="C108" s="96">
        <v>0.5868055555555556</v>
      </c>
      <c r="D108" s="104">
        <v>766</v>
      </c>
      <c r="E108" s="99">
        <f t="shared" si="2"/>
        <v>21.6907071</v>
      </c>
      <c r="F108" s="105">
        <v>39.3</v>
      </c>
      <c r="G108" s="99">
        <v>4.76</v>
      </c>
      <c r="H108" s="98">
        <v>0.07</v>
      </c>
      <c r="I108" s="99">
        <v>12</v>
      </c>
      <c r="J108" s="100">
        <v>93.26726822916667</v>
      </c>
      <c r="K108" s="100">
        <f t="shared" si="1"/>
        <v>852.4447890299999</v>
      </c>
    </row>
    <row r="109" spans="1:11" s="24" customFormat="1" ht="14.25" customHeight="1">
      <c r="A109" s="113" t="s">
        <v>884</v>
      </c>
      <c r="B109" s="102">
        <v>38488</v>
      </c>
      <c r="C109" s="96">
        <v>0.6215277777777778</v>
      </c>
      <c r="D109" s="104">
        <v>992</v>
      </c>
      <c r="E109" s="99">
        <f t="shared" si="2"/>
        <v>28.090315200000003</v>
      </c>
      <c r="F109" s="105">
        <v>31.7</v>
      </c>
      <c r="G109" s="99">
        <v>3.87</v>
      </c>
      <c r="H109" s="98">
        <v>0.05</v>
      </c>
      <c r="I109" s="99">
        <v>9.49</v>
      </c>
      <c r="J109" s="100">
        <v>75.47180989583333</v>
      </c>
      <c r="K109" s="100">
        <f t="shared" si="1"/>
        <v>890.4629918400001</v>
      </c>
    </row>
    <row r="110" spans="1:11" s="24" customFormat="1" ht="14.25" customHeight="1">
      <c r="A110" s="113" t="s">
        <v>885</v>
      </c>
      <c r="B110" s="102">
        <v>38491</v>
      </c>
      <c r="C110" s="96">
        <v>0.5</v>
      </c>
      <c r="D110" s="104">
        <v>1090</v>
      </c>
      <c r="E110" s="99">
        <f t="shared" si="2"/>
        <v>30.8653665</v>
      </c>
      <c r="F110" s="105">
        <v>31.7</v>
      </c>
      <c r="G110" s="99">
        <v>3.86</v>
      </c>
      <c r="H110" s="98">
        <v>0.07</v>
      </c>
      <c r="I110" s="99">
        <v>9.24</v>
      </c>
      <c r="J110" s="100">
        <v>73.72404166666668</v>
      </c>
      <c r="K110" s="100">
        <f t="shared" si="1"/>
        <v>978.43211805</v>
      </c>
    </row>
    <row r="111" spans="1:11" s="24" customFormat="1" ht="14.25" customHeight="1">
      <c r="A111" s="113" t="s">
        <v>886</v>
      </c>
      <c r="B111" s="102">
        <v>38495</v>
      </c>
      <c r="C111" s="96">
        <v>0.5625</v>
      </c>
      <c r="D111" s="104">
        <v>940</v>
      </c>
      <c r="E111" s="99">
        <f t="shared" si="2"/>
        <v>26.617839</v>
      </c>
      <c r="F111" s="105">
        <v>25.5</v>
      </c>
      <c r="G111" s="99">
        <v>3.44</v>
      </c>
      <c r="H111" s="98">
        <v>0.03</v>
      </c>
      <c r="I111" s="99">
        <v>7.44</v>
      </c>
      <c r="J111" s="100">
        <v>64.19076041666666</v>
      </c>
      <c r="K111" s="100">
        <f t="shared" si="1"/>
        <v>678.7548945</v>
      </c>
    </row>
    <row r="112" spans="1:11" s="24" customFormat="1" ht="14.25" customHeight="1">
      <c r="A112" s="113" t="s">
        <v>887</v>
      </c>
      <c r="B112" s="102">
        <v>38502</v>
      </c>
      <c r="C112" s="96">
        <v>0.3506944444444444</v>
      </c>
      <c r="D112" s="104">
        <v>621</v>
      </c>
      <c r="E112" s="99">
        <f t="shared" si="2"/>
        <v>17.58476385</v>
      </c>
      <c r="F112" s="105">
        <v>38.9</v>
      </c>
      <c r="G112" s="99">
        <v>4.75</v>
      </c>
      <c r="H112" s="98">
        <v>0.08</v>
      </c>
      <c r="I112" s="99">
        <v>9.99</v>
      </c>
      <c r="J112" s="100">
        <v>97.23946875</v>
      </c>
      <c r="K112" s="100">
        <f t="shared" si="1"/>
        <v>684.047313765</v>
      </c>
    </row>
    <row r="113" spans="1:11" s="24" customFormat="1" ht="14.25" customHeight="1">
      <c r="A113" s="113" t="s">
        <v>888</v>
      </c>
      <c r="B113" s="102">
        <v>38516</v>
      </c>
      <c r="C113" s="96">
        <v>0.35555555555555557</v>
      </c>
      <c r="D113" s="104">
        <v>784</v>
      </c>
      <c r="E113" s="99">
        <f t="shared" si="2"/>
        <v>22.2004104</v>
      </c>
      <c r="F113" s="105">
        <v>43.4</v>
      </c>
      <c r="G113" s="99">
        <v>4.81</v>
      </c>
      <c r="H113" s="98">
        <v>0.1</v>
      </c>
      <c r="I113" s="99">
        <v>13.6</v>
      </c>
      <c r="J113" s="100">
        <v>91.5195</v>
      </c>
      <c r="K113" s="100">
        <f t="shared" si="1"/>
        <v>963.4978113599999</v>
      </c>
    </row>
    <row r="114" spans="1:11" s="24" customFormat="1" ht="14.25" customHeight="1">
      <c r="A114" s="113" t="s">
        <v>889</v>
      </c>
      <c r="B114" s="102">
        <v>38518</v>
      </c>
      <c r="C114" s="96">
        <v>0.5</v>
      </c>
      <c r="D114" s="104">
        <v>613</v>
      </c>
      <c r="E114" s="99">
        <f t="shared" si="2"/>
        <v>17.358229050000002</v>
      </c>
      <c r="F114" s="105">
        <v>44.8</v>
      </c>
      <c r="G114" s="99">
        <v>5.26</v>
      </c>
      <c r="H114" s="98">
        <v>0.09</v>
      </c>
      <c r="I114" s="99">
        <v>11.8</v>
      </c>
      <c r="J114" s="100">
        <v>104.45298489583334</v>
      </c>
      <c r="K114" s="100">
        <f t="shared" si="1"/>
        <v>777.6486614400001</v>
      </c>
    </row>
    <row r="115" spans="1:11" s="24" customFormat="1" ht="14.25" customHeight="1">
      <c r="A115" s="113" t="s">
        <v>890</v>
      </c>
      <c r="B115" s="102">
        <v>38524</v>
      </c>
      <c r="C115" s="96">
        <v>0.3826388888888889</v>
      </c>
      <c r="D115" s="104">
        <v>482</v>
      </c>
      <c r="E115" s="99">
        <f t="shared" si="2"/>
        <v>13.648721700000001</v>
      </c>
      <c r="F115" s="105">
        <v>45.4</v>
      </c>
      <c r="G115" s="99">
        <v>5.57</v>
      </c>
      <c r="H115" s="98">
        <v>0.1</v>
      </c>
      <c r="I115" s="99">
        <v>11.5</v>
      </c>
      <c r="J115" s="100">
        <v>111.6347234375</v>
      </c>
      <c r="K115" s="100">
        <f t="shared" si="1"/>
        <v>619.65196518</v>
      </c>
    </row>
    <row r="116" spans="1:11" s="24" customFormat="1" ht="14.25" customHeight="1">
      <c r="A116" s="113" t="s">
        <v>891</v>
      </c>
      <c r="B116" s="102">
        <v>38530</v>
      </c>
      <c r="C116" s="103">
        <v>0.579861111111111</v>
      </c>
      <c r="D116" s="104">
        <v>502</v>
      </c>
      <c r="E116" s="99">
        <f t="shared" si="2"/>
        <v>14.2150587</v>
      </c>
      <c r="F116" s="105">
        <v>48.6</v>
      </c>
      <c r="G116" s="99">
        <v>5.85</v>
      </c>
      <c r="H116" s="98">
        <v>0.11</v>
      </c>
      <c r="I116" s="99">
        <v>12</v>
      </c>
      <c r="J116" s="100">
        <v>114.81248385416669</v>
      </c>
      <c r="K116" s="100">
        <f t="shared" si="1"/>
        <v>690.85185282</v>
      </c>
    </row>
    <row r="117" spans="1:11" s="24" customFormat="1" ht="14.25" customHeight="1">
      <c r="A117" s="113" t="s">
        <v>892</v>
      </c>
      <c r="B117" s="102">
        <v>38538</v>
      </c>
      <c r="C117" s="103">
        <v>0.3534722222222222</v>
      </c>
      <c r="D117" s="104">
        <v>423</v>
      </c>
      <c r="E117" s="99">
        <f t="shared" si="2"/>
        <v>11.97802755</v>
      </c>
      <c r="F117" s="105">
        <v>53.2</v>
      </c>
      <c r="G117" s="99">
        <v>6.47</v>
      </c>
      <c r="H117" s="98">
        <v>0.12</v>
      </c>
      <c r="I117" s="99">
        <v>12.5</v>
      </c>
      <c r="J117" s="100">
        <v>128.699296875</v>
      </c>
      <c r="K117" s="100">
        <f t="shared" si="1"/>
        <v>637.23106566</v>
      </c>
    </row>
    <row r="118" spans="1:11" s="24" customFormat="1" ht="14.25" customHeight="1">
      <c r="A118" s="113" t="s">
        <v>893</v>
      </c>
      <c r="B118" s="102">
        <v>38544</v>
      </c>
      <c r="C118" s="96">
        <v>0.4583333333333333</v>
      </c>
      <c r="D118" s="104">
        <v>468</v>
      </c>
      <c r="E118" s="99">
        <f t="shared" si="2"/>
        <v>13.252285800000001</v>
      </c>
      <c r="F118" s="105">
        <v>53.2</v>
      </c>
      <c r="G118" s="99">
        <v>6.31</v>
      </c>
      <c r="H118" s="98">
        <v>0.13</v>
      </c>
      <c r="I118" s="99">
        <v>13.3</v>
      </c>
      <c r="J118" s="100">
        <v>120.46889739583334</v>
      </c>
      <c r="K118" s="100">
        <f t="shared" si="1"/>
        <v>705.0216045600001</v>
      </c>
    </row>
    <row r="119" spans="1:11" s="24" customFormat="1" ht="14.25" customHeight="1">
      <c r="A119" s="113" t="s">
        <v>894</v>
      </c>
      <c r="B119" s="102">
        <v>38552</v>
      </c>
      <c r="C119" s="96">
        <v>0.5972222222222222</v>
      </c>
      <c r="D119" s="104">
        <v>392</v>
      </c>
      <c r="E119" s="99">
        <f t="shared" si="2"/>
        <v>11.1002052</v>
      </c>
      <c r="F119" s="105">
        <v>57.6</v>
      </c>
      <c r="G119" s="99">
        <v>6.98</v>
      </c>
      <c r="H119" s="98">
        <v>0.14</v>
      </c>
      <c r="I119" s="99">
        <v>12.7</v>
      </c>
      <c r="J119" s="100">
        <v>140.139234375</v>
      </c>
      <c r="K119" s="100">
        <f t="shared" si="1"/>
        <v>639.37181952</v>
      </c>
    </row>
    <row r="120" spans="1:11" s="24" customFormat="1" ht="14.25" customHeight="1">
      <c r="A120" s="113" t="s">
        <v>895</v>
      </c>
      <c r="B120" s="102">
        <v>38558</v>
      </c>
      <c r="C120" s="96">
        <v>0.40972222222222227</v>
      </c>
      <c r="D120" s="104">
        <v>387</v>
      </c>
      <c r="E120" s="99">
        <f t="shared" si="2"/>
        <v>10.95862095</v>
      </c>
      <c r="F120" s="105">
        <v>58.8</v>
      </c>
      <c r="G120" s="99">
        <v>7.11</v>
      </c>
      <c r="H120" s="98">
        <v>0.14</v>
      </c>
      <c r="I120" s="99">
        <v>12.4</v>
      </c>
      <c r="J120" s="100">
        <v>144.74698697916668</v>
      </c>
      <c r="K120" s="100">
        <f t="shared" si="1"/>
        <v>644.36691186</v>
      </c>
    </row>
    <row r="121" spans="1:11" s="24" customFormat="1" ht="14.25" customHeight="1">
      <c r="A121" s="113" t="s">
        <v>896</v>
      </c>
      <c r="B121" s="102">
        <v>38559</v>
      </c>
      <c r="C121" s="96">
        <v>0.5</v>
      </c>
      <c r="D121" s="104">
        <v>417</v>
      </c>
      <c r="E121" s="99">
        <f t="shared" si="2"/>
        <v>11.80812645</v>
      </c>
      <c r="F121" s="105">
        <v>58.1</v>
      </c>
      <c r="G121" s="99">
        <v>6.96</v>
      </c>
      <c r="H121" s="98">
        <v>0.14</v>
      </c>
      <c r="I121" s="99">
        <v>12.7</v>
      </c>
      <c r="J121" s="100">
        <v>139.98034635416667</v>
      </c>
      <c r="K121" s="100">
        <f t="shared" si="1"/>
        <v>686.052146745</v>
      </c>
    </row>
    <row r="122" spans="1:11" s="24" customFormat="1" ht="14.25" customHeight="1">
      <c r="A122" s="113" t="s">
        <v>897</v>
      </c>
      <c r="B122" s="102">
        <v>38580</v>
      </c>
      <c r="C122" s="96">
        <v>0.545138888888889</v>
      </c>
      <c r="D122" s="104">
        <v>369</v>
      </c>
      <c r="E122" s="99">
        <f t="shared" si="2"/>
        <v>10.44891765</v>
      </c>
      <c r="F122" s="105">
        <v>60.1</v>
      </c>
      <c r="G122" s="99">
        <v>7.2</v>
      </c>
      <c r="H122" s="98">
        <v>0.15</v>
      </c>
      <c r="I122" s="99">
        <v>13.3</v>
      </c>
      <c r="J122" s="100">
        <v>143.85721406250002</v>
      </c>
      <c r="K122" s="100">
        <f t="shared" si="1"/>
        <v>627.979950765</v>
      </c>
    </row>
    <row r="123" spans="1:11" s="24" customFormat="1" ht="14.25" customHeight="1">
      <c r="A123" s="113" t="s">
        <v>898</v>
      </c>
      <c r="B123" s="102">
        <v>38593</v>
      </c>
      <c r="C123" s="96">
        <v>0.5</v>
      </c>
      <c r="D123" s="104">
        <v>363</v>
      </c>
      <c r="E123" s="99">
        <f t="shared" si="2"/>
        <v>10.27901655</v>
      </c>
      <c r="F123" s="105">
        <v>60.6</v>
      </c>
      <c r="G123" s="99">
        <v>7.26</v>
      </c>
      <c r="H123" s="98">
        <v>0.15</v>
      </c>
      <c r="I123" s="99">
        <v>13.2</v>
      </c>
      <c r="J123" s="100">
        <v>145.28720625</v>
      </c>
      <c r="K123" s="100">
        <f t="shared" si="1"/>
        <v>622.90840293</v>
      </c>
    </row>
    <row r="124" spans="1:11" s="24" customFormat="1" ht="14.25" customHeight="1">
      <c r="A124" s="113" t="s">
        <v>899</v>
      </c>
      <c r="B124" s="95" t="str">
        <f>MID(A124,4,2)&amp;"/"&amp;MID(A124,6,2)&amp;"/"&amp;MID(A124,8,2)</f>
        <v>09/07/05</v>
      </c>
      <c r="C124" s="96">
        <v>0.5</v>
      </c>
      <c r="D124" s="104">
        <v>358</v>
      </c>
      <c r="E124" s="99">
        <f t="shared" si="2"/>
        <v>10.1374323</v>
      </c>
      <c r="F124" s="105">
        <v>61.3</v>
      </c>
      <c r="G124" s="99">
        <v>7.37</v>
      </c>
      <c r="H124" s="98">
        <v>0.15</v>
      </c>
      <c r="I124" s="99">
        <v>13.2</v>
      </c>
      <c r="J124" s="100">
        <v>145.47787187499998</v>
      </c>
      <c r="K124" s="100">
        <f t="shared" si="1"/>
        <v>621.42459999</v>
      </c>
    </row>
    <row r="125" spans="1:11" s="24" customFormat="1" ht="14.25" customHeight="1">
      <c r="A125" s="113" t="s">
        <v>900</v>
      </c>
      <c r="B125" s="95" t="str">
        <f aca="true" t="shared" si="3" ref="B125:B143">MID(A125,4,2)&amp;"/"&amp;MID(A125,6,2)&amp;"/"&amp;MID(A125,8,2)</f>
        <v>09/12/05</v>
      </c>
      <c r="C125" s="96">
        <v>0.4756944444444444</v>
      </c>
      <c r="D125" s="104">
        <v>369</v>
      </c>
      <c r="E125" s="99">
        <f t="shared" si="2"/>
        <v>10.44891765</v>
      </c>
      <c r="F125" s="105">
        <v>61</v>
      </c>
      <c r="G125" s="99">
        <v>7.2</v>
      </c>
      <c r="H125" s="98">
        <v>0.15</v>
      </c>
      <c r="I125" s="99">
        <v>13.6</v>
      </c>
      <c r="J125" s="100">
        <v>147.2891953125</v>
      </c>
      <c r="K125" s="100">
        <f t="shared" si="1"/>
        <v>637.38397665</v>
      </c>
    </row>
    <row r="126" spans="1:11" s="24" customFormat="1" ht="14.25" customHeight="1">
      <c r="A126" s="113" t="s">
        <v>901</v>
      </c>
      <c r="B126" s="95" t="str">
        <f t="shared" si="3"/>
        <v>09/27/05</v>
      </c>
      <c r="C126" s="96">
        <v>0.6458333333333334</v>
      </c>
      <c r="D126" s="104">
        <v>375</v>
      </c>
      <c r="E126" s="99">
        <f t="shared" si="2"/>
        <v>10.61881875</v>
      </c>
      <c r="F126" s="105">
        <v>62.2</v>
      </c>
      <c r="G126" s="99">
        <v>7.26</v>
      </c>
      <c r="H126" s="98">
        <v>0.15</v>
      </c>
      <c r="I126" s="99">
        <v>14.9</v>
      </c>
      <c r="J126" s="100">
        <v>146.71719843750003</v>
      </c>
      <c r="K126" s="100">
        <f t="shared" si="1"/>
        <v>660.4905262500001</v>
      </c>
    </row>
    <row r="127" spans="1:11" s="24" customFormat="1" ht="14.25" customHeight="1">
      <c r="A127" s="82" t="s">
        <v>1267</v>
      </c>
      <c r="B127" s="95"/>
      <c r="C127" s="86"/>
      <c r="D127" s="104"/>
      <c r="E127" s="99"/>
      <c r="F127" s="105"/>
      <c r="G127" s="99"/>
      <c r="H127" s="98"/>
      <c r="I127" s="99"/>
      <c r="J127" s="100"/>
      <c r="K127" s="100"/>
    </row>
    <row r="128" spans="1:11" s="24" customFormat="1" ht="14.25" customHeight="1">
      <c r="A128" s="113" t="s">
        <v>902</v>
      </c>
      <c r="B128" s="95" t="str">
        <f t="shared" si="3"/>
        <v>10/17/05</v>
      </c>
      <c r="C128" s="96">
        <v>0.5902777777777778</v>
      </c>
      <c r="D128" s="104">
        <v>370</v>
      </c>
      <c r="E128" s="99">
        <f t="shared" si="2"/>
        <v>10.4772345</v>
      </c>
      <c r="F128" s="105">
        <v>61.8</v>
      </c>
      <c r="G128" s="99">
        <v>7.2</v>
      </c>
      <c r="H128" s="98">
        <v>0.14</v>
      </c>
      <c r="I128" s="99">
        <v>14.8</v>
      </c>
      <c r="J128" s="100">
        <v>137.27925000000002</v>
      </c>
      <c r="K128" s="100">
        <f t="shared" si="1"/>
        <v>647.4930921</v>
      </c>
    </row>
    <row r="129" spans="1:11" s="24" customFormat="1" ht="14.25" customHeight="1">
      <c r="A129" s="113" t="s">
        <v>903</v>
      </c>
      <c r="B129" s="95" t="str">
        <f t="shared" si="3"/>
        <v>10/19/05</v>
      </c>
      <c r="C129" s="96">
        <v>0.5</v>
      </c>
      <c r="D129" s="104">
        <v>370</v>
      </c>
      <c r="E129" s="99">
        <f t="shared" si="2"/>
        <v>10.4772345</v>
      </c>
      <c r="F129" s="105">
        <v>64</v>
      </c>
      <c r="G129" s="99">
        <v>7.37</v>
      </c>
      <c r="H129" s="98">
        <v>0.16</v>
      </c>
      <c r="I129" s="99">
        <v>15</v>
      </c>
      <c r="J129" s="100">
        <v>138.7092421875</v>
      </c>
      <c r="K129" s="100">
        <f t="shared" si="1"/>
        <v>670.543008</v>
      </c>
    </row>
    <row r="130" spans="1:11" s="24" customFormat="1" ht="14.25" customHeight="1">
      <c r="A130" s="113" t="s">
        <v>904</v>
      </c>
      <c r="B130" s="95" t="str">
        <f t="shared" si="3"/>
        <v>11/15/05</v>
      </c>
      <c r="C130" s="96">
        <v>0.576388888888889</v>
      </c>
      <c r="D130" s="104">
        <v>370</v>
      </c>
      <c r="E130" s="99">
        <f t="shared" si="2"/>
        <v>10.4772345</v>
      </c>
      <c r="F130" s="105">
        <v>64.9</v>
      </c>
      <c r="G130" s="99">
        <v>7.17</v>
      </c>
      <c r="H130" s="98">
        <v>0.15</v>
      </c>
      <c r="I130" s="99">
        <v>17</v>
      </c>
      <c r="J130" s="100">
        <v>136.5165875</v>
      </c>
      <c r="K130" s="100">
        <f t="shared" si="1"/>
        <v>679.9725190500001</v>
      </c>
    </row>
    <row r="131" spans="1:11" s="24" customFormat="1" ht="14.25" customHeight="1">
      <c r="A131" s="113" t="s">
        <v>905</v>
      </c>
      <c r="B131" s="95" t="str">
        <f>MID(A131,4,2)&amp;"/"&amp;MID(A131,6,2)&amp;"/"&amp;MID(A131,8,2)</f>
        <v>12/13/05</v>
      </c>
      <c r="C131" s="103" t="s">
        <v>1549</v>
      </c>
      <c r="D131" s="104">
        <v>399</v>
      </c>
      <c r="E131" s="99">
        <f t="shared" si="2"/>
        <v>11.29842315</v>
      </c>
      <c r="F131" s="105">
        <v>65.7</v>
      </c>
      <c r="G131" s="99">
        <v>7.41</v>
      </c>
      <c r="H131" s="98">
        <v>0.16</v>
      </c>
      <c r="I131" s="99">
        <v>15.8</v>
      </c>
      <c r="J131" s="100">
        <v>142.68144270833335</v>
      </c>
      <c r="K131" s="100">
        <f t="shared" si="1"/>
        <v>742.306400955</v>
      </c>
    </row>
    <row r="132" spans="1:11" s="24" customFormat="1" ht="14.25" customHeight="1">
      <c r="A132" s="113" t="s">
        <v>906</v>
      </c>
      <c r="B132" s="95" t="str">
        <f t="shared" si="3"/>
        <v>12/17/05</v>
      </c>
      <c r="C132" s="103">
        <v>0.5833333333333334</v>
      </c>
      <c r="D132" s="104">
        <v>370</v>
      </c>
      <c r="E132" s="99">
        <f t="shared" si="2"/>
        <v>10.4772345</v>
      </c>
      <c r="F132" s="105">
        <v>66.7</v>
      </c>
      <c r="G132" s="99">
        <v>7.63</v>
      </c>
      <c r="H132" s="98">
        <v>0.16</v>
      </c>
      <c r="I132" s="99">
        <v>16.2</v>
      </c>
      <c r="J132" s="100">
        <v>148.2425234375</v>
      </c>
      <c r="K132" s="100">
        <f t="shared" si="1"/>
        <v>698.83154115</v>
      </c>
    </row>
    <row r="133" spans="1:11" s="24" customFormat="1" ht="14.25" customHeight="1">
      <c r="A133" s="113" t="s">
        <v>907</v>
      </c>
      <c r="B133" s="95" t="str">
        <f t="shared" si="3"/>
        <v>01/18/06</v>
      </c>
      <c r="C133" s="103">
        <v>0.46875</v>
      </c>
      <c r="D133" s="104">
        <v>399</v>
      </c>
      <c r="E133" s="99">
        <f t="shared" si="2"/>
        <v>11.29842315</v>
      </c>
      <c r="F133" s="105">
        <v>69</v>
      </c>
      <c r="G133" s="99">
        <v>7.65</v>
      </c>
      <c r="H133" s="98">
        <v>0.16</v>
      </c>
      <c r="I133" s="99">
        <v>17.3</v>
      </c>
      <c r="J133" s="100">
        <v>148.08363541666668</v>
      </c>
      <c r="K133" s="100">
        <f aca="true" t="shared" si="4" ref="K133:K178">E133*F133</f>
        <v>779.59119735</v>
      </c>
    </row>
    <row r="134" spans="1:11" s="24" customFormat="1" ht="14.25" customHeight="1">
      <c r="A134" s="113" t="s">
        <v>908</v>
      </c>
      <c r="B134" s="95" t="str">
        <f>MID(A134,4,2)&amp;"/"&amp;MID(A134,6,2)&amp;"/"&amp;MID(A134,8,2)</f>
        <v>02/14/06</v>
      </c>
      <c r="C134" s="103">
        <v>0.5520833333333334</v>
      </c>
      <c r="D134" s="104">
        <v>370</v>
      </c>
      <c r="E134" s="99">
        <f t="shared" si="2"/>
        <v>10.4772345</v>
      </c>
      <c r="F134" s="105">
        <v>70.5</v>
      </c>
      <c r="G134" s="99">
        <v>7.79</v>
      </c>
      <c r="H134" s="98">
        <v>0.17</v>
      </c>
      <c r="I134" s="99">
        <v>16.8</v>
      </c>
      <c r="J134" s="100">
        <v>150.94361979166666</v>
      </c>
      <c r="K134" s="100">
        <f t="shared" si="4"/>
        <v>738.64503225</v>
      </c>
    </row>
    <row r="135" spans="1:11" s="24" customFormat="1" ht="14.25" customHeight="1">
      <c r="A135" s="113" t="s">
        <v>909</v>
      </c>
      <c r="B135" s="95" t="str">
        <f>MID(A135,4,2)&amp;"/"&amp;MID(A135,6,2)&amp;"/"&amp;MID(A135,8,2)</f>
        <v>03/08/06</v>
      </c>
      <c r="C135" s="103">
        <v>0.6354166666666666</v>
      </c>
      <c r="D135" s="104">
        <v>377</v>
      </c>
      <c r="E135" s="99">
        <f t="shared" si="2"/>
        <v>10.67545245</v>
      </c>
      <c r="F135" s="105">
        <v>70.9</v>
      </c>
      <c r="G135" s="99">
        <v>7.73</v>
      </c>
      <c r="H135" s="98">
        <v>0.16</v>
      </c>
      <c r="I135" s="99">
        <v>17.4</v>
      </c>
      <c r="J135" s="100">
        <v>149.99029166666665</v>
      </c>
      <c r="K135" s="100">
        <f t="shared" si="4"/>
        <v>756.8895787050001</v>
      </c>
    </row>
    <row r="136" spans="1:11" s="24" customFormat="1" ht="14.25" customHeight="1">
      <c r="A136" s="113" t="s">
        <v>687</v>
      </c>
      <c r="B136" s="95" t="str">
        <f>MID(A136,4,2)&amp;"/"&amp;MID(A136,6,2)&amp;"/"&amp;MID(A136,8,2)</f>
        <v>04/25/06</v>
      </c>
      <c r="C136" s="103">
        <v>0.5</v>
      </c>
      <c r="D136" s="104">
        <v>555</v>
      </c>
      <c r="E136" s="99">
        <f t="shared" si="2"/>
        <v>15.71585175</v>
      </c>
      <c r="F136" s="105">
        <v>49.8</v>
      </c>
      <c r="G136" s="99">
        <v>5.75</v>
      </c>
      <c r="H136" s="98">
        <v>0.11</v>
      </c>
      <c r="I136" s="99">
        <v>15.2</v>
      </c>
      <c r="J136" s="100">
        <v>111.539390625</v>
      </c>
      <c r="K136" s="100">
        <f t="shared" si="4"/>
        <v>782.64941715</v>
      </c>
    </row>
    <row r="137" spans="1:11" s="24" customFormat="1" ht="14.25" customHeight="1">
      <c r="A137" s="113" t="s">
        <v>688</v>
      </c>
      <c r="B137" s="95" t="str">
        <f t="shared" si="3"/>
        <v>05/02/06</v>
      </c>
      <c r="C137" s="103">
        <v>0.4583333333333333</v>
      </c>
      <c r="D137" s="104">
        <v>838</v>
      </c>
      <c r="E137" s="99">
        <f t="shared" si="2"/>
        <v>23.7295203</v>
      </c>
      <c r="F137" s="105">
        <v>36.2</v>
      </c>
      <c r="G137" s="99">
        <v>4.25</v>
      </c>
      <c r="H137" s="98">
        <v>0.09</v>
      </c>
      <c r="I137" s="99">
        <v>11.6</v>
      </c>
      <c r="J137" s="100">
        <v>81.35066666666667</v>
      </c>
      <c r="K137" s="100">
        <f t="shared" si="4"/>
        <v>859.0086348600001</v>
      </c>
    </row>
    <row r="138" spans="1:11" s="24" customFormat="1" ht="14.25" customHeight="1">
      <c r="A138" s="113" t="s">
        <v>689</v>
      </c>
      <c r="B138" s="95" t="str">
        <f t="shared" si="3"/>
        <v>05/09/06</v>
      </c>
      <c r="C138" s="103">
        <v>0.3645833333333333</v>
      </c>
      <c r="D138" s="104">
        <v>950</v>
      </c>
      <c r="E138" s="99">
        <f t="shared" si="2"/>
        <v>26.901007500000002</v>
      </c>
      <c r="F138" s="105">
        <v>33.1</v>
      </c>
      <c r="G138" s="99">
        <v>3.88</v>
      </c>
      <c r="H138" s="98">
        <v>0.07</v>
      </c>
      <c r="I138" s="99">
        <v>11</v>
      </c>
      <c r="J138" s="100">
        <v>76.26625</v>
      </c>
      <c r="K138" s="100">
        <f t="shared" si="4"/>
        <v>890.4233482500001</v>
      </c>
    </row>
    <row r="139" spans="1:11" s="24" customFormat="1" ht="14.25" customHeight="1">
      <c r="A139" s="113" t="s">
        <v>690</v>
      </c>
      <c r="B139" s="95" t="str">
        <f t="shared" si="3"/>
        <v>05/17/06</v>
      </c>
      <c r="C139" s="103">
        <v>0.5416666666666666</v>
      </c>
      <c r="D139" s="104">
        <v>1270</v>
      </c>
      <c r="E139" s="99">
        <f t="shared" si="2"/>
        <v>35.962399500000004</v>
      </c>
      <c r="F139" s="105">
        <v>20.5</v>
      </c>
      <c r="G139" s="99">
        <v>2.65</v>
      </c>
      <c r="H139" s="98">
        <v>0.04</v>
      </c>
      <c r="I139" s="99">
        <v>7.1</v>
      </c>
      <c r="J139" s="100">
        <v>52.75082291666667</v>
      </c>
      <c r="K139" s="100">
        <f t="shared" si="4"/>
        <v>737.22918975</v>
      </c>
    </row>
    <row r="140" spans="1:11" s="24" customFormat="1" ht="14.25" customHeight="1">
      <c r="A140" s="113" t="s">
        <v>691</v>
      </c>
      <c r="B140" s="95" t="str">
        <f t="shared" si="3"/>
        <v>05/24/06</v>
      </c>
      <c r="C140" s="103">
        <v>0.53125</v>
      </c>
      <c r="D140" s="104">
        <v>1020</v>
      </c>
      <c r="E140" s="99">
        <f t="shared" si="2"/>
        <v>28.883187</v>
      </c>
      <c r="F140" s="105">
        <v>24.4</v>
      </c>
      <c r="G140" s="99">
        <v>3.05</v>
      </c>
      <c r="H140" s="98">
        <v>0.04</v>
      </c>
      <c r="I140" s="99">
        <v>7.29</v>
      </c>
      <c r="J140" s="100">
        <v>62.919656249999996</v>
      </c>
      <c r="K140" s="100">
        <f t="shared" si="4"/>
        <v>704.7497628</v>
      </c>
    </row>
    <row r="141" spans="1:11" s="24" customFormat="1" ht="14.25" customHeight="1">
      <c r="A141" s="113" t="s">
        <v>692</v>
      </c>
      <c r="B141" s="95" t="str">
        <f t="shared" si="3"/>
        <v>05/31/06</v>
      </c>
      <c r="C141" s="103">
        <v>0.5555555555555556</v>
      </c>
      <c r="D141" s="104">
        <v>724</v>
      </c>
      <c r="E141" s="99">
        <f t="shared" si="2"/>
        <v>20.5013994</v>
      </c>
      <c r="F141" s="105">
        <v>36.8</v>
      </c>
      <c r="G141" s="99">
        <v>4.54</v>
      </c>
      <c r="H141" s="98">
        <v>0.07</v>
      </c>
      <c r="I141" s="99">
        <v>10</v>
      </c>
      <c r="J141" s="100">
        <v>92.47282812499999</v>
      </c>
      <c r="K141" s="100">
        <f t="shared" si="4"/>
        <v>754.45149792</v>
      </c>
    </row>
    <row r="142" spans="1:11" s="24" customFormat="1" ht="14.25" customHeight="1">
      <c r="A142" s="113" t="s">
        <v>693</v>
      </c>
      <c r="B142" s="95" t="str">
        <f t="shared" si="3"/>
        <v>06/07/06</v>
      </c>
      <c r="C142" s="103">
        <v>0.5625</v>
      </c>
      <c r="D142" s="104">
        <v>706</v>
      </c>
      <c r="E142" s="99">
        <f t="shared" si="2"/>
        <v>19.991696100000002</v>
      </c>
      <c r="F142" s="105">
        <v>36.3</v>
      </c>
      <c r="G142" s="99">
        <v>4.59</v>
      </c>
      <c r="H142" s="98">
        <v>0.07</v>
      </c>
      <c r="I142" s="99">
        <v>8.74</v>
      </c>
      <c r="J142" s="100">
        <v>90.88394791666667</v>
      </c>
      <c r="K142" s="100">
        <f t="shared" si="4"/>
        <v>725.69856843</v>
      </c>
    </row>
    <row r="143" spans="1:11" s="24" customFormat="1" ht="14.25" customHeight="1">
      <c r="A143" s="113" t="s">
        <v>694</v>
      </c>
      <c r="B143" s="95" t="str">
        <f t="shared" si="3"/>
        <v>06/13/06</v>
      </c>
      <c r="C143" s="103">
        <v>0.59375</v>
      </c>
      <c r="D143" s="104">
        <v>733</v>
      </c>
      <c r="E143" s="99">
        <f t="shared" si="2"/>
        <v>20.75625105</v>
      </c>
      <c r="F143" s="105">
        <v>37</v>
      </c>
      <c r="G143" s="99">
        <v>4.65</v>
      </c>
      <c r="H143" s="98">
        <v>0.07</v>
      </c>
      <c r="I143" s="99">
        <v>9.12</v>
      </c>
      <c r="J143" s="100">
        <v>89.61284375</v>
      </c>
      <c r="K143" s="100">
        <f t="shared" si="4"/>
        <v>767.9812888499999</v>
      </c>
    </row>
    <row r="144" spans="1:11" ht="12.75">
      <c r="A144" s="113" t="s">
        <v>695</v>
      </c>
      <c r="B144" s="95" t="str">
        <f>MID(A144,5,2)&amp;"/"&amp;MID(A144,7,2)&amp;"/"&amp;MID(A144,9,2)</f>
        <v>06/26/06</v>
      </c>
      <c r="C144" s="97" t="s">
        <v>1549</v>
      </c>
      <c r="D144" s="97">
        <v>503</v>
      </c>
      <c r="E144" s="99">
        <f t="shared" si="2"/>
        <v>14.24337555</v>
      </c>
      <c r="F144" s="105">
        <v>52.3</v>
      </c>
      <c r="G144" s="99">
        <v>6.6</v>
      </c>
      <c r="H144" s="98">
        <v>0.13</v>
      </c>
      <c r="I144" s="99">
        <v>11.9</v>
      </c>
      <c r="J144" s="100">
        <v>130.60595312499998</v>
      </c>
      <c r="K144" s="100">
        <f t="shared" si="4"/>
        <v>744.9285412649999</v>
      </c>
    </row>
    <row r="145" spans="1:11" ht="12.75">
      <c r="A145" s="113" t="s">
        <v>696</v>
      </c>
      <c r="B145" s="95" t="str">
        <f aca="true" t="shared" si="5" ref="B145:B154">MID(A145,5,2)&amp;"/"&amp;MID(A145,7,2)&amp;"/"&amp;MID(A145,9,2)</f>
        <v>06/28/06</v>
      </c>
      <c r="C145" s="119">
        <v>0.5625</v>
      </c>
      <c r="D145" s="97">
        <v>503</v>
      </c>
      <c r="E145" s="99">
        <f t="shared" si="2"/>
        <v>14.24337555</v>
      </c>
      <c r="F145" s="105">
        <v>48.2</v>
      </c>
      <c r="G145" s="99">
        <v>6.01</v>
      </c>
      <c r="H145" s="98">
        <v>0.11</v>
      </c>
      <c r="I145" s="99">
        <v>11.2</v>
      </c>
      <c r="J145" s="100">
        <v>120.43711979166667</v>
      </c>
      <c r="K145" s="100">
        <f t="shared" si="4"/>
        <v>686.53070151</v>
      </c>
    </row>
    <row r="146" spans="1:11" ht="12.75">
      <c r="A146" s="113" t="s">
        <v>697</v>
      </c>
      <c r="B146" s="95" t="str">
        <f t="shared" si="5"/>
        <v>07/05/06</v>
      </c>
      <c r="C146" s="119">
        <v>0.6354166666666666</v>
      </c>
      <c r="D146" s="97">
        <v>461</v>
      </c>
      <c r="E146" s="99">
        <f t="shared" si="2"/>
        <v>13.054067850000001</v>
      </c>
      <c r="F146" s="105">
        <v>48.5</v>
      </c>
      <c r="G146" s="99">
        <v>6.18</v>
      </c>
      <c r="H146" s="98">
        <v>0.11</v>
      </c>
      <c r="I146" s="99">
        <v>11.1</v>
      </c>
      <c r="J146" s="100">
        <v>120.75489583333332</v>
      </c>
      <c r="K146" s="100">
        <f t="shared" si="4"/>
        <v>633.1222907250001</v>
      </c>
    </row>
    <row r="147" spans="1:11" ht="12.75">
      <c r="A147" s="113" t="s">
        <v>698</v>
      </c>
      <c r="B147" s="95" t="str">
        <f t="shared" si="5"/>
        <v>07/11/06</v>
      </c>
      <c r="C147" s="119">
        <v>0.6597222222222222</v>
      </c>
      <c r="D147" s="97">
        <v>445</v>
      </c>
      <c r="E147" s="99">
        <f t="shared" si="2"/>
        <v>12.60099825</v>
      </c>
      <c r="F147" s="105">
        <v>50.8</v>
      </c>
      <c r="G147" s="99">
        <v>6.42</v>
      </c>
      <c r="H147" s="98">
        <v>0.12</v>
      </c>
      <c r="I147" s="99">
        <v>11.4</v>
      </c>
      <c r="J147" s="100">
        <v>124.25043229166667</v>
      </c>
      <c r="K147" s="100">
        <f t="shared" si="4"/>
        <v>640.1307111</v>
      </c>
    </row>
    <row r="148" spans="1:11" ht="12.75">
      <c r="A148" s="113" t="s">
        <v>699</v>
      </c>
      <c r="B148" s="95" t="str">
        <f t="shared" si="5"/>
        <v>07/18/06</v>
      </c>
      <c r="C148" s="119">
        <v>0.6354166666666666</v>
      </c>
      <c r="D148" s="97">
        <v>414</v>
      </c>
      <c r="E148" s="99">
        <f t="shared" si="2"/>
        <v>11.723175900000001</v>
      </c>
      <c r="F148" s="105">
        <v>52</v>
      </c>
      <c r="G148" s="99">
        <v>6.61</v>
      </c>
      <c r="H148" s="98">
        <v>0.12</v>
      </c>
      <c r="I148" s="99">
        <v>11.2</v>
      </c>
      <c r="J148" s="100">
        <v>130.76484114583334</v>
      </c>
      <c r="K148" s="100">
        <f t="shared" si="4"/>
        <v>609.6051468</v>
      </c>
    </row>
    <row r="149" spans="1:11" ht="12.75">
      <c r="A149" s="113" t="s">
        <v>700</v>
      </c>
      <c r="B149" s="95" t="str">
        <f t="shared" si="5"/>
        <v>07/26/06</v>
      </c>
      <c r="C149" s="119">
        <v>0.4791666666666667</v>
      </c>
      <c r="D149" s="97">
        <v>421</v>
      </c>
      <c r="E149" s="99">
        <f t="shared" si="2"/>
        <v>11.921393850000001</v>
      </c>
      <c r="F149" s="105">
        <v>52.4</v>
      </c>
      <c r="G149" s="99">
        <v>6.61</v>
      </c>
      <c r="H149" s="98">
        <v>0.13</v>
      </c>
      <c r="I149" s="99">
        <v>11.9</v>
      </c>
      <c r="J149" s="100">
        <v>129.97040104166663</v>
      </c>
      <c r="K149" s="100">
        <f t="shared" si="4"/>
        <v>624.6810377400001</v>
      </c>
    </row>
    <row r="150" spans="1:11" ht="12.75">
      <c r="A150" s="113" t="s">
        <v>701</v>
      </c>
      <c r="B150" s="95" t="str">
        <f t="shared" si="5"/>
        <v>08/01/06</v>
      </c>
      <c r="C150" s="119">
        <v>0.5104166666666666</v>
      </c>
      <c r="D150" s="97">
        <v>406</v>
      </c>
      <c r="E150" s="99">
        <f t="shared" si="2"/>
        <v>11.4966411</v>
      </c>
      <c r="F150" s="105">
        <v>53.3</v>
      </c>
      <c r="G150" s="99">
        <v>6.7</v>
      </c>
      <c r="H150" s="98">
        <v>0.13</v>
      </c>
      <c r="I150" s="99">
        <v>11.5</v>
      </c>
      <c r="J150" s="100">
        <v>131.87705729166666</v>
      </c>
      <c r="K150" s="100">
        <f t="shared" si="4"/>
        <v>612.77097063</v>
      </c>
    </row>
    <row r="151" spans="1:11" ht="12.75">
      <c r="A151" s="113" t="s">
        <v>702</v>
      </c>
      <c r="B151" s="95" t="str">
        <f t="shared" si="5"/>
        <v>08/14/06</v>
      </c>
      <c r="C151" s="119">
        <v>0.6041666666666666</v>
      </c>
      <c r="D151" s="97">
        <v>391</v>
      </c>
      <c r="E151" s="99">
        <f t="shared" si="2"/>
        <v>11.07188835</v>
      </c>
      <c r="F151" s="105">
        <v>54.3</v>
      </c>
      <c r="G151" s="99">
        <v>6.82</v>
      </c>
      <c r="H151" s="98">
        <v>0.13</v>
      </c>
      <c r="I151" s="99">
        <v>11.8</v>
      </c>
      <c r="J151" s="100">
        <v>133.78371354166669</v>
      </c>
      <c r="K151" s="100">
        <f t="shared" si="4"/>
        <v>601.203537405</v>
      </c>
    </row>
    <row r="152" spans="1:11" ht="12.75">
      <c r="A152" s="113" t="s">
        <v>703</v>
      </c>
      <c r="B152" s="95" t="str">
        <f t="shared" si="5"/>
        <v>08/28/06</v>
      </c>
      <c r="C152" s="119">
        <v>0.642361111111111</v>
      </c>
      <c r="D152" s="97">
        <v>391</v>
      </c>
      <c r="E152" s="99">
        <f t="shared" si="2"/>
        <v>11.07188835</v>
      </c>
      <c r="F152" s="105">
        <v>57.9</v>
      </c>
      <c r="G152" s="99">
        <v>6.95</v>
      </c>
      <c r="H152" s="98">
        <v>0.14</v>
      </c>
      <c r="I152" s="99">
        <v>13.1</v>
      </c>
      <c r="J152" s="100">
        <v>134.26037760416668</v>
      </c>
      <c r="K152" s="100">
        <f t="shared" si="4"/>
        <v>641.0623354649999</v>
      </c>
    </row>
    <row r="153" spans="1:11" ht="12.75">
      <c r="A153" s="113" t="s">
        <v>704</v>
      </c>
      <c r="B153" s="95" t="str">
        <f t="shared" si="5"/>
        <v>09/13/06</v>
      </c>
      <c r="C153" s="119">
        <v>0.5972222222222222</v>
      </c>
      <c r="D153" s="97">
        <v>384</v>
      </c>
      <c r="E153" s="99">
        <f t="shared" si="2"/>
        <v>10.8736704</v>
      </c>
      <c r="F153" s="105">
        <v>56.7</v>
      </c>
      <c r="G153" s="99">
        <v>6.96</v>
      </c>
      <c r="H153" s="98">
        <v>0.14</v>
      </c>
      <c r="I153" s="99">
        <v>12.6</v>
      </c>
      <c r="J153" s="100">
        <v>135.37259375</v>
      </c>
      <c r="K153" s="100">
        <f t="shared" si="4"/>
        <v>616.5371116800001</v>
      </c>
    </row>
    <row r="154" spans="1:11" ht="12.75">
      <c r="A154" s="113" t="s">
        <v>705</v>
      </c>
      <c r="B154" s="95" t="str">
        <f t="shared" si="5"/>
        <v>09/25/06</v>
      </c>
      <c r="C154" s="119">
        <v>0.6701388888888888</v>
      </c>
      <c r="D154" s="97">
        <v>399</v>
      </c>
      <c r="E154" s="99">
        <f t="shared" si="2"/>
        <v>11.29842315</v>
      </c>
      <c r="F154" s="105">
        <v>56.8</v>
      </c>
      <c r="G154" s="99">
        <v>6.86</v>
      </c>
      <c r="H154" s="98">
        <v>0.13</v>
      </c>
      <c r="I154" s="99">
        <v>13.6</v>
      </c>
      <c r="J154" s="100">
        <v>132.83038541666667</v>
      </c>
      <c r="K154" s="100">
        <f t="shared" si="4"/>
        <v>641.75043492</v>
      </c>
    </row>
    <row r="155" ht="12.75">
      <c r="A155" s="82" t="s">
        <v>1268</v>
      </c>
    </row>
    <row r="156" spans="1:11" ht="12.75">
      <c r="A156" s="113" t="s">
        <v>576</v>
      </c>
      <c r="B156" s="95">
        <v>39010.59027777778</v>
      </c>
      <c r="C156" s="96">
        <f>B156</f>
        <v>39010.59027777778</v>
      </c>
      <c r="D156" s="97">
        <v>437</v>
      </c>
      <c r="E156" s="99">
        <f t="shared" si="2"/>
        <v>12.37446345</v>
      </c>
      <c r="F156" s="99">
        <v>60.3</v>
      </c>
      <c r="G156" s="99">
        <v>6.97</v>
      </c>
      <c r="H156" s="98">
        <v>0.14</v>
      </c>
      <c r="I156" s="99">
        <v>15.6</v>
      </c>
      <c r="J156" s="100">
        <v>131.0826171875</v>
      </c>
      <c r="K156" s="100">
        <f>E156*F156</f>
        <v>746.180146035</v>
      </c>
    </row>
    <row r="157" spans="1:11" ht="12.75">
      <c r="A157" s="113" t="s">
        <v>577</v>
      </c>
      <c r="B157" s="95">
        <v>39025.430555555555</v>
      </c>
      <c r="C157" s="96">
        <f aca="true" t="shared" si="6" ref="C157:C180">B157</f>
        <v>39025.430555555555</v>
      </c>
      <c r="D157" s="97">
        <v>406</v>
      </c>
      <c r="E157" s="99">
        <f t="shared" si="2"/>
        <v>11.4966411</v>
      </c>
      <c r="F157" s="99">
        <v>62.3</v>
      </c>
      <c r="G157" s="99">
        <v>7.21</v>
      </c>
      <c r="H157" s="98">
        <v>0.15</v>
      </c>
      <c r="I157" s="99">
        <v>14.5</v>
      </c>
      <c r="J157" s="100">
        <v>137.59702604166668</v>
      </c>
      <c r="K157" s="100">
        <f t="shared" si="4"/>
        <v>716.2407405299999</v>
      </c>
    </row>
    <row r="158" spans="1:11" ht="12.75">
      <c r="A158" s="113" t="s">
        <v>578</v>
      </c>
      <c r="B158" s="95">
        <v>39048.52222222222</v>
      </c>
      <c r="C158" s="96">
        <f t="shared" si="6"/>
        <v>39048.52222222222</v>
      </c>
      <c r="D158" s="97">
        <v>406</v>
      </c>
      <c r="E158" s="99">
        <f t="shared" si="2"/>
        <v>11.4966411</v>
      </c>
      <c r="F158" s="99">
        <v>62</v>
      </c>
      <c r="G158" s="99">
        <v>7.12</v>
      </c>
      <c r="H158" s="98">
        <v>0.15</v>
      </c>
      <c r="I158" s="99">
        <v>15.2</v>
      </c>
      <c r="J158" s="100">
        <v>136.16703385416668</v>
      </c>
      <c r="K158" s="100">
        <f t="shared" si="4"/>
        <v>712.7917482</v>
      </c>
    </row>
    <row r="159" spans="1:11" ht="12.75">
      <c r="A159" s="113" t="s">
        <v>579</v>
      </c>
      <c r="B159" s="95">
        <v>39068.708333333336</v>
      </c>
      <c r="C159" s="96">
        <f t="shared" si="6"/>
        <v>39068.708333333336</v>
      </c>
      <c r="D159" s="97">
        <v>380</v>
      </c>
      <c r="E159" s="99">
        <f aca="true" t="shared" si="7" ref="E159:E180">D159*0.02831685</f>
        <v>10.760403</v>
      </c>
      <c r="F159" s="99">
        <v>70.2</v>
      </c>
      <c r="G159" s="99">
        <v>7.81</v>
      </c>
      <c r="H159" s="98">
        <v>0.17</v>
      </c>
      <c r="I159" s="99">
        <v>17.4</v>
      </c>
      <c r="J159" s="100">
        <v>148.08363541666668</v>
      </c>
      <c r="K159" s="100">
        <f t="shared" si="4"/>
        <v>755.3802906000001</v>
      </c>
    </row>
    <row r="160" spans="1:11" ht="12.75">
      <c r="A160" s="113" t="s">
        <v>580</v>
      </c>
      <c r="B160" s="95">
        <v>39092.458333333336</v>
      </c>
      <c r="C160" s="96">
        <f t="shared" si="6"/>
        <v>39092.458333333336</v>
      </c>
      <c r="D160" s="97">
        <v>414</v>
      </c>
      <c r="E160" s="99">
        <f t="shared" si="7"/>
        <v>11.723175900000001</v>
      </c>
      <c r="F160" s="99">
        <v>66.6</v>
      </c>
      <c r="G160" s="99">
        <v>7.32</v>
      </c>
      <c r="H160" s="98">
        <v>0.16</v>
      </c>
      <c r="I160" s="99">
        <v>16.5</v>
      </c>
      <c r="J160" s="100">
        <v>137.75591406249998</v>
      </c>
      <c r="K160" s="100">
        <f t="shared" si="4"/>
        <v>780.76351494</v>
      </c>
    </row>
    <row r="161" spans="1:11" ht="12.75">
      <c r="A161" s="113" t="s">
        <v>653</v>
      </c>
      <c r="B161" s="95">
        <v>39119.5</v>
      </c>
      <c r="C161" s="96">
        <f t="shared" si="6"/>
        <v>39119.5</v>
      </c>
      <c r="D161" s="97">
        <v>384</v>
      </c>
      <c r="E161" s="99">
        <f t="shared" si="7"/>
        <v>10.8736704</v>
      </c>
      <c r="F161" s="99">
        <v>63.9</v>
      </c>
      <c r="G161" s="99">
        <v>7.5</v>
      </c>
      <c r="H161" s="98">
        <v>0.11</v>
      </c>
      <c r="I161" s="99">
        <v>15.3</v>
      </c>
      <c r="J161" s="100">
        <v>145.06476302083334</v>
      </c>
      <c r="K161" s="100">
        <f t="shared" si="4"/>
        <v>694.82753856</v>
      </c>
    </row>
    <row r="162" spans="1:11" ht="12.75">
      <c r="A162" s="113" t="s">
        <v>654</v>
      </c>
      <c r="B162" s="95">
        <v>39147.416666666664</v>
      </c>
      <c r="C162" s="96">
        <f t="shared" si="6"/>
        <v>39147.416666666664</v>
      </c>
      <c r="D162" s="97">
        <v>399</v>
      </c>
      <c r="E162" s="99">
        <f t="shared" si="7"/>
        <v>11.29842315</v>
      </c>
      <c r="F162" s="99">
        <v>67.6</v>
      </c>
      <c r="G162" s="99">
        <v>7.68</v>
      </c>
      <c r="H162" s="98">
        <v>0.12</v>
      </c>
      <c r="I162" s="99">
        <v>16.2</v>
      </c>
      <c r="J162" s="100">
        <v>143.952546875</v>
      </c>
      <c r="K162" s="100">
        <f t="shared" si="4"/>
        <v>763.7734049399999</v>
      </c>
    </row>
    <row r="163" spans="1:11" ht="12.75">
      <c r="A163" s="113" t="s">
        <v>655</v>
      </c>
      <c r="B163" s="95">
        <v>39162.458333333336</v>
      </c>
      <c r="C163" s="96">
        <f t="shared" si="6"/>
        <v>39162.458333333336</v>
      </c>
      <c r="D163" s="97">
        <v>453</v>
      </c>
      <c r="E163" s="99">
        <f t="shared" si="7"/>
        <v>12.827533050000001</v>
      </c>
      <c r="F163" s="99">
        <v>61.3</v>
      </c>
      <c r="G163" s="99">
        <v>7.09</v>
      </c>
      <c r="H163" s="98">
        <v>0.07</v>
      </c>
      <c r="I163" s="99">
        <v>16.6</v>
      </c>
      <c r="J163" s="100">
        <v>131.55928125</v>
      </c>
      <c r="K163" s="100">
        <f t="shared" si="4"/>
        <v>786.327775965</v>
      </c>
    </row>
    <row r="164" spans="1:11" ht="12.75">
      <c r="A164" s="113" t="s">
        <v>656</v>
      </c>
      <c r="B164" s="95">
        <v>39181.625</v>
      </c>
      <c r="C164" s="96">
        <f t="shared" si="6"/>
        <v>39181.625</v>
      </c>
      <c r="D164" s="97">
        <v>486</v>
      </c>
      <c r="E164" s="99">
        <f t="shared" si="7"/>
        <v>13.761989100000001</v>
      </c>
      <c r="F164" s="99">
        <v>55.4</v>
      </c>
      <c r="G164" s="99">
        <v>6.42</v>
      </c>
      <c r="H164" s="98">
        <v>0.05</v>
      </c>
      <c r="I164" s="99">
        <v>15.1</v>
      </c>
      <c r="J164" s="100">
        <v>121.5493359375</v>
      </c>
      <c r="K164" s="100">
        <f t="shared" si="4"/>
        <v>762.4141961400001</v>
      </c>
    </row>
    <row r="165" spans="1:11" ht="12.75">
      <c r="A165" s="113" t="s">
        <v>657</v>
      </c>
      <c r="B165" s="95">
        <v>39190.6875</v>
      </c>
      <c r="C165" s="96">
        <f t="shared" si="6"/>
        <v>39190.6875</v>
      </c>
      <c r="D165" s="97">
        <v>564</v>
      </c>
      <c r="E165" s="99">
        <f t="shared" si="7"/>
        <v>15.970703400000001</v>
      </c>
      <c r="F165" s="99">
        <v>46.6</v>
      </c>
      <c r="G165" s="99">
        <v>5.62</v>
      </c>
      <c r="H165" s="98">
        <v>0.09</v>
      </c>
      <c r="I165" s="99">
        <v>13.1</v>
      </c>
      <c r="J165" s="100">
        <v>105.18386979166665</v>
      </c>
      <c r="K165" s="100">
        <f t="shared" si="4"/>
        <v>744.2347784400001</v>
      </c>
    </row>
    <row r="166" spans="1:11" ht="12.75">
      <c r="A166" s="113" t="s">
        <v>303</v>
      </c>
      <c r="B166" s="95">
        <v>39193.5</v>
      </c>
      <c r="C166" s="96">
        <f t="shared" si="6"/>
        <v>39193.5</v>
      </c>
      <c r="D166" s="100">
        <v>494</v>
      </c>
      <c r="E166" s="99">
        <f t="shared" si="7"/>
        <v>13.9885239</v>
      </c>
      <c r="F166" s="99">
        <v>55.4</v>
      </c>
      <c r="G166" s="99">
        <v>6.3</v>
      </c>
      <c r="H166" s="98">
        <v>0.13</v>
      </c>
      <c r="I166" s="99">
        <v>15.3</v>
      </c>
      <c r="J166" s="100">
        <v>120.91378385416668</v>
      </c>
      <c r="K166" s="100">
        <f t="shared" si="4"/>
        <v>774.96422406</v>
      </c>
    </row>
    <row r="167" spans="1:11" ht="12.75">
      <c r="A167" s="113" t="s">
        <v>304</v>
      </c>
      <c r="B167" s="95">
        <v>39197.586805555555</v>
      </c>
      <c r="C167" s="96">
        <f t="shared" si="6"/>
        <v>39197.586805555555</v>
      </c>
      <c r="D167" s="100">
        <v>546</v>
      </c>
      <c r="E167" s="99">
        <f t="shared" si="7"/>
        <v>15.4610001</v>
      </c>
      <c r="F167" s="99">
        <v>45.7</v>
      </c>
      <c r="G167" s="99">
        <v>5.49</v>
      </c>
      <c r="H167" s="98">
        <v>0.1</v>
      </c>
      <c r="I167" s="99">
        <v>13.1</v>
      </c>
      <c r="J167" s="100">
        <v>104.70720572916669</v>
      </c>
      <c r="K167" s="100">
        <f t="shared" si="4"/>
        <v>706.56770457</v>
      </c>
    </row>
    <row r="168" spans="1:11" ht="12.75">
      <c r="A168" s="113" t="s">
        <v>305</v>
      </c>
      <c r="B168" s="95">
        <v>39204.305555555555</v>
      </c>
      <c r="C168" s="96">
        <f t="shared" si="6"/>
        <v>39204.305555555555</v>
      </c>
      <c r="D168" s="100">
        <v>950</v>
      </c>
      <c r="E168" s="99">
        <f t="shared" si="7"/>
        <v>26.901007500000002</v>
      </c>
      <c r="F168" s="99">
        <v>28.9</v>
      </c>
      <c r="G168" s="99">
        <v>3.69</v>
      </c>
      <c r="H168" s="98">
        <v>0.06</v>
      </c>
      <c r="I168" s="99">
        <v>8.36</v>
      </c>
      <c r="J168" s="100">
        <v>67.84518489583334</v>
      </c>
      <c r="K168" s="100">
        <f t="shared" si="4"/>
        <v>777.43911675</v>
      </c>
    </row>
    <row r="169" spans="1:11" ht="12.75">
      <c r="A169" s="113" t="s">
        <v>306</v>
      </c>
      <c r="B169" s="95">
        <v>39210.552083333336</v>
      </c>
      <c r="C169" s="96">
        <f t="shared" si="6"/>
        <v>39210.552083333336</v>
      </c>
      <c r="D169" s="100">
        <v>650</v>
      </c>
      <c r="E169" s="99">
        <f t="shared" si="7"/>
        <v>18.4059525</v>
      </c>
      <c r="F169" s="99">
        <v>41.6</v>
      </c>
      <c r="G169" s="99">
        <v>5.1</v>
      </c>
      <c r="H169" s="98">
        <v>0.09</v>
      </c>
      <c r="I169" s="99">
        <v>11</v>
      </c>
      <c r="J169" s="100">
        <v>98.35168489583333</v>
      </c>
      <c r="K169" s="100">
        <f t="shared" si="4"/>
        <v>765.6876240000001</v>
      </c>
    </row>
    <row r="170" spans="1:11" ht="12.75">
      <c r="A170" s="113" t="s">
        <v>307</v>
      </c>
      <c r="B170" s="95">
        <v>39228.416666666664</v>
      </c>
      <c r="C170" s="96">
        <f t="shared" si="6"/>
        <v>39228.416666666664</v>
      </c>
      <c r="D170" s="100">
        <v>486</v>
      </c>
      <c r="E170" s="99">
        <f t="shared" si="7"/>
        <v>13.761989100000001</v>
      </c>
      <c r="F170" s="99">
        <v>50.9</v>
      </c>
      <c r="G170" s="99">
        <v>5.96</v>
      </c>
      <c r="H170" s="98">
        <v>0.12</v>
      </c>
      <c r="I170" s="99">
        <v>12.6</v>
      </c>
      <c r="J170" s="100">
        <v>114.71715104166667</v>
      </c>
      <c r="K170" s="100">
        <f t="shared" si="4"/>
        <v>700.48524519</v>
      </c>
    </row>
    <row r="171" spans="1:11" ht="12.75">
      <c r="A171" s="113" t="s">
        <v>308</v>
      </c>
      <c r="B171" s="95">
        <v>39232.65625</v>
      </c>
      <c r="C171" s="96">
        <f t="shared" si="6"/>
        <v>39232.65625</v>
      </c>
      <c r="D171" s="100">
        <v>453</v>
      </c>
      <c r="E171" s="99">
        <f t="shared" si="7"/>
        <v>12.827533050000001</v>
      </c>
      <c r="F171" s="99">
        <v>52.8</v>
      </c>
      <c r="G171" s="99">
        <v>6.37</v>
      </c>
      <c r="H171" s="98">
        <v>0.13</v>
      </c>
      <c r="I171" s="99">
        <v>12.2</v>
      </c>
      <c r="J171" s="100">
        <v>122.5026640625</v>
      </c>
      <c r="K171" s="100">
        <f t="shared" si="4"/>
        <v>677.2937450400001</v>
      </c>
    </row>
    <row r="172" spans="1:11" ht="12.75">
      <c r="A172" s="113" t="s">
        <v>309</v>
      </c>
      <c r="B172" s="95">
        <v>39246.59583333333</v>
      </c>
      <c r="C172" s="96">
        <f t="shared" si="6"/>
        <v>39246.59583333333</v>
      </c>
      <c r="D172" s="100">
        <v>391</v>
      </c>
      <c r="E172" s="99">
        <f t="shared" si="7"/>
        <v>11.07188835</v>
      </c>
      <c r="F172" s="99">
        <v>57.2</v>
      </c>
      <c r="G172" s="99">
        <v>6.87</v>
      </c>
      <c r="H172" s="98">
        <v>0.15</v>
      </c>
      <c r="I172" s="99">
        <v>12.9</v>
      </c>
      <c r="J172" s="100">
        <v>133.14816145833333</v>
      </c>
      <c r="K172" s="100">
        <f t="shared" si="4"/>
        <v>633.31201362</v>
      </c>
    </row>
    <row r="173" spans="1:11" ht="12.75">
      <c r="A173" s="113" t="s">
        <v>310</v>
      </c>
      <c r="B173" s="95">
        <v>39253.5</v>
      </c>
      <c r="C173" s="96">
        <f t="shared" si="6"/>
        <v>39253.5</v>
      </c>
      <c r="D173" s="100">
        <v>370</v>
      </c>
      <c r="E173" s="99">
        <f t="shared" si="7"/>
        <v>10.4772345</v>
      </c>
      <c r="F173" s="99">
        <v>59.3</v>
      </c>
      <c r="G173" s="99">
        <v>7.1</v>
      </c>
      <c r="H173" s="98">
        <v>0.14</v>
      </c>
      <c r="I173" s="99">
        <v>12.9</v>
      </c>
      <c r="J173" s="100">
        <v>139.6625703125</v>
      </c>
      <c r="K173" s="100">
        <f t="shared" si="4"/>
        <v>621.3000058499999</v>
      </c>
    </row>
    <row r="174" spans="1:11" ht="12.75">
      <c r="A174" s="113" t="s">
        <v>557</v>
      </c>
      <c r="B174" s="95">
        <v>39260.5625</v>
      </c>
      <c r="C174" s="96">
        <f t="shared" si="6"/>
        <v>39260.5625</v>
      </c>
      <c r="D174" s="97">
        <v>356</v>
      </c>
      <c r="E174" s="99">
        <f t="shared" si="7"/>
        <v>10.0807986</v>
      </c>
      <c r="F174" s="99">
        <v>61.8</v>
      </c>
      <c r="G174" s="99">
        <v>7.34</v>
      </c>
      <c r="H174" s="98">
        <v>0.14</v>
      </c>
      <c r="I174" s="99">
        <v>12.7</v>
      </c>
      <c r="J174" s="100">
        <v>147.765859375</v>
      </c>
      <c r="K174" s="100">
        <f t="shared" si="4"/>
        <v>622.99335348</v>
      </c>
    </row>
    <row r="175" spans="1:11" ht="12.75">
      <c r="A175" s="113" t="s">
        <v>558</v>
      </c>
      <c r="B175" s="95">
        <v>39274.4375</v>
      </c>
      <c r="C175" s="96">
        <f t="shared" si="6"/>
        <v>39274.4375</v>
      </c>
      <c r="D175" s="97">
        <v>342</v>
      </c>
      <c r="E175" s="99">
        <f t="shared" si="7"/>
        <v>9.684362700000001</v>
      </c>
      <c r="F175" s="99">
        <v>61.2</v>
      </c>
      <c r="G175" s="99">
        <v>7.37</v>
      </c>
      <c r="H175" s="98">
        <v>0.14</v>
      </c>
      <c r="I175" s="99">
        <v>12.4</v>
      </c>
      <c r="J175" s="100">
        <v>148.5602994791667</v>
      </c>
      <c r="K175" s="100">
        <f t="shared" si="4"/>
        <v>592.6829972400001</v>
      </c>
    </row>
    <row r="176" spans="1:11" ht="12.75">
      <c r="A176" s="113" t="s">
        <v>559</v>
      </c>
      <c r="B176" s="95">
        <v>39289.625</v>
      </c>
      <c r="C176" s="96">
        <f t="shared" si="6"/>
        <v>39289.625</v>
      </c>
      <c r="D176" s="97">
        <v>391</v>
      </c>
      <c r="E176" s="99">
        <f t="shared" si="7"/>
        <v>11.07188835</v>
      </c>
      <c r="F176" s="99">
        <v>64.7</v>
      </c>
      <c r="G176" s="99">
        <v>7.42</v>
      </c>
      <c r="H176" s="98">
        <v>0.13</v>
      </c>
      <c r="I176" s="99">
        <v>13.5</v>
      </c>
      <c r="J176" s="100">
        <v>139.6625703125</v>
      </c>
      <c r="K176" s="100">
        <f t="shared" si="4"/>
        <v>716.351176245</v>
      </c>
    </row>
    <row r="177" spans="1:11" ht="12.75">
      <c r="A177" s="113" t="s">
        <v>560</v>
      </c>
      <c r="B177" s="95">
        <v>39302.583333333336</v>
      </c>
      <c r="C177" s="96">
        <f t="shared" si="6"/>
        <v>39302.583333333336</v>
      </c>
      <c r="D177" s="97">
        <v>342</v>
      </c>
      <c r="E177" s="99">
        <f t="shared" si="7"/>
        <v>9.684362700000001</v>
      </c>
      <c r="F177" s="99">
        <v>65.3</v>
      </c>
      <c r="G177" s="99">
        <v>7.55</v>
      </c>
      <c r="H177" s="98">
        <v>0.14</v>
      </c>
      <c r="I177" s="99">
        <v>14.1</v>
      </c>
      <c r="J177" s="100">
        <v>150.62584375</v>
      </c>
      <c r="K177" s="100">
        <f t="shared" si="4"/>
        <v>632.3888843100001</v>
      </c>
    </row>
    <row r="178" spans="1:11" ht="12.75">
      <c r="A178" s="113" t="s">
        <v>561</v>
      </c>
      <c r="B178" s="95">
        <v>39316.493055555555</v>
      </c>
      <c r="C178" s="96">
        <f t="shared" si="6"/>
        <v>39316.493055555555</v>
      </c>
      <c r="D178" s="97">
        <v>349</v>
      </c>
      <c r="E178" s="99">
        <f t="shared" si="7"/>
        <v>9.88258065</v>
      </c>
      <c r="F178" s="99">
        <v>65.9</v>
      </c>
      <c r="G178" s="99">
        <v>7.45</v>
      </c>
      <c r="H178" s="98">
        <v>0.14</v>
      </c>
      <c r="I178" s="99">
        <v>14.9</v>
      </c>
      <c r="J178" s="100">
        <v>147.13030729166667</v>
      </c>
      <c r="K178" s="100">
        <f t="shared" si="4"/>
        <v>651.262064835</v>
      </c>
    </row>
    <row r="179" spans="1:11" ht="12.75">
      <c r="A179" s="113" t="s">
        <v>562</v>
      </c>
      <c r="B179" s="95">
        <v>39339.5625</v>
      </c>
      <c r="C179" s="96">
        <f t="shared" si="6"/>
        <v>39339.5625</v>
      </c>
      <c r="D179" s="97">
        <v>335</v>
      </c>
      <c r="E179" s="99">
        <f t="shared" si="7"/>
        <v>9.486144750000001</v>
      </c>
      <c r="F179" s="99">
        <v>63.9</v>
      </c>
      <c r="G179" s="99">
        <v>7.65</v>
      </c>
      <c r="H179" s="98">
        <v>0.14</v>
      </c>
      <c r="I179" s="99">
        <v>13.6</v>
      </c>
      <c r="J179" s="100">
        <v>152.37361197916667</v>
      </c>
      <c r="K179" s="100">
        <f>E179*F179</f>
        <v>606.1646495250001</v>
      </c>
    </row>
    <row r="180" spans="1:11" ht="12.75">
      <c r="A180" s="113" t="s">
        <v>380</v>
      </c>
      <c r="B180" s="95">
        <v>39355.71875</v>
      </c>
      <c r="C180" s="96">
        <f t="shared" si="6"/>
        <v>39355.71875</v>
      </c>
      <c r="D180" s="97">
        <v>342</v>
      </c>
      <c r="E180" s="99">
        <f t="shared" si="7"/>
        <v>9.684362700000001</v>
      </c>
      <c r="F180" s="99">
        <v>65.3</v>
      </c>
      <c r="G180" s="99">
        <v>7.53</v>
      </c>
      <c r="H180" s="98">
        <v>0.15</v>
      </c>
      <c r="I180" s="99">
        <v>15.1</v>
      </c>
      <c r="J180" s="97" t="s">
        <v>608</v>
      </c>
      <c r="K180" s="100">
        <f>E180*F180</f>
        <v>632.3888843100001</v>
      </c>
    </row>
    <row r="181" spans="1:4" ht="12.75">
      <c r="A181" s="82" t="s">
        <v>384</v>
      </c>
      <c r="B181" s="84"/>
      <c r="C181" s="96"/>
      <c r="D181" s="66"/>
    </row>
    <row r="182" spans="1:11" ht="12.75">
      <c r="A182" s="86" t="s">
        <v>272</v>
      </c>
      <c r="B182" s="95">
        <v>39374.645833333336</v>
      </c>
      <c r="C182" s="96">
        <f>B182</f>
        <v>39374.645833333336</v>
      </c>
      <c r="D182" s="97">
        <v>372</v>
      </c>
      <c r="E182" s="99">
        <f aca="true" t="shared" si="8" ref="E182:E210">D182*0.02831685</f>
        <v>10.5338682</v>
      </c>
      <c r="F182" s="105">
        <v>83</v>
      </c>
      <c r="G182" s="99">
        <v>7.36</v>
      </c>
      <c r="H182" s="98">
        <v>0.14</v>
      </c>
      <c r="I182" s="99">
        <v>23.3</v>
      </c>
      <c r="J182" s="100">
        <v>117</v>
      </c>
      <c r="K182" s="100">
        <f aca="true" t="shared" si="9" ref="K182:K210">E182*F182</f>
        <v>874.3110606</v>
      </c>
    </row>
    <row r="183" spans="1:11" ht="12.75">
      <c r="A183" s="86" t="s">
        <v>273</v>
      </c>
      <c r="B183" s="102">
        <v>39391</v>
      </c>
      <c r="C183" s="103"/>
      <c r="D183" s="104">
        <v>355</v>
      </c>
      <c r="E183" s="99">
        <f t="shared" si="8"/>
        <v>10.05248175</v>
      </c>
      <c r="F183" s="99">
        <v>69.2</v>
      </c>
      <c r="G183" s="99">
        <v>7.77</v>
      </c>
      <c r="H183" s="98">
        <v>0.16</v>
      </c>
      <c r="I183" s="99">
        <v>16.4</v>
      </c>
      <c r="J183" s="100">
        <v>152</v>
      </c>
      <c r="K183" s="100">
        <f t="shared" si="9"/>
        <v>695.6317371</v>
      </c>
    </row>
    <row r="184" spans="1:11" ht="12.75">
      <c r="A184" s="86" t="s">
        <v>274</v>
      </c>
      <c r="B184" s="95">
        <v>39393.59027777778</v>
      </c>
      <c r="C184" s="96">
        <f aca="true" t="shared" si="10" ref="C184:C197">B184</f>
        <v>39393.59027777778</v>
      </c>
      <c r="D184" s="97">
        <v>352</v>
      </c>
      <c r="E184" s="99">
        <f t="shared" si="8"/>
        <v>9.9675312</v>
      </c>
      <c r="F184" s="99">
        <v>69.2</v>
      </c>
      <c r="G184" s="99">
        <v>7.73</v>
      </c>
      <c r="H184" s="98">
        <v>0.16</v>
      </c>
      <c r="I184" s="99">
        <v>16.2</v>
      </c>
      <c r="J184" s="100">
        <v>151</v>
      </c>
      <c r="K184" s="100">
        <f t="shared" si="9"/>
        <v>689.75315904</v>
      </c>
    </row>
    <row r="185" spans="1:11" ht="12.75">
      <c r="A185" s="86" t="s">
        <v>275</v>
      </c>
      <c r="B185" s="95">
        <v>39410.71875</v>
      </c>
      <c r="C185" s="96">
        <f t="shared" si="10"/>
        <v>39410.71875</v>
      </c>
      <c r="D185" s="97">
        <v>360</v>
      </c>
      <c r="E185" s="99">
        <f t="shared" si="8"/>
        <v>10.194066000000001</v>
      </c>
      <c r="F185" s="99">
        <v>69.4</v>
      </c>
      <c r="G185" s="99">
        <v>7.54</v>
      </c>
      <c r="H185" s="98">
        <v>0.16</v>
      </c>
      <c r="I185" s="99">
        <v>16.8</v>
      </c>
      <c r="J185" s="100">
        <v>151</v>
      </c>
      <c r="K185" s="100">
        <f t="shared" si="9"/>
        <v>707.4681804000002</v>
      </c>
    </row>
    <row r="186" spans="1:11" ht="12.75">
      <c r="A186" s="86" t="s">
        <v>276</v>
      </c>
      <c r="B186" s="95">
        <v>39420.69097222222</v>
      </c>
      <c r="C186" s="96">
        <f t="shared" si="10"/>
        <v>39420.69097222222</v>
      </c>
      <c r="D186" s="97">
        <v>374</v>
      </c>
      <c r="E186" s="99">
        <f t="shared" si="8"/>
        <v>10.5905019</v>
      </c>
      <c r="F186" s="99">
        <v>68.7</v>
      </c>
      <c r="G186" s="99">
        <v>7.43</v>
      </c>
      <c r="H186" s="98">
        <v>0.16</v>
      </c>
      <c r="I186" s="99">
        <v>16.3</v>
      </c>
      <c r="J186" s="100">
        <v>148</v>
      </c>
      <c r="K186" s="100">
        <f t="shared" si="9"/>
        <v>727.56748053</v>
      </c>
    </row>
    <row r="187" spans="1:11" ht="12.75">
      <c r="A187" s="86" t="s">
        <v>277</v>
      </c>
      <c r="B187" s="95">
        <v>39449.5625</v>
      </c>
      <c r="C187" s="96">
        <f t="shared" si="10"/>
        <v>39449.5625</v>
      </c>
      <c r="D187" s="97">
        <v>350</v>
      </c>
      <c r="E187" s="99">
        <f t="shared" si="8"/>
        <v>9.9108975</v>
      </c>
      <c r="F187" s="99">
        <v>70.4</v>
      </c>
      <c r="G187" s="99">
        <v>7.71</v>
      </c>
      <c r="H187" s="98">
        <v>0.16</v>
      </c>
      <c r="I187" s="99">
        <v>16.8</v>
      </c>
      <c r="J187" s="100">
        <v>153</v>
      </c>
      <c r="K187" s="100">
        <f t="shared" si="9"/>
        <v>697.7271840000001</v>
      </c>
    </row>
    <row r="188" spans="1:11" ht="12.75">
      <c r="A188" s="86" t="s">
        <v>278</v>
      </c>
      <c r="B188" s="95">
        <v>39486.5625</v>
      </c>
      <c r="C188" s="96">
        <f t="shared" si="10"/>
        <v>39486.5625</v>
      </c>
      <c r="D188" s="97">
        <v>371</v>
      </c>
      <c r="E188" s="99">
        <f t="shared" si="8"/>
        <v>10.505551350000001</v>
      </c>
      <c r="F188" s="99">
        <v>73.4</v>
      </c>
      <c r="G188" s="99">
        <v>7.73</v>
      </c>
      <c r="H188" s="98">
        <v>0.16</v>
      </c>
      <c r="I188" s="99">
        <v>18.2</v>
      </c>
      <c r="J188" s="100">
        <v>150</v>
      </c>
      <c r="K188" s="100">
        <f t="shared" si="9"/>
        <v>771.1074690900001</v>
      </c>
    </row>
    <row r="189" spans="1:11" ht="12.75">
      <c r="A189" s="86" t="s">
        <v>279</v>
      </c>
      <c r="B189" s="95">
        <v>39513.47222222222</v>
      </c>
      <c r="C189" s="96">
        <f t="shared" si="10"/>
        <v>39513.47222222222</v>
      </c>
      <c r="D189" s="97">
        <v>380</v>
      </c>
      <c r="E189" s="99">
        <f t="shared" si="8"/>
        <v>10.760403</v>
      </c>
      <c r="F189" s="99">
        <v>76</v>
      </c>
      <c r="G189" s="99">
        <v>8.13</v>
      </c>
      <c r="H189" s="98">
        <v>0.17</v>
      </c>
      <c r="I189" s="99">
        <v>18.3</v>
      </c>
      <c r="J189" s="100">
        <v>157</v>
      </c>
      <c r="K189" s="100">
        <f t="shared" si="9"/>
        <v>817.790628</v>
      </c>
    </row>
    <row r="190" spans="1:11" ht="12.75">
      <c r="A190" s="86" t="s">
        <v>280</v>
      </c>
      <c r="B190" s="95">
        <v>39524.770833333336</v>
      </c>
      <c r="C190" s="96">
        <f t="shared" si="10"/>
        <v>39524.770833333336</v>
      </c>
      <c r="D190" s="97">
        <v>356</v>
      </c>
      <c r="E190" s="99">
        <f t="shared" si="8"/>
        <v>10.0807986</v>
      </c>
      <c r="F190" s="99">
        <v>75</v>
      </c>
      <c r="G190" s="99">
        <v>7.98</v>
      </c>
      <c r="H190" s="98">
        <v>0.17</v>
      </c>
      <c r="I190" s="99">
        <v>18.5</v>
      </c>
      <c r="J190" s="100">
        <v>157</v>
      </c>
      <c r="K190" s="100">
        <f t="shared" si="9"/>
        <v>756.059895</v>
      </c>
    </row>
    <row r="191" spans="1:11" ht="12.75">
      <c r="A191" s="86" t="s">
        <v>281</v>
      </c>
      <c r="B191" s="95">
        <v>39542.635416666664</v>
      </c>
      <c r="C191" s="96">
        <f t="shared" si="10"/>
        <v>39542.635416666664</v>
      </c>
      <c r="D191" s="97">
        <v>367</v>
      </c>
      <c r="E191" s="99">
        <f t="shared" si="8"/>
        <v>10.392283950000001</v>
      </c>
      <c r="F191" s="99">
        <v>77.5</v>
      </c>
      <c r="G191" s="99">
        <v>8.12</v>
      </c>
      <c r="H191" s="98">
        <v>0.17</v>
      </c>
      <c r="I191" s="99">
        <v>19.3</v>
      </c>
      <c r="J191" s="100">
        <v>159</v>
      </c>
      <c r="K191" s="100">
        <f t="shared" si="9"/>
        <v>805.4020061250001</v>
      </c>
    </row>
    <row r="192" spans="1:11" ht="12.75">
      <c r="A192" s="86" t="s">
        <v>282</v>
      </c>
      <c r="B192" s="95">
        <v>39554.493055555555</v>
      </c>
      <c r="C192" s="96">
        <f t="shared" si="10"/>
        <v>39554.493055555555</v>
      </c>
      <c r="D192" s="97">
        <v>438</v>
      </c>
      <c r="E192" s="99">
        <f t="shared" si="8"/>
        <v>12.4027803</v>
      </c>
      <c r="F192" s="99">
        <v>68.7</v>
      </c>
      <c r="G192" s="99">
        <v>7.37</v>
      </c>
      <c r="H192" s="98">
        <v>0.15</v>
      </c>
      <c r="I192" s="99">
        <v>19.2</v>
      </c>
      <c r="J192" s="100">
        <v>144</v>
      </c>
      <c r="K192" s="100">
        <f t="shared" si="9"/>
        <v>852.07100661</v>
      </c>
    </row>
    <row r="193" spans="1:11" ht="12.75">
      <c r="A193" s="86" t="s">
        <v>283</v>
      </c>
      <c r="B193" s="95">
        <v>39567.458333333336</v>
      </c>
      <c r="C193" s="96">
        <f t="shared" si="10"/>
        <v>39567.458333333336</v>
      </c>
      <c r="D193" s="97">
        <v>478</v>
      </c>
      <c r="E193" s="99">
        <f t="shared" si="8"/>
        <v>13.535454300000001</v>
      </c>
      <c r="F193" s="99">
        <v>64.1</v>
      </c>
      <c r="G193" s="99">
        <v>7.3</v>
      </c>
      <c r="H193" s="98">
        <v>0.13</v>
      </c>
      <c r="I193" s="99">
        <v>17.5</v>
      </c>
      <c r="J193" s="100">
        <v>141</v>
      </c>
      <c r="K193" s="100">
        <f t="shared" si="9"/>
        <v>867.62262063</v>
      </c>
    </row>
    <row r="194" spans="1:11" ht="12.75">
      <c r="A194" s="86" t="s">
        <v>284</v>
      </c>
      <c r="B194" s="95">
        <v>39574.4375</v>
      </c>
      <c r="C194" s="96">
        <f t="shared" si="10"/>
        <v>39574.4375</v>
      </c>
      <c r="D194" s="97">
        <v>609</v>
      </c>
      <c r="E194" s="99">
        <f t="shared" si="8"/>
        <v>17.24496165</v>
      </c>
      <c r="F194" s="99">
        <v>50.9</v>
      </c>
      <c r="G194" s="99">
        <v>5.96</v>
      </c>
      <c r="H194" s="98">
        <v>0.1</v>
      </c>
      <c r="I194" s="99">
        <v>16.8</v>
      </c>
      <c r="J194" s="100">
        <v>112</v>
      </c>
      <c r="K194" s="100">
        <f t="shared" si="9"/>
        <v>877.768547985</v>
      </c>
    </row>
    <row r="195" spans="1:11" ht="12.75">
      <c r="A195" s="86" t="s">
        <v>285</v>
      </c>
      <c r="B195" s="95">
        <v>39581.635416666664</v>
      </c>
      <c r="C195" s="96">
        <f t="shared" si="10"/>
        <v>39581.635416666664</v>
      </c>
      <c r="D195" s="97">
        <v>638</v>
      </c>
      <c r="E195" s="99">
        <f t="shared" si="8"/>
        <v>18.0661503</v>
      </c>
      <c r="F195" s="99">
        <v>50.4</v>
      </c>
      <c r="G195" s="99">
        <v>5.7</v>
      </c>
      <c r="H195" s="98">
        <v>0.1</v>
      </c>
      <c r="I195" s="99">
        <v>16.6</v>
      </c>
      <c r="J195" s="100">
        <v>115</v>
      </c>
      <c r="K195" s="100">
        <f t="shared" si="9"/>
        <v>910.53397512</v>
      </c>
    </row>
    <row r="196" spans="1:11" ht="12.75">
      <c r="A196" s="86" t="s">
        <v>286</v>
      </c>
      <c r="B196" s="95">
        <v>39588.46875</v>
      </c>
      <c r="C196" s="96">
        <f t="shared" si="10"/>
        <v>39588.46875</v>
      </c>
      <c r="D196" s="97">
        <v>1490</v>
      </c>
      <c r="E196" s="99">
        <f t="shared" si="8"/>
        <v>42.1921065</v>
      </c>
      <c r="F196" s="99">
        <v>17.9</v>
      </c>
      <c r="G196" s="99">
        <v>2.41</v>
      </c>
      <c r="H196" s="98">
        <v>0.04</v>
      </c>
      <c r="I196" s="99">
        <v>9.04</v>
      </c>
      <c r="J196" s="100">
        <v>44</v>
      </c>
      <c r="K196" s="100">
        <f t="shared" si="9"/>
        <v>755.2387063499999</v>
      </c>
    </row>
    <row r="197" spans="1:11" ht="12.75">
      <c r="A197" s="86" t="s">
        <v>287</v>
      </c>
      <c r="B197" s="95">
        <v>39595.493055555555</v>
      </c>
      <c r="C197" s="96">
        <f t="shared" si="10"/>
        <v>39595.493055555555</v>
      </c>
      <c r="D197" s="97">
        <v>1110</v>
      </c>
      <c r="E197" s="99">
        <f t="shared" si="8"/>
        <v>31.4317035</v>
      </c>
      <c r="F197" s="99">
        <v>26</v>
      </c>
      <c r="G197" s="99">
        <v>3.23</v>
      </c>
      <c r="H197" s="98">
        <v>0.06</v>
      </c>
      <c r="I197" s="99">
        <v>10.2</v>
      </c>
      <c r="J197" s="100">
        <v>64</v>
      </c>
      <c r="K197" s="100">
        <f t="shared" si="9"/>
        <v>817.224291</v>
      </c>
    </row>
    <row r="198" spans="1:11" ht="12.75">
      <c r="A198" s="86" t="s">
        <v>288</v>
      </c>
      <c r="B198" s="95">
        <v>39601.694444444445</v>
      </c>
      <c r="C198" s="96">
        <f>B198</f>
        <v>39601.694444444445</v>
      </c>
      <c r="D198" s="97">
        <v>1280</v>
      </c>
      <c r="E198" s="99">
        <f t="shared" si="8"/>
        <v>36.245568</v>
      </c>
      <c r="F198" s="99">
        <v>21.9</v>
      </c>
      <c r="G198" s="99">
        <v>2.78</v>
      </c>
      <c r="H198" s="98">
        <v>0.05</v>
      </c>
      <c r="I198" s="99">
        <v>8.03</v>
      </c>
      <c r="J198" s="100">
        <v>56</v>
      </c>
      <c r="K198" s="100">
        <f t="shared" si="9"/>
        <v>793.7779391999999</v>
      </c>
    </row>
    <row r="199" spans="1:11" ht="12.75">
      <c r="A199" s="86" t="s">
        <v>289</v>
      </c>
      <c r="B199" s="95">
        <v>39608.635416666664</v>
      </c>
      <c r="C199" s="96">
        <f aca="true" t="shared" si="11" ref="C199:C210">B199</f>
        <v>39608.635416666664</v>
      </c>
      <c r="D199" s="97">
        <v>961</v>
      </c>
      <c r="E199" s="99">
        <f t="shared" si="8"/>
        <v>27.21249285</v>
      </c>
      <c r="F199" s="99">
        <v>31.3</v>
      </c>
      <c r="G199" s="99">
        <v>3.85</v>
      </c>
      <c r="H199" s="98">
        <v>0.07</v>
      </c>
      <c r="I199" s="99">
        <v>10.2</v>
      </c>
      <c r="J199" s="100">
        <v>82</v>
      </c>
      <c r="K199" s="100">
        <f t="shared" si="9"/>
        <v>851.751026205</v>
      </c>
    </row>
    <row r="200" spans="1:11" ht="12.75">
      <c r="A200" s="86" t="s">
        <v>290</v>
      </c>
      <c r="B200" s="95">
        <v>39616.479166666664</v>
      </c>
      <c r="C200" s="96">
        <f t="shared" si="11"/>
        <v>39616.479166666664</v>
      </c>
      <c r="D200" s="97">
        <v>1040</v>
      </c>
      <c r="E200" s="99">
        <f t="shared" si="8"/>
        <v>29.449524</v>
      </c>
      <c r="F200" s="99">
        <v>26.4</v>
      </c>
      <c r="G200" s="99">
        <v>3.5</v>
      </c>
      <c r="H200" s="98">
        <v>0.06</v>
      </c>
      <c r="I200" s="99">
        <v>7.87</v>
      </c>
      <c r="J200" s="100">
        <v>69</v>
      </c>
      <c r="K200" s="100">
        <f t="shared" si="9"/>
        <v>777.4674335999999</v>
      </c>
    </row>
    <row r="201" spans="1:11" ht="12.75">
      <c r="A201" s="86" t="s">
        <v>291</v>
      </c>
      <c r="B201" s="95">
        <v>39624.541666666664</v>
      </c>
      <c r="C201" s="96">
        <f t="shared" si="11"/>
        <v>39624.541666666664</v>
      </c>
      <c r="D201" s="97">
        <v>941</v>
      </c>
      <c r="E201" s="99">
        <f t="shared" si="8"/>
        <v>26.64615585</v>
      </c>
      <c r="F201" s="99">
        <v>29.5</v>
      </c>
      <c r="G201" s="99">
        <v>3.87</v>
      </c>
      <c r="H201" s="98">
        <v>0.07</v>
      </c>
      <c r="I201" s="99">
        <v>7.79</v>
      </c>
      <c r="J201" s="100">
        <v>77</v>
      </c>
      <c r="K201" s="100">
        <f t="shared" si="9"/>
        <v>786.061597575</v>
      </c>
    </row>
    <row r="202" spans="1:11" ht="12.75">
      <c r="A202" s="86" t="s">
        <v>292</v>
      </c>
      <c r="B202" s="95">
        <v>39630.520833333336</v>
      </c>
      <c r="C202" s="96">
        <f t="shared" si="11"/>
        <v>39630.520833333336</v>
      </c>
      <c r="D202" s="97">
        <v>760</v>
      </c>
      <c r="E202" s="99">
        <f t="shared" si="8"/>
        <v>21.520806</v>
      </c>
      <c r="F202" s="99">
        <v>35.1</v>
      </c>
      <c r="G202" s="99">
        <v>4.42</v>
      </c>
      <c r="H202" s="98">
        <v>0.08</v>
      </c>
      <c r="I202" s="99">
        <v>9.26</v>
      </c>
      <c r="J202" s="100">
        <v>90</v>
      </c>
      <c r="K202" s="100">
        <f t="shared" si="9"/>
        <v>755.3802906000001</v>
      </c>
    </row>
    <row r="203" spans="1:11" ht="12.75">
      <c r="A203" s="86" t="s">
        <v>293</v>
      </c>
      <c r="B203" s="95">
        <v>39637.697916666664</v>
      </c>
      <c r="C203" s="96">
        <f t="shared" si="11"/>
        <v>39637.697916666664</v>
      </c>
      <c r="D203" s="97">
        <v>601</v>
      </c>
      <c r="E203" s="99">
        <f t="shared" si="8"/>
        <v>17.01842685</v>
      </c>
      <c r="F203" s="99">
        <v>41.2</v>
      </c>
      <c r="G203" s="99">
        <v>5.23</v>
      </c>
      <c r="H203" s="98">
        <v>0.1</v>
      </c>
      <c r="I203" s="99">
        <v>9.91</v>
      </c>
      <c r="J203" s="100">
        <v>106</v>
      </c>
      <c r="K203" s="100">
        <f t="shared" si="9"/>
        <v>701.15918622</v>
      </c>
    </row>
    <row r="204" spans="1:11" ht="12.75">
      <c r="A204" s="86" t="s">
        <v>60</v>
      </c>
      <c r="B204" s="95">
        <v>39645.666666666664</v>
      </c>
      <c r="C204" s="96">
        <f t="shared" si="11"/>
        <v>39645.666666666664</v>
      </c>
      <c r="D204" s="97">
        <v>511</v>
      </c>
      <c r="E204" s="99">
        <f t="shared" si="8"/>
        <v>14.469910350000001</v>
      </c>
      <c r="F204" s="99">
        <v>45.9</v>
      </c>
      <c r="G204" s="99">
        <v>5.85</v>
      </c>
      <c r="H204" s="98">
        <v>0.11</v>
      </c>
      <c r="I204" s="99">
        <v>10.6</v>
      </c>
      <c r="J204" s="100">
        <v>118</v>
      </c>
      <c r="K204" s="100">
        <f t="shared" si="9"/>
        <v>664.168885065</v>
      </c>
    </row>
    <row r="205" spans="1:11" ht="12.75">
      <c r="A205" s="86" t="s">
        <v>61</v>
      </c>
      <c r="B205" s="95">
        <v>39652.5625</v>
      </c>
      <c r="C205" s="96">
        <f t="shared" si="11"/>
        <v>39652.5625</v>
      </c>
      <c r="D205" s="97">
        <v>501</v>
      </c>
      <c r="E205" s="99">
        <f t="shared" si="8"/>
        <v>14.18674185</v>
      </c>
      <c r="F205" s="99">
        <v>48.4</v>
      </c>
      <c r="G205" s="99">
        <v>6.12</v>
      </c>
      <c r="H205" s="98">
        <v>0.11</v>
      </c>
      <c r="I205" s="99">
        <v>11.6</v>
      </c>
      <c r="J205" s="100">
        <v>121</v>
      </c>
      <c r="K205" s="100">
        <f t="shared" si="9"/>
        <v>686.63830554</v>
      </c>
    </row>
    <row r="206" spans="1:11" ht="12.75">
      <c r="A206" s="86" t="s">
        <v>62</v>
      </c>
      <c r="B206" s="95">
        <v>39664.395833333336</v>
      </c>
      <c r="C206" s="96">
        <f t="shared" si="11"/>
        <v>39664.395833333336</v>
      </c>
      <c r="D206" s="97">
        <v>434</v>
      </c>
      <c r="E206" s="99">
        <f t="shared" si="8"/>
        <v>12.2895129</v>
      </c>
      <c r="F206" s="99">
        <v>50.3</v>
      </c>
      <c r="G206" s="99">
        <v>6.34</v>
      </c>
      <c r="H206" s="98">
        <v>0.12</v>
      </c>
      <c r="I206" s="99">
        <v>11.3</v>
      </c>
      <c r="J206" s="100">
        <v>127</v>
      </c>
      <c r="K206" s="100">
        <f t="shared" si="9"/>
        <v>618.1624988699999</v>
      </c>
    </row>
    <row r="207" spans="1:11" ht="12.75">
      <c r="A207" s="86" t="s">
        <v>63</v>
      </c>
      <c r="B207" s="95">
        <v>39679.65625</v>
      </c>
      <c r="C207" s="96">
        <f t="shared" si="11"/>
        <v>39679.65625</v>
      </c>
      <c r="D207" s="97">
        <v>418</v>
      </c>
      <c r="E207" s="99">
        <f t="shared" si="8"/>
        <v>11.836443300000001</v>
      </c>
      <c r="F207" s="99">
        <v>53.1</v>
      </c>
      <c r="G207" s="99">
        <v>6.58</v>
      </c>
      <c r="H207" s="98">
        <v>0.13</v>
      </c>
      <c r="I207" s="99">
        <v>11.9</v>
      </c>
      <c r="J207" s="100">
        <v>130</v>
      </c>
      <c r="K207" s="100">
        <f t="shared" si="9"/>
        <v>628.51513923</v>
      </c>
    </row>
    <row r="208" spans="1:11" ht="12.75">
      <c r="A208" s="86" t="s">
        <v>64</v>
      </c>
      <c r="B208" s="95">
        <v>39692.354166666664</v>
      </c>
      <c r="C208" s="96">
        <f t="shared" si="11"/>
        <v>39692.354166666664</v>
      </c>
      <c r="D208" s="97">
        <v>418</v>
      </c>
      <c r="E208" s="99">
        <f t="shared" si="8"/>
        <v>11.836443300000001</v>
      </c>
      <c r="F208" s="99">
        <v>55.5</v>
      </c>
      <c r="G208" s="99">
        <v>6.73</v>
      </c>
      <c r="H208" s="98">
        <v>0.13</v>
      </c>
      <c r="I208" s="99">
        <v>12.2</v>
      </c>
      <c r="J208" s="100">
        <v>133</v>
      </c>
      <c r="K208" s="100">
        <f t="shared" si="9"/>
        <v>656.9226031500001</v>
      </c>
    </row>
    <row r="209" spans="1:11" ht="12.75">
      <c r="A209" s="86" t="s">
        <v>65</v>
      </c>
      <c r="B209" s="95">
        <v>39706.604166666664</v>
      </c>
      <c r="C209" s="96">
        <f t="shared" si="11"/>
        <v>39706.604166666664</v>
      </c>
      <c r="D209" s="97">
        <v>401</v>
      </c>
      <c r="E209" s="99">
        <f t="shared" si="8"/>
        <v>11.35505685</v>
      </c>
      <c r="F209" s="99">
        <v>55.2</v>
      </c>
      <c r="G209" s="99">
        <v>6.73</v>
      </c>
      <c r="H209" s="98">
        <v>0.13</v>
      </c>
      <c r="I209" s="99">
        <v>12.7</v>
      </c>
      <c r="J209" s="100">
        <v>132</v>
      </c>
      <c r="K209" s="100">
        <f t="shared" si="9"/>
        <v>626.7991381200001</v>
      </c>
    </row>
    <row r="210" spans="1:11" ht="12.75">
      <c r="A210" s="86" t="s">
        <v>66</v>
      </c>
      <c r="B210" s="95">
        <v>39720.40625</v>
      </c>
      <c r="C210" s="96">
        <f t="shared" si="11"/>
        <v>39720.40625</v>
      </c>
      <c r="D210" s="97">
        <v>398</v>
      </c>
      <c r="E210" s="99">
        <f t="shared" si="8"/>
        <v>11.2701063</v>
      </c>
      <c r="F210" s="99">
        <v>55.9</v>
      </c>
      <c r="G210" s="99">
        <v>6.78</v>
      </c>
      <c r="H210" s="98">
        <v>0.13</v>
      </c>
      <c r="I210" s="99">
        <v>13.1</v>
      </c>
      <c r="J210" s="100">
        <v>131</v>
      </c>
      <c r="K210" s="100">
        <f t="shared" si="9"/>
        <v>629.99894217</v>
      </c>
    </row>
    <row r="211" spans="1:11" ht="12.75">
      <c r="A211" s="23" t="s">
        <v>1685</v>
      </c>
      <c r="B211" s="8"/>
      <c r="C211"/>
      <c r="D211"/>
      <c r="E211"/>
      <c r="F211" s="143"/>
      <c r="G211" s="143"/>
      <c r="H211" s="7"/>
      <c r="I211" s="143"/>
      <c r="J211" s="1"/>
      <c r="K211"/>
    </row>
    <row r="212" spans="1:11" ht="15">
      <c r="A212" s="24" t="s">
        <v>1900</v>
      </c>
      <c r="B212" s="166">
        <v>39736.625</v>
      </c>
      <c r="C212" s="158">
        <v>39736.625</v>
      </c>
      <c r="D212" s="142">
        <v>423</v>
      </c>
      <c r="E212" s="21">
        <f>D212*0.02831685</f>
        <v>11.97802755</v>
      </c>
      <c r="F212" s="9">
        <v>59.9</v>
      </c>
      <c r="G212" s="9">
        <v>6.91</v>
      </c>
      <c r="H212" s="12">
        <v>0.13</v>
      </c>
      <c r="I212" s="9">
        <v>15</v>
      </c>
      <c r="J212" s="57">
        <v>131</v>
      </c>
      <c r="K212" s="22">
        <f>E212*F212</f>
        <v>717.483850245</v>
      </c>
    </row>
    <row r="213" spans="1:11" ht="15">
      <c r="A213" s="24" t="s">
        <v>1901</v>
      </c>
      <c r="B213" s="166">
        <v>39753.364583333336</v>
      </c>
      <c r="C213" s="138">
        <f aca="true" t="shared" si="12" ref="C213:C227">B213</f>
        <v>39753.364583333336</v>
      </c>
      <c r="D213" s="142">
        <v>402</v>
      </c>
      <c r="E213" s="21">
        <f>D213*0.02831685</f>
        <v>11.3833737</v>
      </c>
      <c r="F213" s="9">
        <v>58.7</v>
      </c>
      <c r="G213" s="9">
        <v>6.96</v>
      </c>
      <c r="H213" s="12">
        <v>0.14</v>
      </c>
      <c r="I213" s="9">
        <v>13.8</v>
      </c>
      <c r="J213" s="57">
        <v>136</v>
      </c>
      <c r="K213" s="22">
        <f>E213*F213</f>
        <v>668.20403619</v>
      </c>
    </row>
    <row r="214" spans="1:11" ht="15">
      <c r="A214" s="24" t="s">
        <v>1902</v>
      </c>
      <c r="B214" s="166">
        <v>39772.364583333336</v>
      </c>
      <c r="C214" s="158">
        <v>39772.364583333336</v>
      </c>
      <c r="D214" s="142">
        <v>406</v>
      </c>
      <c r="E214" s="21">
        <f>D214*0.02831685</f>
        <v>11.4966411</v>
      </c>
      <c r="F214" s="9">
        <v>61.3</v>
      </c>
      <c r="G214" s="9">
        <v>7.01</v>
      </c>
      <c r="H214" s="12">
        <v>0.14</v>
      </c>
      <c r="I214" s="9">
        <v>15</v>
      </c>
      <c r="J214" s="57">
        <v>137</v>
      </c>
      <c r="K214" s="22">
        <f aca="true" t="shared" si="13" ref="K214:K232">E214*F214</f>
        <v>704.74409943</v>
      </c>
    </row>
    <row r="215" spans="1:11" ht="15">
      <c r="A215" s="161" t="s">
        <v>1903</v>
      </c>
      <c r="B215" s="166">
        <v>39784.625</v>
      </c>
      <c r="C215" s="158">
        <v>39784.625</v>
      </c>
      <c r="D215" s="142">
        <v>402</v>
      </c>
      <c r="E215" s="21">
        <f>D215*0.02831685</f>
        <v>11.3833737</v>
      </c>
      <c r="F215" s="9">
        <v>61.2</v>
      </c>
      <c r="G215" s="9">
        <v>7.16</v>
      </c>
      <c r="H215" s="12">
        <v>0.14</v>
      </c>
      <c r="I215" s="9">
        <v>14.9</v>
      </c>
      <c r="J215" s="57">
        <v>140</v>
      </c>
      <c r="K215" s="22">
        <f t="shared" si="13"/>
        <v>696.66247044</v>
      </c>
    </row>
    <row r="216" spans="1:11" ht="15">
      <c r="A216" s="24" t="s">
        <v>1904</v>
      </c>
      <c r="B216" s="166">
        <v>39821.510416666664</v>
      </c>
      <c r="C216" s="158">
        <v>39821.510416666664</v>
      </c>
      <c r="D216" s="142">
        <v>412</v>
      </c>
      <c r="E216" s="21">
        <f aca="true" t="shared" si="14" ref="E216:E232">D216*0.02831685</f>
        <v>11.6665422</v>
      </c>
      <c r="F216" s="9">
        <v>60.4</v>
      </c>
      <c r="G216" s="9">
        <v>6.79</v>
      </c>
      <c r="H216" s="12">
        <v>0.14</v>
      </c>
      <c r="I216" s="9">
        <v>16</v>
      </c>
      <c r="J216" s="57">
        <v>131</v>
      </c>
      <c r="K216" s="22">
        <f t="shared" si="13"/>
        <v>704.65914888</v>
      </c>
    </row>
    <row r="217" spans="1:11" ht="15">
      <c r="A217" s="24" t="s">
        <v>1905</v>
      </c>
      <c r="B217" s="166">
        <v>39848.5</v>
      </c>
      <c r="C217" s="158">
        <v>39848.5</v>
      </c>
      <c r="D217" s="142">
        <v>382</v>
      </c>
      <c r="E217" s="21">
        <f t="shared" si="14"/>
        <v>10.817036700000001</v>
      </c>
      <c r="F217" s="9">
        <v>64.5</v>
      </c>
      <c r="G217" s="9">
        <v>7.35</v>
      </c>
      <c r="H217" s="12">
        <v>0.15</v>
      </c>
      <c r="I217" s="9">
        <v>15.9</v>
      </c>
      <c r="J217" s="57">
        <v>143</v>
      </c>
      <c r="K217" s="22">
        <f t="shared" si="13"/>
        <v>697.6988671500001</v>
      </c>
    </row>
    <row r="218" spans="1:11" ht="15">
      <c r="A218" s="24" t="s">
        <v>1906</v>
      </c>
      <c r="B218" s="166">
        <v>39876.5</v>
      </c>
      <c r="C218" s="138">
        <f t="shared" si="12"/>
        <v>39876.5</v>
      </c>
      <c r="D218" s="142">
        <v>426</v>
      </c>
      <c r="E218" s="21">
        <f t="shared" si="14"/>
        <v>12.0629781</v>
      </c>
      <c r="F218" s="9">
        <v>67</v>
      </c>
      <c r="G218" s="9">
        <v>7.18</v>
      </c>
      <c r="H218" s="12">
        <v>0.15</v>
      </c>
      <c r="I218" s="9">
        <v>17.4</v>
      </c>
      <c r="J218" s="22">
        <v>134.73704166666667</v>
      </c>
      <c r="K218" s="22">
        <f t="shared" si="13"/>
        <v>808.2195327000001</v>
      </c>
    </row>
    <row r="219" spans="1:11" ht="15">
      <c r="A219" s="24" t="s">
        <v>1907</v>
      </c>
      <c r="B219" s="166">
        <v>39890.729166666664</v>
      </c>
      <c r="C219" s="138">
        <f t="shared" si="12"/>
        <v>39890.729166666664</v>
      </c>
      <c r="D219" s="142">
        <v>402</v>
      </c>
      <c r="E219" s="21">
        <f t="shared" si="14"/>
        <v>11.3833737</v>
      </c>
      <c r="F219" s="9">
        <v>68.5</v>
      </c>
      <c r="G219" s="9">
        <v>7.51</v>
      </c>
      <c r="H219" s="12">
        <v>0.15</v>
      </c>
      <c r="I219" s="9">
        <v>16.9</v>
      </c>
      <c r="J219" s="22">
        <v>146.33586718749999</v>
      </c>
      <c r="K219" s="22">
        <f t="shared" si="13"/>
        <v>779.76109845</v>
      </c>
    </row>
    <row r="220" spans="1:11" ht="15">
      <c r="A220" s="24" t="s">
        <v>1908</v>
      </c>
      <c r="B220" s="166">
        <v>39905.614583333336</v>
      </c>
      <c r="C220" s="138">
        <f t="shared" si="12"/>
        <v>39905.614583333336</v>
      </c>
      <c r="D220" s="142">
        <v>396</v>
      </c>
      <c r="E220" s="21">
        <f t="shared" si="14"/>
        <v>11.213472600000001</v>
      </c>
      <c r="F220" s="9">
        <v>69.4</v>
      </c>
      <c r="G220" s="9">
        <v>7.56</v>
      </c>
      <c r="H220" s="12">
        <v>0.15</v>
      </c>
      <c r="I220" s="9">
        <v>17.5</v>
      </c>
      <c r="J220" s="22">
        <v>148.5602994791667</v>
      </c>
      <c r="K220" s="22">
        <f t="shared" si="13"/>
        <v>778.2149984400002</v>
      </c>
    </row>
    <row r="221" spans="1:11" ht="15">
      <c r="A221" s="24" t="s">
        <v>1909</v>
      </c>
      <c r="B221" s="166">
        <v>39919.75</v>
      </c>
      <c r="C221" s="138">
        <f t="shared" si="12"/>
        <v>39919.75</v>
      </c>
      <c r="D221" s="142">
        <v>456</v>
      </c>
      <c r="E221" s="21">
        <f t="shared" si="14"/>
        <v>12.9124836</v>
      </c>
      <c r="F221" s="9">
        <v>68.7</v>
      </c>
      <c r="G221" s="9">
        <v>7.25</v>
      </c>
      <c r="H221" s="12">
        <v>0.15</v>
      </c>
      <c r="I221" s="9">
        <v>19.6</v>
      </c>
      <c r="J221" s="22">
        <v>138.55035416666666</v>
      </c>
      <c r="K221" s="22">
        <f t="shared" si="13"/>
        <v>887.08762332</v>
      </c>
    </row>
    <row r="222" spans="1:11" ht="15">
      <c r="A222" s="24" t="s">
        <v>1910</v>
      </c>
      <c r="B222" s="166">
        <v>39933.46875</v>
      </c>
      <c r="C222" s="138">
        <f t="shared" si="12"/>
        <v>39933.46875</v>
      </c>
      <c r="D222" s="142">
        <v>507</v>
      </c>
      <c r="E222" s="21">
        <f t="shared" si="14"/>
        <v>14.356642950000001</v>
      </c>
      <c r="F222" s="9">
        <v>62.6</v>
      </c>
      <c r="G222" s="9">
        <v>6.8</v>
      </c>
      <c r="H222" s="12">
        <v>0.13</v>
      </c>
      <c r="I222" s="9">
        <v>18.1</v>
      </c>
      <c r="J222" s="22">
        <v>131.0826171875</v>
      </c>
      <c r="K222" s="22">
        <f t="shared" si="13"/>
        <v>898.7258486700001</v>
      </c>
    </row>
    <row r="223" spans="1:11" ht="15">
      <c r="A223" s="24" t="s">
        <v>1911</v>
      </c>
      <c r="B223" s="166">
        <v>39947.614583333336</v>
      </c>
      <c r="C223" s="138">
        <f t="shared" si="12"/>
        <v>39947.614583333336</v>
      </c>
      <c r="D223" s="142">
        <v>669</v>
      </c>
      <c r="E223" s="21">
        <f t="shared" si="14"/>
        <v>18.94397265</v>
      </c>
      <c r="F223" s="9">
        <v>41.3</v>
      </c>
      <c r="G223" s="9">
        <v>4.92</v>
      </c>
      <c r="H223" s="12">
        <v>0.06</v>
      </c>
      <c r="I223" s="9">
        <v>13.1</v>
      </c>
      <c r="J223" s="22">
        <v>96.286140625</v>
      </c>
      <c r="K223" s="22">
        <f t="shared" si="13"/>
        <v>782.3860704449999</v>
      </c>
    </row>
    <row r="224" spans="1:11" ht="15">
      <c r="A224" s="24" t="s">
        <v>1912</v>
      </c>
      <c r="B224" s="166">
        <v>39948.583333333336</v>
      </c>
      <c r="C224" s="138">
        <f t="shared" si="12"/>
        <v>39948.583333333336</v>
      </c>
      <c r="D224" s="142">
        <v>740</v>
      </c>
      <c r="E224" s="21">
        <f t="shared" si="14"/>
        <v>20.954469</v>
      </c>
      <c r="F224" s="9">
        <v>39.8</v>
      </c>
      <c r="G224" s="9">
        <v>4.63</v>
      </c>
      <c r="H224" s="12">
        <v>0.07</v>
      </c>
      <c r="I224" s="9">
        <v>12.8</v>
      </c>
      <c r="J224" s="22">
        <v>87.86507552083333</v>
      </c>
      <c r="K224" s="22">
        <f t="shared" si="13"/>
        <v>833.9878661999999</v>
      </c>
    </row>
    <row r="225" spans="1:11" ht="15">
      <c r="A225" t="s">
        <v>1913</v>
      </c>
      <c r="B225" s="166">
        <v>39954.572916666664</v>
      </c>
      <c r="C225" s="138">
        <f t="shared" si="12"/>
        <v>39954.572916666664</v>
      </c>
      <c r="D225" s="165">
        <v>1400</v>
      </c>
      <c r="E225" s="21">
        <f t="shared" si="14"/>
        <v>39.64359</v>
      </c>
      <c r="F225" s="9">
        <v>19.1</v>
      </c>
      <c r="G225" s="9">
        <v>2.48</v>
      </c>
      <c r="H225" s="12">
        <v>0.03</v>
      </c>
      <c r="I225" s="9">
        <v>7.03</v>
      </c>
      <c r="J225" s="22">
        <v>51.16194270833335</v>
      </c>
      <c r="K225" s="22">
        <f t="shared" si="13"/>
        <v>757.1925690000002</v>
      </c>
    </row>
    <row r="226" spans="1:11" ht="15">
      <c r="A226" t="s">
        <v>1914</v>
      </c>
      <c r="B226" s="166">
        <v>39968.458333333336</v>
      </c>
      <c r="C226" s="138">
        <f t="shared" si="12"/>
        <v>39968.458333333336</v>
      </c>
      <c r="D226" s="165">
        <v>925</v>
      </c>
      <c r="E226" s="21">
        <f t="shared" si="14"/>
        <v>26.19308625</v>
      </c>
      <c r="F226" s="9">
        <v>32.1</v>
      </c>
      <c r="G226" s="9">
        <v>3.85</v>
      </c>
      <c r="H226" s="12">
        <v>0.05</v>
      </c>
      <c r="I226" s="9">
        <v>9.33</v>
      </c>
      <c r="J226" s="22">
        <v>77.53735416666666</v>
      </c>
      <c r="K226" s="22">
        <f t="shared" si="13"/>
        <v>840.798068625</v>
      </c>
    </row>
    <row r="227" spans="1:11" ht="15">
      <c r="A227" t="s">
        <v>1915</v>
      </c>
      <c r="B227" s="166">
        <v>39989.46527777778</v>
      </c>
      <c r="C227" s="138">
        <f t="shared" si="12"/>
        <v>39989.46527777778</v>
      </c>
      <c r="D227" s="165">
        <v>622</v>
      </c>
      <c r="E227" s="21">
        <f t="shared" si="14"/>
        <v>17.6130807</v>
      </c>
      <c r="F227" s="9">
        <v>38.1</v>
      </c>
      <c r="G227" s="9">
        <v>4.77</v>
      </c>
      <c r="H227" s="12">
        <v>0.07</v>
      </c>
      <c r="I227" s="9">
        <v>9.96</v>
      </c>
      <c r="J227" s="22">
        <v>99.62278906249999</v>
      </c>
      <c r="K227" s="22">
        <f t="shared" si="13"/>
        <v>671.05837467</v>
      </c>
    </row>
    <row r="228" spans="1:11" ht="15">
      <c r="A228" s="24" t="s">
        <v>1916</v>
      </c>
      <c r="B228" s="166">
        <v>40030.541666666664</v>
      </c>
      <c r="C228" s="158">
        <v>40030.541666666664</v>
      </c>
      <c r="D228" s="136">
        <v>425</v>
      </c>
      <c r="E228" s="21">
        <f t="shared" si="14"/>
        <v>12.034661250000001</v>
      </c>
      <c r="F228" s="9">
        <v>53</v>
      </c>
      <c r="G228" s="9">
        <v>6.64</v>
      </c>
      <c r="H228" s="12">
        <v>0.13</v>
      </c>
      <c r="I228" s="9">
        <v>12.2</v>
      </c>
      <c r="J228" s="22">
        <v>128.85818489583335</v>
      </c>
      <c r="K228" s="22">
        <f t="shared" si="13"/>
        <v>637.8370462500001</v>
      </c>
    </row>
    <row r="229" spans="1:11" ht="15">
      <c r="A229" s="24" t="s">
        <v>1917</v>
      </c>
      <c r="B229" s="166">
        <v>40045.645833333336</v>
      </c>
      <c r="C229" s="158">
        <v>40045.645833333336</v>
      </c>
      <c r="D229" s="136">
        <v>406</v>
      </c>
      <c r="E229" s="21">
        <f t="shared" si="14"/>
        <v>11.4966411</v>
      </c>
      <c r="F229" s="135">
        <v>53.5</v>
      </c>
      <c r="G229" s="135">
        <v>6.77</v>
      </c>
      <c r="H229" s="139">
        <v>0.13</v>
      </c>
      <c r="I229" s="135">
        <v>12.1</v>
      </c>
      <c r="J229" s="22">
        <v>130.60595312499998</v>
      </c>
      <c r="K229" s="22">
        <f t="shared" si="13"/>
        <v>615.07029885</v>
      </c>
    </row>
    <row r="230" spans="1:11" ht="15">
      <c r="A230" s="24" t="s">
        <v>1918</v>
      </c>
      <c r="B230" s="166">
        <v>40058.57986111111</v>
      </c>
      <c r="C230" s="158">
        <v>40058.57986111111</v>
      </c>
      <c r="D230" s="136">
        <v>406</v>
      </c>
      <c r="E230" s="21">
        <f t="shared" si="14"/>
        <v>11.4966411</v>
      </c>
      <c r="F230" s="9">
        <v>54.9</v>
      </c>
      <c r="G230" s="9">
        <v>6.81</v>
      </c>
      <c r="H230" s="12">
        <v>0.14</v>
      </c>
      <c r="I230" s="9">
        <v>12.8</v>
      </c>
      <c r="J230" s="22">
        <v>131.24150520833334</v>
      </c>
      <c r="K230" s="22">
        <f t="shared" si="13"/>
        <v>631.16559639</v>
      </c>
    </row>
    <row r="231" spans="1:11" ht="15">
      <c r="A231" s="24" t="s">
        <v>1919</v>
      </c>
      <c r="B231" s="166">
        <v>40073.54861111111</v>
      </c>
      <c r="C231" s="158">
        <v>40073.54861111111</v>
      </c>
      <c r="D231" s="136">
        <v>400</v>
      </c>
      <c r="E231" s="21">
        <f t="shared" si="14"/>
        <v>11.326740000000001</v>
      </c>
      <c r="F231" s="135">
        <v>57.1</v>
      </c>
      <c r="G231" s="135">
        <v>7.01</v>
      </c>
      <c r="H231" s="139">
        <v>0.14</v>
      </c>
      <c r="I231" s="135">
        <v>12.8</v>
      </c>
      <c r="J231" s="22">
        <v>137.43813802083332</v>
      </c>
      <c r="K231" s="22">
        <f t="shared" si="13"/>
        <v>646.7568540000001</v>
      </c>
    </row>
    <row r="232" spans="1:11" ht="15">
      <c r="A232" s="24" t="s">
        <v>1920</v>
      </c>
      <c r="B232" s="166">
        <v>40086.604166666664</v>
      </c>
      <c r="C232" s="158">
        <v>40086.604166666664</v>
      </c>
      <c r="D232" s="136">
        <v>400</v>
      </c>
      <c r="E232" s="21">
        <f t="shared" si="14"/>
        <v>11.326740000000001</v>
      </c>
      <c r="F232" s="135">
        <v>57.9</v>
      </c>
      <c r="G232" s="135">
        <v>7.04</v>
      </c>
      <c r="H232" s="139">
        <v>0.14</v>
      </c>
      <c r="I232" s="135">
        <v>12.9</v>
      </c>
      <c r="J232" s="22">
        <v>137.27925000000002</v>
      </c>
      <c r="K232" s="22">
        <f t="shared" si="13"/>
        <v>655.818246</v>
      </c>
    </row>
    <row r="233" spans="1:11" ht="12.75">
      <c r="A233" s="23" t="s">
        <v>1713</v>
      </c>
      <c r="B233" s="8"/>
      <c r="C233" s="8"/>
      <c r="D233"/>
      <c r="E233"/>
      <c r="F233" s="143"/>
      <c r="G233" s="143"/>
      <c r="H233" s="7"/>
      <c r="I233" s="143"/>
      <c r="J233" s="1"/>
      <c r="K233"/>
    </row>
    <row r="234" spans="1:11" ht="15">
      <c r="A234" s="24" t="s">
        <v>1921</v>
      </c>
      <c r="B234" s="166">
        <v>40113.59375</v>
      </c>
      <c r="C234" s="158">
        <v>40113.59375</v>
      </c>
      <c r="D234" s="141">
        <v>442</v>
      </c>
      <c r="E234" s="21">
        <f>D234*0.02831685</f>
        <v>12.5160477</v>
      </c>
      <c r="F234" s="9">
        <v>61.2</v>
      </c>
      <c r="G234" s="9">
        <v>7.09</v>
      </c>
      <c r="H234" s="12">
        <v>0.14</v>
      </c>
      <c r="I234" s="9">
        <v>14.9</v>
      </c>
      <c r="J234" s="2">
        <v>132.35372135416668</v>
      </c>
      <c r="K234" s="22">
        <f>E234*F234</f>
        <v>765.98211924</v>
      </c>
    </row>
    <row r="235" spans="1:11" ht="15">
      <c r="A235" s="24" t="s">
        <v>1922</v>
      </c>
      <c r="B235" s="166">
        <v>40127.645833333336</v>
      </c>
      <c r="C235" s="158">
        <v>40127.645833333336</v>
      </c>
      <c r="D235" s="141">
        <v>411</v>
      </c>
      <c r="E235" s="21">
        <f>D235*0.02831685</f>
        <v>11.63822535</v>
      </c>
      <c r="F235" s="9">
        <v>61.7</v>
      </c>
      <c r="G235" s="9">
        <v>7.19</v>
      </c>
      <c r="H235" s="12">
        <v>0.15</v>
      </c>
      <c r="I235" s="9">
        <v>14.9</v>
      </c>
      <c r="J235" s="2">
        <v>135.84925781249999</v>
      </c>
      <c r="K235" s="22">
        <f>E235*F235</f>
        <v>718.0785040950001</v>
      </c>
    </row>
    <row r="236" spans="1:11" ht="15">
      <c r="A236" s="24" t="s">
        <v>1923</v>
      </c>
      <c r="B236" s="166">
        <v>40151.614583333336</v>
      </c>
      <c r="C236" s="158">
        <v>40151.614583333336</v>
      </c>
      <c r="D236" s="141">
        <v>370</v>
      </c>
      <c r="E236" s="21">
        <f>D236*0.02831685</f>
        <v>10.4772345</v>
      </c>
      <c r="F236" s="9">
        <v>64.3</v>
      </c>
      <c r="G236" s="9">
        <v>7.55</v>
      </c>
      <c r="H236" s="12">
        <v>0.15</v>
      </c>
      <c r="I236" s="9">
        <v>14.5</v>
      </c>
      <c r="J236" s="2">
        <v>145.06476302083334</v>
      </c>
      <c r="K236" s="22">
        <f aca="true" t="shared" si="15" ref="K236:K258">E236*F236</f>
        <v>673.68617835</v>
      </c>
    </row>
    <row r="237" spans="1:11" ht="15">
      <c r="A237" s="24" t="s">
        <v>1924</v>
      </c>
      <c r="B237" s="166">
        <v>40239.5</v>
      </c>
      <c r="C237" s="158">
        <v>40239.5</v>
      </c>
      <c r="D237" s="141">
        <v>391</v>
      </c>
      <c r="E237" s="21">
        <f>D237*0.02831685</f>
        <v>11.07188835</v>
      </c>
      <c r="F237" s="9">
        <v>66.3</v>
      </c>
      <c r="G237" s="9">
        <v>7.7</v>
      </c>
      <c r="H237" s="12">
        <v>0.16</v>
      </c>
      <c r="I237" s="9">
        <v>15.4</v>
      </c>
      <c r="J237" s="2">
        <v>147.765859375</v>
      </c>
      <c r="K237" s="22">
        <f t="shared" si="15"/>
        <v>734.066197605</v>
      </c>
    </row>
    <row r="238" spans="1:11" ht="15">
      <c r="A238" s="24" t="s">
        <v>1925</v>
      </c>
      <c r="B238" s="166">
        <v>40250.427083333336</v>
      </c>
      <c r="C238" s="158">
        <v>40250.427083333336</v>
      </c>
      <c r="D238" s="141">
        <v>390</v>
      </c>
      <c r="E238" s="21">
        <f aca="true" t="shared" si="16" ref="E238:E258">D238*0.02831685</f>
        <v>11.0435715</v>
      </c>
      <c r="F238" s="9">
        <v>66.1</v>
      </c>
      <c r="G238" s="9">
        <v>7.67</v>
      </c>
      <c r="H238" s="12">
        <v>0.16</v>
      </c>
      <c r="I238" s="9">
        <v>15</v>
      </c>
      <c r="J238" s="2">
        <v>149.03696354166667</v>
      </c>
      <c r="K238" s="22">
        <f t="shared" si="15"/>
        <v>729.98007615</v>
      </c>
    </row>
    <row r="239" spans="1:11" ht="15">
      <c r="A239" s="24" t="s">
        <v>1926</v>
      </c>
      <c r="B239" s="166">
        <v>40271.395833333336</v>
      </c>
      <c r="C239" s="158">
        <v>40271.395833333336</v>
      </c>
      <c r="D239" s="141">
        <v>398</v>
      </c>
      <c r="E239" s="21">
        <f t="shared" si="16"/>
        <v>11.2701063</v>
      </c>
      <c r="F239" s="9">
        <v>67.8</v>
      </c>
      <c r="G239" s="9">
        <v>7.64</v>
      </c>
      <c r="H239" s="12">
        <v>0.15</v>
      </c>
      <c r="I239" s="9">
        <v>16</v>
      </c>
      <c r="J239" s="2">
        <v>147.92474739583335</v>
      </c>
      <c r="K239" s="22">
        <f t="shared" si="15"/>
        <v>764.11320714</v>
      </c>
    </row>
    <row r="240" spans="1:11" ht="13.5">
      <c r="A240" s="24" t="s">
        <v>1927</v>
      </c>
      <c r="B240" s="166">
        <v>40283</v>
      </c>
      <c r="C240" s="158">
        <v>40283</v>
      </c>
      <c r="D240" s="141">
        <v>420</v>
      </c>
      <c r="E240" s="21">
        <f t="shared" si="16"/>
        <v>11.893077</v>
      </c>
      <c r="F240" s="9">
        <v>67.6</v>
      </c>
      <c r="G240" s="9">
        <v>7.67</v>
      </c>
      <c r="H240" s="12">
        <v>0.16</v>
      </c>
      <c r="I240" s="9">
        <v>16.7</v>
      </c>
      <c r="J240" s="2">
        <v>146.49475520833334</v>
      </c>
      <c r="K240" s="22">
        <f t="shared" si="15"/>
        <v>803.9720051999999</v>
      </c>
    </row>
    <row r="241" spans="1:11" ht="13.5">
      <c r="A241" s="24" t="s">
        <v>1928</v>
      </c>
      <c r="B241" s="166">
        <v>40291.520833333336</v>
      </c>
      <c r="C241" s="158">
        <v>40291.520833333336</v>
      </c>
      <c r="D241" s="141">
        <v>560</v>
      </c>
      <c r="E241" s="21">
        <f t="shared" si="16"/>
        <v>15.857436</v>
      </c>
      <c r="F241" s="9">
        <v>49.2</v>
      </c>
      <c r="G241" s="9">
        <v>5.86</v>
      </c>
      <c r="H241" s="12">
        <v>0.09</v>
      </c>
      <c r="I241" s="9">
        <v>14.5</v>
      </c>
      <c r="J241" s="2">
        <v>109.31495833333334</v>
      </c>
      <c r="K241" s="22">
        <f t="shared" si="15"/>
        <v>780.1858512</v>
      </c>
    </row>
    <row r="242" spans="1:11" ht="13.5">
      <c r="A242" s="24" t="s">
        <v>1929</v>
      </c>
      <c r="B242" s="166">
        <v>40317.541666666664</v>
      </c>
      <c r="C242" s="158">
        <v>40317.541666666664</v>
      </c>
      <c r="D242" s="141">
        <v>737</v>
      </c>
      <c r="E242" s="21">
        <f t="shared" si="16"/>
        <v>20.86951845</v>
      </c>
      <c r="F242" s="21">
        <v>34.4</v>
      </c>
      <c r="G242" s="21">
        <v>3.96</v>
      </c>
      <c r="H242" s="18">
        <v>0.07</v>
      </c>
      <c r="I242" s="21">
        <v>11.5</v>
      </c>
      <c r="J242" s="22">
        <v>73.406265625</v>
      </c>
      <c r="K242" s="22">
        <f t="shared" si="15"/>
        <v>717.91143468</v>
      </c>
    </row>
    <row r="243" spans="1:11" ht="13.5">
      <c r="A243" s="24" t="s">
        <v>1930</v>
      </c>
      <c r="B243" s="166">
        <v>40334.479166666664</v>
      </c>
      <c r="C243" s="158">
        <v>40334.479166666664</v>
      </c>
      <c r="D243" s="141">
        <v>1450</v>
      </c>
      <c r="E243" s="21">
        <f t="shared" si="16"/>
        <v>41.0594325</v>
      </c>
      <c r="F243" s="21">
        <v>25.4</v>
      </c>
      <c r="G243" s="21">
        <v>3.08</v>
      </c>
      <c r="H243" s="18">
        <v>0.05</v>
      </c>
      <c r="I243" s="21">
        <v>8.62</v>
      </c>
      <c r="J243" s="22">
        <v>56.723023437500004</v>
      </c>
      <c r="K243" s="22">
        <f t="shared" si="15"/>
        <v>1042.9095855</v>
      </c>
    </row>
    <row r="244" spans="1:11" ht="13.5">
      <c r="A244" s="24" t="s">
        <v>1931</v>
      </c>
      <c r="B244" s="166">
        <v>40340.42361111111</v>
      </c>
      <c r="C244" s="158">
        <v>40340.42361111111</v>
      </c>
      <c r="D244" s="141">
        <v>854</v>
      </c>
      <c r="E244" s="21">
        <f t="shared" si="16"/>
        <v>24.1825899</v>
      </c>
      <c r="F244" s="21">
        <v>33.6</v>
      </c>
      <c r="G244" s="21">
        <v>4.03</v>
      </c>
      <c r="H244" s="18">
        <v>0.07</v>
      </c>
      <c r="I244" s="21">
        <v>10.3</v>
      </c>
      <c r="J244" s="22">
        <v>79.44401041666667</v>
      </c>
      <c r="K244" s="22">
        <f t="shared" si="15"/>
        <v>812.5350206400001</v>
      </c>
    </row>
    <row r="245" spans="1:11" ht="13.5">
      <c r="A245" s="24" t="s">
        <v>1932</v>
      </c>
      <c r="B245" s="166">
        <v>40349.489583333336</v>
      </c>
      <c r="C245" s="158">
        <v>40349.489583333336</v>
      </c>
      <c r="D245" s="141">
        <v>545</v>
      </c>
      <c r="E245" s="21">
        <f t="shared" si="16"/>
        <v>15.43268325</v>
      </c>
      <c r="F245" s="21">
        <v>44.2</v>
      </c>
      <c r="G245" s="21">
        <v>5.42</v>
      </c>
      <c r="H245" s="18">
        <v>0.1</v>
      </c>
      <c r="I245" s="21">
        <v>11.8</v>
      </c>
      <c r="J245" s="22">
        <v>107.88496614583335</v>
      </c>
      <c r="K245" s="22">
        <f t="shared" si="15"/>
        <v>682.12459965</v>
      </c>
    </row>
    <row r="246" spans="1:11" ht="13.5">
      <c r="A246" s="24" t="s">
        <v>1933</v>
      </c>
      <c r="B246" s="166">
        <v>40353.5625</v>
      </c>
      <c r="C246" s="158">
        <v>40353.5625</v>
      </c>
      <c r="D246" s="141">
        <v>493</v>
      </c>
      <c r="E246" s="21">
        <f t="shared" si="16"/>
        <v>13.960207050000001</v>
      </c>
      <c r="F246" s="21">
        <v>48.1</v>
      </c>
      <c r="G246" s="21">
        <v>5.9</v>
      </c>
      <c r="H246" s="18">
        <v>0.12</v>
      </c>
      <c r="I246" s="21">
        <v>12</v>
      </c>
      <c r="J246" s="22">
        <v>117.89491145833335</v>
      </c>
      <c r="K246" s="22">
        <f t="shared" si="15"/>
        <v>671.4859591050001</v>
      </c>
    </row>
    <row r="247" spans="1:11" ht="13.5">
      <c r="A247" s="24" t="s">
        <v>1934</v>
      </c>
      <c r="B247" s="166">
        <v>40360.635416666664</v>
      </c>
      <c r="C247" s="158">
        <v>40360.635416666664</v>
      </c>
      <c r="D247" s="141">
        <v>470</v>
      </c>
      <c r="E247" s="21">
        <f t="shared" si="16"/>
        <v>13.3089195</v>
      </c>
      <c r="F247" s="21">
        <v>51.3</v>
      </c>
      <c r="G247" s="21">
        <v>6.25</v>
      </c>
      <c r="H247" s="18">
        <v>0.13</v>
      </c>
      <c r="I247" s="21">
        <v>12.3</v>
      </c>
      <c r="J247" s="22">
        <v>121.072671875</v>
      </c>
      <c r="K247" s="22">
        <f t="shared" si="15"/>
        <v>682.7475703499999</v>
      </c>
    </row>
    <row r="248" spans="1:11" ht="13.5">
      <c r="A248" s="24" t="s">
        <v>1935</v>
      </c>
      <c r="B248" s="166">
        <v>40368.354166666664</v>
      </c>
      <c r="C248" s="158">
        <v>40368.354166666664</v>
      </c>
      <c r="D248" s="141">
        <v>411</v>
      </c>
      <c r="E248" s="21">
        <f t="shared" si="16"/>
        <v>11.63822535</v>
      </c>
      <c r="F248" s="21">
        <v>56.3</v>
      </c>
      <c r="G248" s="21">
        <v>6.82</v>
      </c>
      <c r="H248" s="18">
        <v>0.14</v>
      </c>
      <c r="I248" s="21">
        <v>13.1</v>
      </c>
      <c r="J248" s="22">
        <v>135.05481770833336</v>
      </c>
      <c r="K248" s="22">
        <f t="shared" si="15"/>
        <v>655.232087205</v>
      </c>
    </row>
    <row r="249" spans="1:11" ht="13.5">
      <c r="A249" s="24" t="s">
        <v>1936</v>
      </c>
      <c r="B249" s="166">
        <v>40375.322916666664</v>
      </c>
      <c r="C249" s="158">
        <v>40375.322916666664</v>
      </c>
      <c r="D249" s="141">
        <v>386</v>
      </c>
      <c r="E249" s="21">
        <f t="shared" si="16"/>
        <v>10.9303041</v>
      </c>
      <c r="F249" s="21">
        <v>58.4</v>
      </c>
      <c r="G249" s="21">
        <v>7.09</v>
      </c>
      <c r="H249" s="18">
        <v>0.15</v>
      </c>
      <c r="I249" s="21">
        <v>12.9</v>
      </c>
      <c r="J249" s="22">
        <v>141.41033854166668</v>
      </c>
      <c r="K249" s="22">
        <f t="shared" si="15"/>
        <v>638.32975944</v>
      </c>
    </row>
    <row r="250" spans="1:11" ht="13.5">
      <c r="A250" s="24" t="s">
        <v>1937</v>
      </c>
      <c r="B250" s="166">
        <v>40381.395833333336</v>
      </c>
      <c r="C250" s="158">
        <v>40381.395833333336</v>
      </c>
      <c r="D250" s="141">
        <v>384</v>
      </c>
      <c r="E250" s="21">
        <f t="shared" si="16"/>
        <v>10.8736704</v>
      </c>
      <c r="F250" s="21">
        <v>58.9</v>
      </c>
      <c r="G250" s="21">
        <v>7.14</v>
      </c>
      <c r="H250" s="18">
        <v>0.15</v>
      </c>
      <c r="I250" s="21">
        <v>13.4</v>
      </c>
      <c r="J250" s="22">
        <v>140.77478645833335</v>
      </c>
      <c r="K250" s="22">
        <f t="shared" si="15"/>
        <v>640.45918656</v>
      </c>
    </row>
    <row r="251" spans="1:11" ht="13.5">
      <c r="A251" s="24" t="s">
        <v>1938</v>
      </c>
      <c r="B251" s="166">
        <v>40390.395833333336</v>
      </c>
      <c r="C251" s="158">
        <v>40390.395833333336</v>
      </c>
      <c r="D251" s="141">
        <v>381</v>
      </c>
      <c r="E251" s="21">
        <f t="shared" si="16"/>
        <v>10.78871985</v>
      </c>
      <c r="F251" s="21">
        <v>60.1</v>
      </c>
      <c r="G251" s="21">
        <v>7.29</v>
      </c>
      <c r="H251" s="18">
        <v>0.15</v>
      </c>
      <c r="I251" s="21">
        <v>12.8</v>
      </c>
      <c r="J251" s="22">
        <v>143.63477083333333</v>
      </c>
      <c r="K251" s="22">
        <f t="shared" si="15"/>
        <v>648.402062985</v>
      </c>
    </row>
    <row r="252" spans="1:11" ht="13.5">
      <c r="A252" s="24" t="s">
        <v>1939</v>
      </c>
      <c r="B252" s="166">
        <v>40396.395833333336</v>
      </c>
      <c r="C252" s="158">
        <v>40396.395833333336</v>
      </c>
      <c r="D252" s="141">
        <v>369</v>
      </c>
      <c r="E252" s="21">
        <f t="shared" si="16"/>
        <v>10.44891765</v>
      </c>
      <c r="F252" s="21">
        <v>60.2</v>
      </c>
      <c r="G252" s="21">
        <v>7.31</v>
      </c>
      <c r="H252" s="18">
        <v>0.15</v>
      </c>
      <c r="I252" s="21">
        <v>12.9</v>
      </c>
      <c r="J252" s="22">
        <v>144.74698697916668</v>
      </c>
      <c r="K252" s="22">
        <f t="shared" si="15"/>
        <v>629.02484253</v>
      </c>
    </row>
    <row r="253" spans="1:11" ht="13.5">
      <c r="A253" s="24" t="s">
        <v>1940</v>
      </c>
      <c r="B253" s="166">
        <v>40402.42013888889</v>
      </c>
      <c r="C253" s="158">
        <v>40402.42013888889</v>
      </c>
      <c r="D253" s="141">
        <v>370</v>
      </c>
      <c r="E253" s="21">
        <f t="shared" si="16"/>
        <v>10.4772345</v>
      </c>
      <c r="F253" s="21">
        <v>60.3</v>
      </c>
      <c r="G253" s="21">
        <v>7.22</v>
      </c>
      <c r="H253" s="18">
        <v>0.15</v>
      </c>
      <c r="I253" s="21">
        <v>13.4</v>
      </c>
      <c r="J253" s="22">
        <v>140.29812239583333</v>
      </c>
      <c r="K253" s="22">
        <f t="shared" si="15"/>
        <v>631.7772403499999</v>
      </c>
    </row>
    <row r="254" spans="1:11" ht="13.5">
      <c r="A254" s="24" t="s">
        <v>1941</v>
      </c>
      <c r="B254" s="166">
        <v>40409.399305555555</v>
      </c>
      <c r="C254" s="158">
        <v>40409.399305555555</v>
      </c>
      <c r="D254" s="141">
        <v>359</v>
      </c>
      <c r="E254" s="21">
        <f t="shared" si="16"/>
        <v>10.16574915</v>
      </c>
      <c r="F254" s="21">
        <v>61.3</v>
      </c>
      <c r="G254" s="21">
        <v>7.36</v>
      </c>
      <c r="H254" s="18">
        <v>0.16</v>
      </c>
      <c r="I254" s="21">
        <v>13.5</v>
      </c>
      <c r="J254" s="22">
        <v>145.54142708333336</v>
      </c>
      <c r="K254" s="22">
        <f t="shared" si="15"/>
        <v>623.160422895</v>
      </c>
    </row>
    <row r="255" spans="1:11" ht="13.5">
      <c r="A255" s="24" t="s">
        <v>1942</v>
      </c>
      <c r="B255" s="166">
        <v>40416.319444444445</v>
      </c>
      <c r="C255" s="158">
        <v>40416.319444444445</v>
      </c>
      <c r="D255" s="141">
        <v>356</v>
      </c>
      <c r="E255" s="21">
        <f t="shared" si="16"/>
        <v>10.0807986</v>
      </c>
      <c r="F255" s="21">
        <v>63.3</v>
      </c>
      <c r="G255" s="21">
        <v>7.49</v>
      </c>
      <c r="H255" s="18">
        <v>0.16</v>
      </c>
      <c r="I255" s="21">
        <v>13.6</v>
      </c>
      <c r="J255" s="22">
        <v>147.44808333333336</v>
      </c>
      <c r="K255" s="22">
        <f t="shared" si="15"/>
        <v>638.11455138</v>
      </c>
    </row>
    <row r="256" spans="1:11" ht="13.5">
      <c r="A256" s="24" t="s">
        <v>1943</v>
      </c>
      <c r="B256" s="166">
        <v>40430.55902777778</v>
      </c>
      <c r="C256" s="158">
        <v>40430.55902777778</v>
      </c>
      <c r="D256" s="141">
        <v>374</v>
      </c>
      <c r="E256" s="21">
        <f t="shared" si="16"/>
        <v>10.5905019</v>
      </c>
      <c r="F256" s="21">
        <v>59</v>
      </c>
      <c r="G256" s="21">
        <v>7.2</v>
      </c>
      <c r="H256" s="18">
        <v>0.15</v>
      </c>
      <c r="I256" s="21">
        <v>14.1</v>
      </c>
      <c r="J256" s="2">
        <v>139.98034635416667</v>
      </c>
      <c r="K256" s="22">
        <f t="shared" si="15"/>
        <v>624.8396121</v>
      </c>
    </row>
    <row r="257" spans="1:11" ht="13.5">
      <c r="A257" s="24" t="s">
        <v>1944</v>
      </c>
      <c r="B257" s="166">
        <v>40444.625</v>
      </c>
      <c r="C257" s="158">
        <v>40444.625</v>
      </c>
      <c r="D257" s="141">
        <v>354</v>
      </c>
      <c r="E257" s="21">
        <f t="shared" si="16"/>
        <v>10.0241649</v>
      </c>
      <c r="F257" s="21">
        <v>61.5</v>
      </c>
      <c r="G257" s="21">
        <v>7.54</v>
      </c>
      <c r="H257" s="18">
        <v>0.16</v>
      </c>
      <c r="I257" s="21">
        <v>13.8</v>
      </c>
      <c r="J257" s="2">
        <v>146.81253125</v>
      </c>
      <c r="K257" s="22">
        <f t="shared" si="15"/>
        <v>616.48614135</v>
      </c>
    </row>
    <row r="258" spans="1:11" ht="13.5">
      <c r="A258" s="161" t="s">
        <v>1945</v>
      </c>
      <c r="B258" s="166">
        <v>40451.479166666664</v>
      </c>
      <c r="C258" s="158">
        <v>40451.479166666664</v>
      </c>
      <c r="D258" s="141">
        <v>350</v>
      </c>
      <c r="E258" s="21">
        <f t="shared" si="16"/>
        <v>9.9108975</v>
      </c>
      <c r="F258" s="21">
        <v>60.8</v>
      </c>
      <c r="G258" s="21">
        <v>7.52</v>
      </c>
      <c r="H258" s="18">
        <v>0.15</v>
      </c>
      <c r="I258" s="21">
        <v>13.6</v>
      </c>
      <c r="J258" s="2">
        <v>147.765859375</v>
      </c>
      <c r="K258" s="22">
        <f t="shared" si="15"/>
        <v>602.582568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3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28125" style="113" customWidth="1"/>
    <col min="2" max="2" width="16.28125" style="108" customWidth="1"/>
    <col min="3" max="3" width="10.7109375" style="96" customWidth="1"/>
    <col min="4" max="4" width="10.140625" style="97" customWidth="1"/>
    <col min="5" max="5" width="10.421875" style="99" customWidth="1"/>
    <col min="6" max="7" width="9.140625" style="99" customWidth="1"/>
    <col min="8" max="8" width="9.140625" style="98" customWidth="1"/>
    <col min="9" max="9" width="9.140625" style="99" customWidth="1"/>
    <col min="10" max="10" width="10.8515625" style="97" customWidth="1"/>
    <col min="11" max="11" width="11.421875" style="97" customWidth="1"/>
    <col min="12" max="12" width="14.140625" style="69" customWidth="1"/>
    <col min="13" max="24" width="9.28125" style="0" bestFit="1" customWidth="1"/>
  </cols>
  <sheetData>
    <row r="1" spans="1:8" ht="12.75">
      <c r="A1" s="82" t="s">
        <v>95</v>
      </c>
      <c r="H1" s="171" t="s">
        <v>784</v>
      </c>
    </row>
    <row r="2" spans="1:24" ht="15.75">
      <c r="A2" s="82" t="s">
        <v>524</v>
      </c>
      <c r="B2" s="84" t="s">
        <v>1644</v>
      </c>
      <c r="C2" s="112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79" t="s">
        <v>327</v>
      </c>
      <c r="J2" s="58" t="s">
        <v>971</v>
      </c>
      <c r="K2" s="79" t="s">
        <v>328</v>
      </c>
      <c r="L2" s="70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4" ht="14.25">
      <c r="B3" s="95"/>
      <c r="C3" s="96" t="s">
        <v>735</v>
      </c>
      <c r="D3" s="97" t="s">
        <v>968</v>
      </c>
      <c r="E3" s="99" t="s">
        <v>271</v>
      </c>
      <c r="F3" s="99" t="s">
        <v>969</v>
      </c>
      <c r="G3" s="99" t="s">
        <v>969</v>
      </c>
      <c r="H3" s="98" t="s">
        <v>969</v>
      </c>
      <c r="I3" s="99" t="s">
        <v>969</v>
      </c>
      <c r="J3" s="100" t="s">
        <v>969</v>
      </c>
      <c r="K3" s="99" t="s">
        <v>783</v>
      </c>
      <c r="L3" s="70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10" ht="12.75">
      <c r="A4" s="82" t="s">
        <v>961</v>
      </c>
      <c r="B4" s="95"/>
      <c r="J4" s="100"/>
    </row>
    <row r="5" spans="1:12" ht="12.75">
      <c r="A5" s="113" t="s">
        <v>1091</v>
      </c>
      <c r="B5" s="95">
        <v>37568</v>
      </c>
      <c r="C5" s="96">
        <v>0.5159722222222222</v>
      </c>
      <c r="D5" s="101">
        <v>93</v>
      </c>
      <c r="E5" s="99">
        <f aca="true" t="shared" si="0" ref="E5:E24">D5*0.028317</f>
        <v>2.6334809999999997</v>
      </c>
      <c r="F5" s="99">
        <v>66.8</v>
      </c>
      <c r="G5" s="99">
        <v>4.41</v>
      </c>
      <c r="H5" s="98">
        <v>0.15</v>
      </c>
      <c r="I5" s="99">
        <v>27.1</v>
      </c>
      <c r="J5" s="100">
        <v>122.66155208333335</v>
      </c>
      <c r="K5" s="100">
        <f>E5*F5</f>
        <v>175.91653079999998</v>
      </c>
      <c r="L5" s="68"/>
    </row>
    <row r="6" spans="1:12" ht="12.75">
      <c r="A6" s="113" t="s">
        <v>1092</v>
      </c>
      <c r="B6" s="95">
        <v>37579</v>
      </c>
      <c r="C6" s="96">
        <v>0.54375</v>
      </c>
      <c r="D6" s="101">
        <v>93</v>
      </c>
      <c r="E6" s="99">
        <f t="shared" si="0"/>
        <v>2.6334809999999997</v>
      </c>
      <c r="F6" s="99">
        <v>58.7</v>
      </c>
      <c r="G6" s="99">
        <v>4.43</v>
      </c>
      <c r="H6" s="98">
        <v>0.14</v>
      </c>
      <c r="I6" s="99">
        <v>25.1</v>
      </c>
      <c r="J6" s="100">
        <v>124.56820833333332</v>
      </c>
      <c r="K6" s="100">
        <f aca="true" t="shared" si="1" ref="K6:K69">E6*F6</f>
        <v>154.5853347</v>
      </c>
      <c r="L6" s="68"/>
    </row>
    <row r="7" spans="1:12" ht="12.75">
      <c r="A7" s="113" t="s">
        <v>1093</v>
      </c>
      <c r="B7" s="95">
        <v>37594</v>
      </c>
      <c r="C7" s="96">
        <v>0.5284722222222222</v>
      </c>
      <c r="D7" s="101">
        <v>95</v>
      </c>
      <c r="E7" s="99">
        <f t="shared" si="0"/>
        <v>2.690115</v>
      </c>
      <c r="F7" s="99">
        <v>67.9</v>
      </c>
      <c r="G7" s="99">
        <v>4.5</v>
      </c>
      <c r="H7" s="98">
        <v>0.16</v>
      </c>
      <c r="I7" s="99">
        <v>28.8</v>
      </c>
      <c r="J7" s="100">
        <v>125.20376041666667</v>
      </c>
      <c r="K7" s="100">
        <f t="shared" si="1"/>
        <v>182.65880850000002</v>
      </c>
      <c r="L7" s="68"/>
    </row>
    <row r="8" spans="1:12" ht="12.75">
      <c r="A8" s="113" t="s">
        <v>1094</v>
      </c>
      <c r="B8" s="95">
        <v>37635</v>
      </c>
      <c r="C8" s="96">
        <v>0.4444444444444444</v>
      </c>
      <c r="D8" s="101">
        <v>97</v>
      </c>
      <c r="E8" s="99">
        <f t="shared" si="0"/>
        <v>2.746749</v>
      </c>
      <c r="F8" s="99">
        <v>77</v>
      </c>
      <c r="G8" s="99">
        <v>4.57</v>
      </c>
      <c r="H8" s="98">
        <v>0.2</v>
      </c>
      <c r="I8" s="99">
        <v>34.6</v>
      </c>
      <c r="J8" s="100">
        <v>122.66155208333335</v>
      </c>
      <c r="K8" s="100">
        <f t="shared" si="1"/>
        <v>211.499673</v>
      </c>
      <c r="L8" s="68"/>
    </row>
    <row r="9" spans="1:12" ht="12.75">
      <c r="A9" s="113" t="s">
        <v>1095</v>
      </c>
      <c r="B9" s="95">
        <v>37636</v>
      </c>
      <c r="C9" s="96">
        <v>0.5208333333333334</v>
      </c>
      <c r="D9" s="101">
        <v>99</v>
      </c>
      <c r="E9" s="99">
        <f t="shared" si="0"/>
        <v>2.8033829999999997</v>
      </c>
      <c r="F9" s="99">
        <v>67.7</v>
      </c>
      <c r="G9" s="99">
        <v>4.43</v>
      </c>
      <c r="H9" s="98">
        <v>0.14</v>
      </c>
      <c r="I9" s="99">
        <v>31.9</v>
      </c>
      <c r="J9" s="100">
        <v>122.979328125</v>
      </c>
      <c r="K9" s="100">
        <f t="shared" si="1"/>
        <v>189.7890291</v>
      </c>
      <c r="L9" s="68"/>
    </row>
    <row r="10" spans="1:12" ht="12.75">
      <c r="A10" s="113" t="s">
        <v>1096</v>
      </c>
      <c r="B10" s="95">
        <v>37651</v>
      </c>
      <c r="C10" s="96">
        <v>0.5083333333333333</v>
      </c>
      <c r="D10" s="101">
        <v>101</v>
      </c>
      <c r="E10" s="99">
        <f t="shared" si="0"/>
        <v>2.860017</v>
      </c>
      <c r="F10" s="99">
        <v>68.2</v>
      </c>
      <c r="G10" s="99">
        <v>4.38</v>
      </c>
      <c r="H10" s="98">
        <v>0.16</v>
      </c>
      <c r="I10" s="99">
        <v>32.9</v>
      </c>
      <c r="J10" s="100">
        <v>119.166015625</v>
      </c>
      <c r="K10" s="100">
        <f t="shared" si="1"/>
        <v>195.0531594</v>
      </c>
      <c r="L10" s="68"/>
    </row>
    <row r="11" spans="1:12" ht="12.75">
      <c r="A11" s="113" t="s">
        <v>1097</v>
      </c>
      <c r="B11" s="95">
        <v>37679</v>
      </c>
      <c r="C11" s="96">
        <v>0.5659722222222222</v>
      </c>
      <c r="D11" s="101">
        <v>87</v>
      </c>
      <c r="E11" s="99">
        <f t="shared" si="0"/>
        <v>2.4635789999999997</v>
      </c>
      <c r="F11" s="99">
        <v>73</v>
      </c>
      <c r="G11" s="99">
        <v>4.61</v>
      </c>
      <c r="H11" s="98">
        <v>0.16</v>
      </c>
      <c r="I11" s="99">
        <v>34.2</v>
      </c>
      <c r="J11" s="100">
        <v>132.19483333333335</v>
      </c>
      <c r="K11" s="100">
        <f t="shared" si="1"/>
        <v>179.841267</v>
      </c>
      <c r="L11" s="68"/>
    </row>
    <row r="12" spans="1:12" ht="12.75">
      <c r="A12" s="113" t="s">
        <v>1098</v>
      </c>
      <c r="B12" s="95">
        <v>37694</v>
      </c>
      <c r="C12" s="96">
        <v>0.5111111111111112</v>
      </c>
      <c r="D12" s="101">
        <v>105</v>
      </c>
      <c r="E12" s="99">
        <f t="shared" si="0"/>
        <v>2.9732849999999997</v>
      </c>
      <c r="F12" s="99">
        <v>67.2</v>
      </c>
      <c r="G12" s="99">
        <v>4.35</v>
      </c>
      <c r="H12" s="98">
        <v>0.13</v>
      </c>
      <c r="I12" s="99">
        <v>32.9</v>
      </c>
      <c r="J12" s="100">
        <v>120.75489583333332</v>
      </c>
      <c r="K12" s="100">
        <f t="shared" si="1"/>
        <v>199.80475199999998</v>
      </c>
      <c r="L12" s="68"/>
    </row>
    <row r="13" spans="1:12" ht="12.75">
      <c r="A13" s="113" t="s">
        <v>1099</v>
      </c>
      <c r="B13" s="95">
        <v>37718</v>
      </c>
      <c r="C13" s="96">
        <v>0.4354166666666666</v>
      </c>
      <c r="D13" s="101">
        <v>91</v>
      </c>
      <c r="E13" s="99">
        <f t="shared" si="0"/>
        <v>2.576847</v>
      </c>
      <c r="F13" s="99">
        <v>71.4</v>
      </c>
      <c r="G13" s="99">
        <v>4.51</v>
      </c>
      <c r="H13" s="98">
        <v>0.16</v>
      </c>
      <c r="I13" s="99">
        <v>34.3</v>
      </c>
      <c r="J13" s="100">
        <v>127.74596875</v>
      </c>
      <c r="K13" s="100">
        <f t="shared" si="1"/>
        <v>183.9868758</v>
      </c>
      <c r="L13" s="68"/>
    </row>
    <row r="14" spans="1:12" ht="12.75">
      <c r="A14" s="113" t="s">
        <v>1100</v>
      </c>
      <c r="B14" s="95">
        <v>37734</v>
      </c>
      <c r="C14" s="96">
        <v>0.4486111111111111</v>
      </c>
      <c r="D14" s="101">
        <v>230</v>
      </c>
      <c r="E14" s="99">
        <f t="shared" si="0"/>
        <v>6.51291</v>
      </c>
      <c r="F14" s="99">
        <v>50.3</v>
      </c>
      <c r="G14" s="99">
        <v>2.91</v>
      </c>
      <c r="H14" s="98">
        <v>0.09</v>
      </c>
      <c r="I14" s="99">
        <v>29.3</v>
      </c>
      <c r="J14" s="100">
        <v>68.00407291666667</v>
      </c>
      <c r="K14" s="100">
        <f t="shared" si="1"/>
        <v>327.59937299999996</v>
      </c>
      <c r="L14" s="68"/>
    </row>
    <row r="15" spans="1:12" ht="12.75">
      <c r="A15" s="113" t="s">
        <v>1101</v>
      </c>
      <c r="B15" s="95">
        <v>37764</v>
      </c>
      <c r="C15" s="96">
        <v>0.5125</v>
      </c>
      <c r="D15" s="101">
        <v>414</v>
      </c>
      <c r="E15" s="99">
        <f t="shared" si="0"/>
        <v>11.723237999999998</v>
      </c>
      <c r="F15" s="99">
        <v>16.9</v>
      </c>
      <c r="G15" s="99">
        <v>1.62</v>
      </c>
      <c r="H15" s="98">
        <v>0.03</v>
      </c>
      <c r="I15" s="99">
        <v>12</v>
      </c>
      <c r="J15" s="100">
        <v>40.039781250000004</v>
      </c>
      <c r="K15" s="100">
        <f t="shared" si="1"/>
        <v>198.12272219999997</v>
      </c>
      <c r="L15" s="68"/>
    </row>
    <row r="16" spans="1:12" ht="12.75">
      <c r="A16" s="113" t="s">
        <v>1102</v>
      </c>
      <c r="B16" s="95">
        <v>37774</v>
      </c>
      <c r="C16" s="96" t="s">
        <v>1549</v>
      </c>
      <c r="D16" s="101">
        <v>384</v>
      </c>
      <c r="E16" s="99">
        <f t="shared" si="0"/>
        <v>10.873728</v>
      </c>
      <c r="F16" s="99">
        <v>19.2</v>
      </c>
      <c r="G16" s="99">
        <v>1.71</v>
      </c>
      <c r="H16" s="98">
        <v>0.04</v>
      </c>
      <c r="I16" s="99">
        <v>11.8</v>
      </c>
      <c r="J16" s="100">
        <v>48.30195833333334</v>
      </c>
      <c r="K16" s="100">
        <f t="shared" si="1"/>
        <v>208.7755776</v>
      </c>
      <c r="L16" s="68"/>
    </row>
    <row r="17" spans="1:12" ht="12.75">
      <c r="A17" s="113" t="s">
        <v>1103</v>
      </c>
      <c r="B17" s="95">
        <v>37791</v>
      </c>
      <c r="C17" s="96">
        <v>0.5298611111111111</v>
      </c>
      <c r="D17" s="101">
        <v>187</v>
      </c>
      <c r="E17" s="99">
        <f t="shared" si="0"/>
        <v>5.295279</v>
      </c>
      <c r="F17" s="99">
        <v>36.9</v>
      </c>
      <c r="G17" s="99">
        <v>3.15</v>
      </c>
      <c r="H17" s="98">
        <v>0.08</v>
      </c>
      <c r="I17" s="99">
        <v>17.1</v>
      </c>
      <c r="J17" s="100">
        <v>83.89287500000002</v>
      </c>
      <c r="K17" s="100">
        <f t="shared" si="1"/>
        <v>195.3957951</v>
      </c>
      <c r="L17" s="68"/>
    </row>
    <row r="18" spans="1:12" ht="12.75">
      <c r="A18" s="113" t="s">
        <v>1104</v>
      </c>
      <c r="B18" s="95">
        <v>37803</v>
      </c>
      <c r="C18" s="96">
        <v>0.8125</v>
      </c>
      <c r="D18" s="101">
        <v>141</v>
      </c>
      <c r="E18" s="99">
        <f t="shared" si="0"/>
        <v>3.9926969999999997</v>
      </c>
      <c r="F18" s="99">
        <v>40.4</v>
      </c>
      <c r="G18" s="99">
        <v>3.63</v>
      </c>
      <c r="H18" s="98">
        <v>0.09</v>
      </c>
      <c r="I18" s="99">
        <v>17.3</v>
      </c>
      <c r="J18" s="100">
        <v>92.79060416666665</v>
      </c>
      <c r="K18" s="100">
        <f t="shared" si="1"/>
        <v>161.30495879999998</v>
      </c>
      <c r="L18" s="68"/>
    </row>
    <row r="19" spans="1:12" ht="12.75">
      <c r="A19" s="113" t="s">
        <v>1105</v>
      </c>
      <c r="B19" s="95">
        <v>37818</v>
      </c>
      <c r="C19" s="96">
        <v>0.5034722222222222</v>
      </c>
      <c r="D19" s="101">
        <v>110</v>
      </c>
      <c r="E19" s="99">
        <f t="shared" si="0"/>
        <v>3.11487</v>
      </c>
      <c r="F19" s="99">
        <v>37.9</v>
      </c>
      <c r="G19" s="99">
        <v>3.95</v>
      </c>
      <c r="H19" s="98">
        <v>0.08</v>
      </c>
      <c r="I19" s="99">
        <v>15.9</v>
      </c>
      <c r="J19" s="100">
        <v>105.18386979166665</v>
      </c>
      <c r="K19" s="100">
        <f t="shared" si="1"/>
        <v>118.05357299999999</v>
      </c>
      <c r="L19" s="68"/>
    </row>
    <row r="20" spans="1:12" ht="12.75">
      <c r="A20" s="113" t="s">
        <v>1106</v>
      </c>
      <c r="B20" s="95">
        <v>37832</v>
      </c>
      <c r="C20" s="96">
        <v>0.3673611111111111</v>
      </c>
      <c r="D20" s="101">
        <v>101</v>
      </c>
      <c r="E20" s="99">
        <f t="shared" si="0"/>
        <v>2.860017</v>
      </c>
      <c r="F20" s="99">
        <v>36.9</v>
      </c>
      <c r="G20" s="99">
        <v>4.06</v>
      </c>
      <c r="H20" s="98">
        <v>0.07</v>
      </c>
      <c r="I20" s="99">
        <v>17.2</v>
      </c>
      <c r="J20" s="100">
        <v>114.399375</v>
      </c>
      <c r="K20" s="100">
        <f t="shared" si="1"/>
        <v>105.5346273</v>
      </c>
      <c r="L20" s="68"/>
    </row>
    <row r="21" spans="1:12" ht="12.75">
      <c r="A21" s="113" t="s">
        <v>1107</v>
      </c>
      <c r="B21" s="95">
        <v>37846</v>
      </c>
      <c r="C21" s="96">
        <v>0.3819444444444444</v>
      </c>
      <c r="D21" s="101">
        <v>97</v>
      </c>
      <c r="E21" s="99">
        <f t="shared" si="0"/>
        <v>2.746749</v>
      </c>
      <c r="F21" s="99">
        <v>39.8</v>
      </c>
      <c r="G21" s="99">
        <v>4.15</v>
      </c>
      <c r="H21" s="98">
        <v>0.09</v>
      </c>
      <c r="I21" s="99">
        <v>18</v>
      </c>
      <c r="J21" s="100">
        <v>115.35270312499999</v>
      </c>
      <c r="K21" s="100">
        <f t="shared" si="1"/>
        <v>109.32061019999999</v>
      </c>
      <c r="L21" s="68"/>
    </row>
    <row r="22" spans="1:12" ht="12.75">
      <c r="A22" s="113" t="s">
        <v>1108</v>
      </c>
      <c r="B22" s="95">
        <v>37858</v>
      </c>
      <c r="C22" s="96">
        <v>0.3840277777777778</v>
      </c>
      <c r="D22" s="101">
        <v>93</v>
      </c>
      <c r="E22" s="99">
        <f t="shared" si="0"/>
        <v>2.6334809999999997</v>
      </c>
      <c r="F22" s="99">
        <v>42.4</v>
      </c>
      <c r="G22" s="99">
        <v>4.26</v>
      </c>
      <c r="H22" s="98">
        <v>0.1</v>
      </c>
      <c r="I22" s="99">
        <v>18.2</v>
      </c>
      <c r="J22" s="100">
        <v>116.30603124999999</v>
      </c>
      <c r="K22" s="100">
        <f t="shared" si="1"/>
        <v>111.65959439999999</v>
      </c>
      <c r="L22" s="68"/>
    </row>
    <row r="23" spans="1:12" ht="12.75">
      <c r="A23" s="113" t="s">
        <v>1352</v>
      </c>
      <c r="B23" s="95">
        <v>37874</v>
      </c>
      <c r="C23" s="96">
        <v>0.3965277777777778</v>
      </c>
      <c r="D23" s="101">
        <v>99</v>
      </c>
      <c r="E23" s="99">
        <f t="shared" si="0"/>
        <v>2.8033829999999997</v>
      </c>
      <c r="F23" s="99">
        <v>49.2</v>
      </c>
      <c r="G23" s="99">
        <v>4.18</v>
      </c>
      <c r="H23" s="98">
        <v>0.11</v>
      </c>
      <c r="I23" s="99">
        <v>22.7</v>
      </c>
      <c r="J23" s="100">
        <v>115.67047916666667</v>
      </c>
      <c r="K23" s="100">
        <f t="shared" si="1"/>
        <v>137.9264436</v>
      </c>
      <c r="L23" s="68"/>
    </row>
    <row r="24" spans="1:12" ht="12.75">
      <c r="A24" s="113" t="s">
        <v>1353</v>
      </c>
      <c r="B24" s="95">
        <v>37886</v>
      </c>
      <c r="C24" s="96">
        <v>0.4534722222222222</v>
      </c>
      <c r="D24" s="101">
        <v>91</v>
      </c>
      <c r="E24" s="99">
        <f t="shared" si="0"/>
        <v>2.576847</v>
      </c>
      <c r="F24" s="99">
        <v>49.6</v>
      </c>
      <c r="G24" s="99">
        <v>4.34</v>
      </c>
      <c r="H24" s="98">
        <v>0.11</v>
      </c>
      <c r="I24" s="99">
        <v>21.9</v>
      </c>
      <c r="J24" s="100">
        <v>120.11934375</v>
      </c>
      <c r="K24" s="100">
        <f t="shared" si="1"/>
        <v>127.8116112</v>
      </c>
      <c r="L24" s="68"/>
    </row>
    <row r="25" spans="1:12" ht="12.75">
      <c r="A25" s="82" t="s">
        <v>963</v>
      </c>
      <c r="B25" s="95"/>
      <c r="J25" s="100"/>
      <c r="K25" s="100"/>
      <c r="L25" s="68"/>
    </row>
    <row r="26" spans="1:11" ht="12.75">
      <c r="A26" s="113" t="s">
        <v>1354</v>
      </c>
      <c r="B26" s="95">
        <v>37900</v>
      </c>
      <c r="C26" s="96">
        <v>0.4479166666666667</v>
      </c>
      <c r="D26" s="97">
        <v>89</v>
      </c>
      <c r="E26" s="99">
        <f aca="true" t="shared" si="2" ref="E26:E44">D26*0.028317</f>
        <v>2.520213</v>
      </c>
      <c r="F26" s="99">
        <v>52.6</v>
      </c>
      <c r="G26" s="99">
        <v>4.39</v>
      </c>
      <c r="H26" s="98">
        <v>0.13</v>
      </c>
      <c r="I26" s="99">
        <v>22.1</v>
      </c>
      <c r="J26" s="100">
        <v>123.93265625</v>
      </c>
      <c r="K26" s="100">
        <f t="shared" si="1"/>
        <v>132.5632038</v>
      </c>
    </row>
    <row r="27" spans="1:11" ht="12.75">
      <c r="A27" s="113" t="s">
        <v>1355</v>
      </c>
      <c r="B27" s="95">
        <v>37916</v>
      </c>
      <c r="C27" s="96">
        <v>0.4472222222222222</v>
      </c>
      <c r="D27" s="97">
        <v>87</v>
      </c>
      <c r="E27" s="99">
        <f t="shared" si="2"/>
        <v>2.4635789999999997</v>
      </c>
      <c r="F27" s="99">
        <v>56.1</v>
      </c>
      <c r="G27" s="99">
        <v>4.43</v>
      </c>
      <c r="H27" s="98">
        <v>0.14</v>
      </c>
      <c r="I27" s="99">
        <v>23.7</v>
      </c>
      <c r="J27" s="100">
        <v>122.66155208333335</v>
      </c>
      <c r="K27" s="100">
        <f t="shared" si="1"/>
        <v>138.20678189999998</v>
      </c>
    </row>
    <row r="28" spans="1:11" ht="12.75">
      <c r="A28" s="113" t="s">
        <v>1356</v>
      </c>
      <c r="B28" s="95">
        <v>37943</v>
      </c>
      <c r="C28" s="96">
        <v>0.4791666666666667</v>
      </c>
      <c r="D28" s="97">
        <v>83</v>
      </c>
      <c r="E28" s="99">
        <f t="shared" si="2"/>
        <v>2.350311</v>
      </c>
      <c r="F28" s="99">
        <v>69.2</v>
      </c>
      <c r="G28" s="99">
        <v>4.46</v>
      </c>
      <c r="H28" s="98">
        <v>0.17</v>
      </c>
      <c r="I28" s="99">
        <v>31.7</v>
      </c>
      <c r="J28" s="100">
        <v>122.66155208333335</v>
      </c>
      <c r="K28" s="100">
        <f t="shared" si="1"/>
        <v>162.6415212</v>
      </c>
    </row>
    <row r="29" spans="1:11" ht="12.75">
      <c r="A29" s="113" t="s">
        <v>1357</v>
      </c>
      <c r="B29" s="95">
        <v>37970</v>
      </c>
      <c r="C29" s="96">
        <v>0.5534722222222223</v>
      </c>
      <c r="D29" s="97">
        <v>87</v>
      </c>
      <c r="E29" s="99">
        <f t="shared" si="2"/>
        <v>2.4635789999999997</v>
      </c>
      <c r="F29" s="99">
        <v>74.9</v>
      </c>
      <c r="G29" s="99">
        <v>4.4</v>
      </c>
      <c r="H29" s="98">
        <v>0.19</v>
      </c>
      <c r="I29" s="99">
        <v>35</v>
      </c>
      <c r="J29" s="100">
        <v>115.35270312499999</v>
      </c>
      <c r="K29" s="100">
        <f t="shared" si="1"/>
        <v>184.5220671</v>
      </c>
    </row>
    <row r="30" spans="1:11" ht="12.75">
      <c r="A30" s="113" t="s">
        <v>1358</v>
      </c>
      <c r="B30" s="95">
        <v>38026</v>
      </c>
      <c r="C30" s="96">
        <v>0.625</v>
      </c>
      <c r="D30" s="97">
        <v>89</v>
      </c>
      <c r="E30" s="99">
        <f t="shared" si="2"/>
        <v>2.520213</v>
      </c>
      <c r="F30" s="99">
        <v>73.4</v>
      </c>
      <c r="G30" s="99">
        <v>4.58</v>
      </c>
      <c r="H30" s="98">
        <v>0.19</v>
      </c>
      <c r="I30" s="99">
        <v>33.6</v>
      </c>
      <c r="J30" s="100">
        <v>131.55928125</v>
      </c>
      <c r="K30" s="100">
        <f t="shared" si="1"/>
        <v>184.9836342</v>
      </c>
    </row>
    <row r="31" spans="1:11" ht="12.75">
      <c r="A31" s="113" t="s">
        <v>1359</v>
      </c>
      <c r="B31" s="95">
        <v>38071</v>
      </c>
      <c r="C31" s="96">
        <v>0.5020833333333333</v>
      </c>
      <c r="D31" s="97">
        <v>121</v>
      </c>
      <c r="E31" s="99">
        <f t="shared" si="2"/>
        <v>3.426357</v>
      </c>
      <c r="F31" s="99">
        <v>55.2</v>
      </c>
      <c r="G31" s="99">
        <v>4.07</v>
      </c>
      <c r="H31" s="98">
        <v>0.09</v>
      </c>
      <c r="I31" s="99">
        <v>32.8</v>
      </c>
      <c r="J31" s="100">
        <v>108.67940625000001</v>
      </c>
      <c r="K31" s="100">
        <f t="shared" si="1"/>
        <v>189.1349064</v>
      </c>
    </row>
    <row r="32" spans="1:11" ht="12.75">
      <c r="A32" s="113" t="s">
        <v>1360</v>
      </c>
      <c r="B32" s="95">
        <v>38082</v>
      </c>
      <c r="C32" s="96">
        <v>0.37986111111111115</v>
      </c>
      <c r="D32" s="97">
        <v>175</v>
      </c>
      <c r="E32" s="99">
        <f t="shared" si="2"/>
        <v>4.955475</v>
      </c>
      <c r="F32" s="99">
        <v>43.6</v>
      </c>
      <c r="G32" s="99">
        <v>3.44</v>
      </c>
      <c r="H32" s="98">
        <v>0.08</v>
      </c>
      <c r="I32" s="99">
        <v>27.2</v>
      </c>
      <c r="J32" s="100">
        <v>83.89287500000002</v>
      </c>
      <c r="K32" s="100">
        <f t="shared" si="1"/>
        <v>216.05871</v>
      </c>
    </row>
    <row r="33" spans="1:11" ht="12.75">
      <c r="A33" s="113" t="s">
        <v>1361</v>
      </c>
      <c r="B33" s="95">
        <v>38094</v>
      </c>
      <c r="C33" s="96">
        <v>0.38958333333333334</v>
      </c>
      <c r="D33" s="97">
        <v>133</v>
      </c>
      <c r="E33" s="99">
        <f t="shared" si="2"/>
        <v>3.766161</v>
      </c>
      <c r="F33" s="99">
        <v>57</v>
      </c>
      <c r="G33" s="99">
        <v>3.44</v>
      </c>
      <c r="H33" s="98">
        <v>0.12</v>
      </c>
      <c r="I33" s="99">
        <v>32.6</v>
      </c>
      <c r="J33" s="100">
        <v>84.21065104166668</v>
      </c>
      <c r="K33" s="100">
        <f t="shared" si="1"/>
        <v>214.671177</v>
      </c>
    </row>
    <row r="34" spans="1:11" ht="12.75">
      <c r="A34" s="113" t="s">
        <v>1362</v>
      </c>
      <c r="B34" s="95">
        <v>38111</v>
      </c>
      <c r="C34" s="96">
        <v>0.4458333333333333</v>
      </c>
      <c r="D34" s="97">
        <v>196</v>
      </c>
      <c r="E34" s="99">
        <f t="shared" si="2"/>
        <v>5.550132</v>
      </c>
      <c r="F34" s="99">
        <v>30.3</v>
      </c>
      <c r="G34" s="99">
        <v>2.58</v>
      </c>
      <c r="H34" s="98">
        <v>0.07</v>
      </c>
      <c r="I34" s="99">
        <v>17.9</v>
      </c>
      <c r="J34" s="100">
        <v>63.55520833333333</v>
      </c>
      <c r="K34" s="100">
        <f t="shared" si="1"/>
        <v>168.1689996</v>
      </c>
    </row>
    <row r="35" spans="1:11" ht="12.75">
      <c r="A35" s="113" t="s">
        <v>1363</v>
      </c>
      <c r="B35" s="95">
        <v>38127</v>
      </c>
      <c r="C35" s="96">
        <v>0.6416666666666667</v>
      </c>
      <c r="D35" s="97">
        <v>149</v>
      </c>
      <c r="E35" s="99">
        <f t="shared" si="2"/>
        <v>4.219233</v>
      </c>
      <c r="F35" s="99">
        <v>39.8</v>
      </c>
      <c r="G35" s="99">
        <v>3.02</v>
      </c>
      <c r="H35" s="98">
        <v>0.09</v>
      </c>
      <c r="I35" s="99">
        <v>21.1</v>
      </c>
      <c r="J35" s="100">
        <v>80.71511458333333</v>
      </c>
      <c r="K35" s="100">
        <f t="shared" si="1"/>
        <v>167.9254734</v>
      </c>
    </row>
    <row r="36" spans="1:11" ht="12.75">
      <c r="A36" s="113" t="s">
        <v>1364</v>
      </c>
      <c r="B36" s="95">
        <v>38140</v>
      </c>
      <c r="C36" s="96">
        <v>0.49652777777777773</v>
      </c>
      <c r="D36" s="97">
        <v>175</v>
      </c>
      <c r="E36" s="99">
        <f t="shared" si="2"/>
        <v>4.955475</v>
      </c>
      <c r="F36" s="99">
        <v>35.7</v>
      </c>
      <c r="G36" s="99">
        <v>2.9</v>
      </c>
      <c r="H36" s="98">
        <v>0.08</v>
      </c>
      <c r="I36" s="99">
        <v>19.2</v>
      </c>
      <c r="J36" s="100">
        <v>76.90180208333332</v>
      </c>
      <c r="K36" s="100">
        <f t="shared" si="1"/>
        <v>176.9104575</v>
      </c>
    </row>
    <row r="37" spans="1:11" ht="12.75">
      <c r="A37" s="113" t="s">
        <v>1365</v>
      </c>
      <c r="B37" s="95">
        <v>38155</v>
      </c>
      <c r="C37" s="96" t="s">
        <v>1549</v>
      </c>
      <c r="D37" s="97">
        <v>133</v>
      </c>
      <c r="E37" s="99">
        <f t="shared" si="2"/>
        <v>3.766161</v>
      </c>
      <c r="F37" s="99">
        <v>41.4</v>
      </c>
      <c r="G37" s="99">
        <v>3.42</v>
      </c>
      <c r="H37" s="98">
        <v>0.1</v>
      </c>
      <c r="I37" s="99">
        <v>19.1</v>
      </c>
      <c r="J37" s="100">
        <v>92.15505208333333</v>
      </c>
      <c r="K37" s="100">
        <f t="shared" si="1"/>
        <v>155.9190654</v>
      </c>
    </row>
    <row r="38" spans="1:11" ht="12.75">
      <c r="A38" s="113" t="s">
        <v>1366</v>
      </c>
      <c r="B38" s="95">
        <v>38166</v>
      </c>
      <c r="C38" s="96">
        <v>0.2965277777777778</v>
      </c>
      <c r="D38" s="97">
        <v>148</v>
      </c>
      <c r="E38" s="99">
        <f t="shared" si="2"/>
        <v>4.190916</v>
      </c>
      <c r="F38" s="99">
        <v>44.7</v>
      </c>
      <c r="G38" s="99">
        <v>3.54</v>
      </c>
      <c r="H38" s="98">
        <v>0.1</v>
      </c>
      <c r="I38" s="99">
        <v>20.8</v>
      </c>
      <c r="J38" s="100">
        <v>96.286140625</v>
      </c>
      <c r="K38" s="100">
        <f t="shared" si="1"/>
        <v>187.3339452</v>
      </c>
    </row>
    <row r="39" spans="1:11" ht="12.75">
      <c r="A39" s="113" t="s">
        <v>1367</v>
      </c>
      <c r="B39" s="95">
        <v>38180</v>
      </c>
      <c r="C39" s="96">
        <v>0.4895833333333333</v>
      </c>
      <c r="D39" s="97">
        <v>103</v>
      </c>
      <c r="E39" s="99">
        <f t="shared" si="2"/>
        <v>2.916651</v>
      </c>
      <c r="F39" s="99">
        <v>45.4</v>
      </c>
      <c r="G39" s="99">
        <v>4.03</v>
      </c>
      <c r="H39" s="98">
        <v>0.11</v>
      </c>
      <c r="I39" s="99">
        <v>18.9</v>
      </c>
      <c r="J39" s="100">
        <v>112.81049479166666</v>
      </c>
      <c r="K39" s="100">
        <f t="shared" si="1"/>
        <v>132.4159554</v>
      </c>
    </row>
    <row r="40" spans="1:11" ht="12.75">
      <c r="A40" s="113" t="s">
        <v>1368</v>
      </c>
      <c r="B40" s="95">
        <v>38186</v>
      </c>
      <c r="C40" s="96">
        <v>0.44305555555555554</v>
      </c>
      <c r="D40" s="97">
        <v>99</v>
      </c>
      <c r="E40" s="99">
        <f t="shared" si="2"/>
        <v>2.8033829999999997</v>
      </c>
      <c r="F40" s="99">
        <v>50.9</v>
      </c>
      <c r="G40" s="99">
        <v>4.22</v>
      </c>
      <c r="H40" s="98">
        <v>0.13</v>
      </c>
      <c r="I40" s="99">
        <v>20.4</v>
      </c>
      <c r="J40" s="100">
        <v>117.89491145833335</v>
      </c>
      <c r="K40" s="100">
        <f t="shared" si="1"/>
        <v>142.6921947</v>
      </c>
    </row>
    <row r="41" spans="1:11" ht="12.75">
      <c r="A41" s="113" t="s">
        <v>1369</v>
      </c>
      <c r="B41" s="95">
        <v>38210</v>
      </c>
      <c r="C41" s="96">
        <v>0.5201388888888888</v>
      </c>
      <c r="D41" s="97">
        <v>85</v>
      </c>
      <c r="E41" s="99">
        <f t="shared" si="2"/>
        <v>2.406945</v>
      </c>
      <c r="F41" s="99">
        <v>52.7</v>
      </c>
      <c r="G41" s="99">
        <v>4.37</v>
      </c>
      <c r="H41" s="98">
        <v>0.13</v>
      </c>
      <c r="I41" s="99">
        <v>19.9</v>
      </c>
      <c r="J41" s="100">
        <v>119.48379166666668</v>
      </c>
      <c r="K41" s="100">
        <f t="shared" si="1"/>
        <v>126.8460015</v>
      </c>
    </row>
    <row r="42" spans="1:11" ht="12.75">
      <c r="A42" s="113" t="s">
        <v>1370</v>
      </c>
      <c r="B42" s="95">
        <v>38222</v>
      </c>
      <c r="C42" s="96">
        <v>0.4930555555555556</v>
      </c>
      <c r="D42" s="97">
        <v>110</v>
      </c>
      <c r="E42" s="99">
        <f t="shared" si="2"/>
        <v>3.11487</v>
      </c>
      <c r="F42" s="99">
        <v>61.6</v>
      </c>
      <c r="G42" s="99">
        <v>4.26</v>
      </c>
      <c r="H42" s="98">
        <v>0.15</v>
      </c>
      <c r="I42" s="99">
        <v>24.7</v>
      </c>
      <c r="J42" s="100">
        <v>111.22161458333333</v>
      </c>
      <c r="K42" s="100">
        <f t="shared" si="1"/>
        <v>191.875992</v>
      </c>
    </row>
    <row r="43" spans="1:11" ht="12.75">
      <c r="A43" s="113" t="s">
        <v>1371</v>
      </c>
      <c r="B43" s="95">
        <v>38240</v>
      </c>
      <c r="C43" s="96">
        <v>0.46388888888888885</v>
      </c>
      <c r="D43" s="97">
        <v>81</v>
      </c>
      <c r="E43" s="99">
        <f t="shared" si="2"/>
        <v>2.2936769999999997</v>
      </c>
      <c r="F43" s="99">
        <v>57.7</v>
      </c>
      <c r="G43" s="99">
        <v>4.43</v>
      </c>
      <c r="H43" s="98">
        <v>0.14</v>
      </c>
      <c r="I43" s="99">
        <v>22.5</v>
      </c>
      <c r="J43" s="100">
        <v>123.93265625</v>
      </c>
      <c r="K43" s="100">
        <f t="shared" si="1"/>
        <v>132.3451629</v>
      </c>
    </row>
    <row r="44" spans="1:11" ht="12.75">
      <c r="A44" s="113" t="s">
        <v>1372</v>
      </c>
      <c r="B44" s="95">
        <v>38250</v>
      </c>
      <c r="C44" s="96">
        <v>0.4826388888888889</v>
      </c>
      <c r="D44" s="97">
        <v>143</v>
      </c>
      <c r="E44" s="99">
        <f t="shared" si="2"/>
        <v>4.049331</v>
      </c>
      <c r="F44" s="99">
        <v>71.2</v>
      </c>
      <c r="G44" s="99">
        <v>4.05</v>
      </c>
      <c r="H44" s="98">
        <v>0.17</v>
      </c>
      <c r="I44" s="99">
        <v>33.3</v>
      </c>
      <c r="J44" s="100">
        <v>99.146125</v>
      </c>
      <c r="K44" s="100">
        <f t="shared" si="1"/>
        <v>288.3123672</v>
      </c>
    </row>
    <row r="45" spans="1:11" ht="12.75">
      <c r="A45" s="82" t="s">
        <v>973</v>
      </c>
      <c r="B45" s="95"/>
      <c r="J45" s="100"/>
      <c r="K45" s="100"/>
    </row>
    <row r="46" spans="1:19" ht="14.25" customHeight="1">
      <c r="A46" s="113" t="s">
        <v>736</v>
      </c>
      <c r="B46" s="95">
        <v>38264</v>
      </c>
      <c r="C46" s="96">
        <v>0.3729166666666666</v>
      </c>
      <c r="D46" s="97">
        <v>91</v>
      </c>
      <c r="E46" s="99">
        <f aca="true" t="shared" si="3" ref="E46:E109">D46*0.02831685</f>
        <v>2.5768333500000002</v>
      </c>
      <c r="F46" s="105">
        <v>52.4</v>
      </c>
      <c r="G46" s="99">
        <v>4.33</v>
      </c>
      <c r="H46" s="98">
        <v>0.13</v>
      </c>
      <c r="I46" s="99">
        <v>24.2</v>
      </c>
      <c r="J46" s="100">
        <v>124.88598437499999</v>
      </c>
      <c r="K46" s="100">
        <f t="shared" si="1"/>
        <v>135.02606754</v>
      </c>
      <c r="L46" s="71"/>
      <c r="M46" s="6"/>
      <c r="N46" s="26"/>
      <c r="O46" s="3"/>
      <c r="P46" s="3"/>
      <c r="Q46" s="3"/>
      <c r="R46" s="3"/>
      <c r="S46" s="10"/>
    </row>
    <row r="47" spans="1:19" ht="14.25" customHeight="1">
      <c r="A47" s="113" t="s">
        <v>737</v>
      </c>
      <c r="B47" s="95">
        <v>38281</v>
      </c>
      <c r="C47" s="96">
        <v>0.4444444444444444</v>
      </c>
      <c r="D47" s="97">
        <v>121</v>
      </c>
      <c r="E47" s="99">
        <f t="shared" si="3"/>
        <v>3.42633885</v>
      </c>
      <c r="F47" s="105">
        <v>64.9</v>
      </c>
      <c r="G47" s="99">
        <v>4.28</v>
      </c>
      <c r="H47" s="98">
        <v>0.15</v>
      </c>
      <c r="I47" s="99">
        <v>30.5</v>
      </c>
      <c r="J47" s="100">
        <v>117.25935937500002</v>
      </c>
      <c r="K47" s="100">
        <f t="shared" si="1"/>
        <v>222.369391365</v>
      </c>
      <c r="L47" s="71"/>
      <c r="M47" s="6"/>
      <c r="N47" s="26"/>
      <c r="O47" s="3"/>
      <c r="P47" s="3"/>
      <c r="Q47" s="3"/>
      <c r="R47" s="3"/>
      <c r="S47" s="10"/>
    </row>
    <row r="48" spans="1:19" ht="14.25" customHeight="1">
      <c r="A48" s="113" t="s">
        <v>738</v>
      </c>
      <c r="B48" s="95">
        <v>38293</v>
      </c>
      <c r="C48" s="96">
        <v>0.5527777777777778</v>
      </c>
      <c r="D48" s="97">
        <v>97</v>
      </c>
      <c r="E48" s="99">
        <f t="shared" si="3"/>
        <v>2.74673445</v>
      </c>
      <c r="F48" s="105">
        <v>57</v>
      </c>
      <c r="G48" s="99">
        <v>4.35</v>
      </c>
      <c r="H48" s="98">
        <v>0.14</v>
      </c>
      <c r="I48" s="99">
        <v>26.9</v>
      </c>
      <c r="J48" s="100">
        <v>127.11041666666667</v>
      </c>
      <c r="K48" s="100">
        <f t="shared" si="1"/>
        <v>156.56386365</v>
      </c>
      <c r="L48" s="71"/>
      <c r="M48" s="6"/>
      <c r="N48" s="26"/>
      <c r="O48" s="3"/>
      <c r="P48" s="3"/>
      <c r="Q48" s="3"/>
      <c r="R48" s="3"/>
      <c r="S48" s="10"/>
    </row>
    <row r="49" spans="1:19" ht="14.25" customHeight="1">
      <c r="A49" s="113" t="s">
        <v>739</v>
      </c>
      <c r="B49" s="95">
        <v>38309</v>
      </c>
      <c r="C49" s="96">
        <v>0.425</v>
      </c>
      <c r="D49" s="97">
        <v>91</v>
      </c>
      <c r="E49" s="99">
        <f t="shared" si="3"/>
        <v>2.5768333500000002</v>
      </c>
      <c r="F49" s="105">
        <v>65.2</v>
      </c>
      <c r="G49" s="99">
        <v>4.4</v>
      </c>
      <c r="H49" s="98">
        <v>0.16</v>
      </c>
      <c r="I49" s="99">
        <v>28.3</v>
      </c>
      <c r="J49" s="100">
        <v>127.11041666666667</v>
      </c>
      <c r="K49" s="100">
        <f t="shared" si="1"/>
        <v>168.00953442000002</v>
      </c>
      <c r="L49" s="71"/>
      <c r="M49" s="6"/>
      <c r="N49" s="26"/>
      <c r="O49" s="3"/>
      <c r="P49" s="3"/>
      <c r="Q49" s="3"/>
      <c r="R49" s="3"/>
      <c r="S49" s="10"/>
    </row>
    <row r="50" spans="1:19" ht="14.25" customHeight="1">
      <c r="A50" s="113" t="s">
        <v>740</v>
      </c>
      <c r="B50" s="95">
        <v>38321</v>
      </c>
      <c r="C50" s="96" t="s">
        <v>1549</v>
      </c>
      <c r="D50" s="97">
        <v>93</v>
      </c>
      <c r="E50" s="99">
        <f t="shared" si="3"/>
        <v>2.63346705</v>
      </c>
      <c r="F50" s="105">
        <v>70</v>
      </c>
      <c r="G50" s="99">
        <v>4.5</v>
      </c>
      <c r="H50" s="98">
        <v>0.18</v>
      </c>
      <c r="I50" s="99">
        <v>30.8</v>
      </c>
      <c r="J50" s="100">
        <v>130.60595312499998</v>
      </c>
      <c r="K50" s="100">
        <f t="shared" si="1"/>
        <v>184.3426935</v>
      </c>
      <c r="L50" s="71"/>
      <c r="M50" s="1"/>
      <c r="N50" s="26"/>
      <c r="O50" s="3"/>
      <c r="P50" s="3"/>
      <c r="Q50" s="3"/>
      <c r="R50" s="3"/>
      <c r="S50" s="10"/>
    </row>
    <row r="51" spans="1:19" ht="14.25" customHeight="1">
      <c r="A51" s="113" t="s">
        <v>741</v>
      </c>
      <c r="B51" s="95">
        <v>38334</v>
      </c>
      <c r="C51" s="96" t="s">
        <v>1549</v>
      </c>
      <c r="D51" s="97">
        <v>85</v>
      </c>
      <c r="E51" s="99">
        <f t="shared" si="3"/>
        <v>2.40693225</v>
      </c>
      <c r="F51" s="105">
        <v>66.2</v>
      </c>
      <c r="G51" s="99">
        <v>4.51</v>
      </c>
      <c r="H51" s="98">
        <v>0.16</v>
      </c>
      <c r="I51" s="99">
        <v>29.4</v>
      </c>
      <c r="J51" s="100">
        <v>134.73704166666667</v>
      </c>
      <c r="K51" s="100">
        <f t="shared" si="1"/>
        <v>159.33891495</v>
      </c>
      <c r="L51" s="71"/>
      <c r="M51" s="1"/>
      <c r="N51" s="26"/>
      <c r="O51" s="3"/>
      <c r="P51" s="3"/>
      <c r="Q51" s="3"/>
      <c r="R51" s="3"/>
      <c r="S51" s="10"/>
    </row>
    <row r="52" spans="1:19" ht="15" customHeight="1">
      <c r="A52" s="113" t="s">
        <v>742</v>
      </c>
      <c r="B52" s="95">
        <v>38363</v>
      </c>
      <c r="C52" s="96">
        <v>0.6666666666666666</v>
      </c>
      <c r="D52" s="97">
        <v>97</v>
      </c>
      <c r="E52" s="99">
        <f t="shared" si="3"/>
        <v>2.74673445</v>
      </c>
      <c r="F52" s="105">
        <v>73.8</v>
      </c>
      <c r="G52" s="99">
        <v>4.48</v>
      </c>
      <c r="H52" s="98">
        <v>0.18</v>
      </c>
      <c r="I52" s="99">
        <v>32.7</v>
      </c>
      <c r="J52" s="100">
        <v>124.56820833333332</v>
      </c>
      <c r="K52" s="100">
        <f t="shared" si="1"/>
        <v>202.70900240999998</v>
      </c>
      <c r="L52" s="71"/>
      <c r="M52" s="6"/>
      <c r="N52" s="26"/>
      <c r="O52" s="3"/>
      <c r="P52" s="3"/>
      <c r="Q52" s="3"/>
      <c r="R52" s="3"/>
      <c r="S52" s="10"/>
    </row>
    <row r="53" spans="1:19" ht="15" customHeight="1">
      <c r="A53" s="113" t="s">
        <v>743</v>
      </c>
      <c r="B53" s="95" t="str">
        <f>MID(A53,5,2)&amp;"/"&amp;MID(A53,7,2)&amp;"/"&amp;MID(A53,9,2)</f>
        <v>02/07/05</v>
      </c>
      <c r="C53" s="96" t="s">
        <v>1549</v>
      </c>
      <c r="D53" s="97">
        <v>89</v>
      </c>
      <c r="E53" s="99">
        <f t="shared" si="3"/>
        <v>2.52019965</v>
      </c>
      <c r="F53" s="105">
        <v>78.1</v>
      </c>
      <c r="G53" s="99">
        <v>4.61</v>
      </c>
      <c r="H53" s="98">
        <v>0.2</v>
      </c>
      <c r="I53" s="99">
        <v>33.1</v>
      </c>
      <c r="J53" s="100">
        <v>132.6714973958333</v>
      </c>
      <c r="K53" s="100">
        <f t="shared" si="1"/>
        <v>196.82759266499997</v>
      </c>
      <c r="L53" s="71"/>
      <c r="M53" s="6"/>
      <c r="N53" s="26"/>
      <c r="O53" s="3"/>
      <c r="P53" s="3"/>
      <c r="Q53" s="3"/>
      <c r="R53" s="3"/>
      <c r="S53" s="10"/>
    </row>
    <row r="54" spans="1:19" ht="15" customHeight="1">
      <c r="A54" s="113" t="s">
        <v>744</v>
      </c>
      <c r="B54" s="95" t="str">
        <f aca="true" t="shared" si="4" ref="B54:B73">MID(A54,5,2)&amp;"/"&amp;MID(A54,7,2)&amp;"/"&amp;MID(A54,9,2)</f>
        <v>03/11/05</v>
      </c>
      <c r="C54" s="96" t="s">
        <v>1549</v>
      </c>
      <c r="D54" s="97">
        <v>83</v>
      </c>
      <c r="E54" s="99">
        <f t="shared" si="3"/>
        <v>2.35029855</v>
      </c>
      <c r="F54" s="105">
        <v>73.4</v>
      </c>
      <c r="G54" s="99">
        <v>4.67</v>
      </c>
      <c r="H54" s="98">
        <v>0.18</v>
      </c>
      <c r="I54" s="99">
        <v>30.4</v>
      </c>
      <c r="J54" s="100">
        <v>139.18590625</v>
      </c>
      <c r="K54" s="100">
        <f t="shared" si="1"/>
        <v>172.51191357000002</v>
      </c>
      <c r="L54" s="71"/>
      <c r="M54" s="6"/>
      <c r="N54" s="26"/>
      <c r="O54" s="3"/>
      <c r="P54" s="3"/>
      <c r="Q54" s="3"/>
      <c r="R54" s="3"/>
      <c r="S54" s="10"/>
    </row>
    <row r="55" spans="1:19" ht="15" customHeight="1">
      <c r="A55" s="113" t="s">
        <v>745</v>
      </c>
      <c r="B55" s="95" t="str">
        <f t="shared" si="4"/>
        <v>03/23/05</v>
      </c>
      <c r="C55" s="96" t="s">
        <v>1549</v>
      </c>
      <c r="D55" s="97">
        <v>85</v>
      </c>
      <c r="E55" s="99">
        <f t="shared" si="3"/>
        <v>2.40693225</v>
      </c>
      <c r="F55" s="105">
        <v>77</v>
      </c>
      <c r="G55" s="99">
        <v>4.63</v>
      </c>
      <c r="H55" s="98">
        <v>0.19</v>
      </c>
      <c r="I55" s="99">
        <v>32.1</v>
      </c>
      <c r="J55" s="100">
        <v>135.69036979166668</v>
      </c>
      <c r="K55" s="100">
        <f t="shared" si="1"/>
        <v>185.33378325</v>
      </c>
      <c r="L55" s="71"/>
      <c r="M55" s="6"/>
      <c r="N55" s="26"/>
      <c r="O55" s="3"/>
      <c r="P55" s="3"/>
      <c r="Q55" s="3"/>
      <c r="R55" s="3"/>
      <c r="S55" s="10"/>
    </row>
    <row r="56" spans="1:19" ht="15" customHeight="1">
      <c r="A56" s="113" t="s">
        <v>746</v>
      </c>
      <c r="B56" s="95" t="str">
        <f t="shared" si="4"/>
        <v>04/05/05</v>
      </c>
      <c r="C56" s="96" t="s">
        <v>1549</v>
      </c>
      <c r="D56" s="97">
        <v>89</v>
      </c>
      <c r="E56" s="99">
        <f t="shared" si="3"/>
        <v>2.52019965</v>
      </c>
      <c r="F56" s="105">
        <v>76.7</v>
      </c>
      <c r="G56" s="99">
        <v>4.56</v>
      </c>
      <c r="H56" s="98">
        <v>0.19</v>
      </c>
      <c r="I56" s="99">
        <v>33.7</v>
      </c>
      <c r="J56" s="100">
        <v>131.87705729166666</v>
      </c>
      <c r="K56" s="100">
        <f t="shared" si="1"/>
        <v>193.299313155</v>
      </c>
      <c r="L56" s="71"/>
      <c r="M56" s="6"/>
      <c r="N56" s="26"/>
      <c r="O56" s="3"/>
      <c r="P56" s="3"/>
      <c r="Q56" s="3"/>
      <c r="R56" s="3"/>
      <c r="S56" s="10"/>
    </row>
    <row r="57" spans="1:19" ht="15" customHeight="1">
      <c r="A57" s="113" t="s">
        <v>747</v>
      </c>
      <c r="B57" s="95" t="str">
        <f t="shared" si="4"/>
        <v>04/18/05</v>
      </c>
      <c r="C57" s="96" t="s">
        <v>1549</v>
      </c>
      <c r="D57" s="97">
        <v>141</v>
      </c>
      <c r="E57" s="99">
        <f t="shared" si="3"/>
        <v>3.9926758500000004</v>
      </c>
      <c r="F57" s="105">
        <v>50.5</v>
      </c>
      <c r="G57" s="99">
        <v>3.61</v>
      </c>
      <c r="H57" s="98">
        <v>0.11</v>
      </c>
      <c r="I57" s="99">
        <v>25.1</v>
      </c>
      <c r="J57" s="100">
        <v>102.6416614583333</v>
      </c>
      <c r="K57" s="100">
        <f t="shared" si="1"/>
        <v>201.630130425</v>
      </c>
      <c r="L57" s="71"/>
      <c r="M57" s="6"/>
      <c r="N57" s="26"/>
      <c r="O57" s="3"/>
      <c r="P57" s="3"/>
      <c r="Q57" s="3"/>
      <c r="R57" s="3"/>
      <c r="S57" s="10"/>
    </row>
    <row r="58" spans="1:19" ht="15" customHeight="1">
      <c r="A58" s="113" t="s">
        <v>748</v>
      </c>
      <c r="B58" s="95" t="str">
        <f t="shared" si="4"/>
        <v>05/05/05</v>
      </c>
      <c r="C58" s="96">
        <v>0.4791666666666667</v>
      </c>
      <c r="D58" s="97">
        <v>167</v>
      </c>
      <c r="E58" s="99">
        <f t="shared" si="3"/>
        <v>4.72891395</v>
      </c>
      <c r="F58" s="105">
        <v>32.6</v>
      </c>
      <c r="G58" s="99">
        <v>2.78</v>
      </c>
      <c r="H58" s="98">
        <v>0.07</v>
      </c>
      <c r="I58" s="99">
        <v>18.8</v>
      </c>
      <c r="J58" s="100">
        <v>81.76377552083333</v>
      </c>
      <c r="K58" s="100">
        <f t="shared" si="1"/>
        <v>154.16259477</v>
      </c>
      <c r="L58" s="71"/>
      <c r="M58" s="6"/>
      <c r="N58" s="26"/>
      <c r="O58" s="3"/>
      <c r="P58" s="3"/>
      <c r="Q58" s="3"/>
      <c r="R58" s="3"/>
      <c r="S58" s="10"/>
    </row>
    <row r="59" spans="1:19" ht="15" customHeight="1">
      <c r="A59" s="113" t="s">
        <v>749</v>
      </c>
      <c r="B59" s="95" t="str">
        <f t="shared" si="4"/>
        <v>05/17/05</v>
      </c>
      <c r="C59" s="96">
        <v>0.36319444444444443</v>
      </c>
      <c r="D59" s="97">
        <v>317</v>
      </c>
      <c r="E59" s="99">
        <f t="shared" si="3"/>
        <v>8.976441450000001</v>
      </c>
      <c r="F59" s="105">
        <v>21.6</v>
      </c>
      <c r="G59" s="99">
        <v>1.99</v>
      </c>
      <c r="H59" s="98">
        <v>0.04</v>
      </c>
      <c r="I59" s="99">
        <v>14.9</v>
      </c>
      <c r="J59" s="100">
        <v>55.00703281249999</v>
      </c>
      <c r="K59" s="100">
        <f t="shared" si="1"/>
        <v>193.89113532000005</v>
      </c>
      <c r="L59" s="71"/>
      <c r="M59" s="6"/>
      <c r="N59" s="26"/>
      <c r="O59" s="3"/>
      <c r="P59" s="3"/>
      <c r="Q59" s="3"/>
      <c r="R59" s="3"/>
      <c r="S59" s="10"/>
    </row>
    <row r="60" spans="1:19" ht="15" customHeight="1">
      <c r="A60" s="113" t="s">
        <v>750</v>
      </c>
      <c r="B60" s="95" t="str">
        <f t="shared" si="4"/>
        <v>05/31/05</v>
      </c>
      <c r="C60" s="96">
        <v>0.37152777777777773</v>
      </c>
      <c r="D60" s="97">
        <v>136</v>
      </c>
      <c r="E60" s="99">
        <f t="shared" si="3"/>
        <v>3.8510916</v>
      </c>
      <c r="F60" s="105">
        <v>30.4</v>
      </c>
      <c r="G60" s="99">
        <v>2.81</v>
      </c>
      <c r="H60" s="98">
        <v>0.08</v>
      </c>
      <c r="I60" s="99">
        <v>15.2</v>
      </c>
      <c r="J60" s="100">
        <v>84.3695390625</v>
      </c>
      <c r="K60" s="100">
        <f t="shared" si="1"/>
        <v>117.07318464</v>
      </c>
      <c r="L60" s="71"/>
      <c r="M60" s="6"/>
      <c r="N60" s="26"/>
      <c r="O60" s="3"/>
      <c r="P60" s="3"/>
      <c r="Q60" s="3"/>
      <c r="R60" s="3"/>
      <c r="S60" s="10"/>
    </row>
    <row r="61" spans="1:19" ht="15" customHeight="1">
      <c r="A61" s="113" t="s">
        <v>751</v>
      </c>
      <c r="B61" s="95" t="str">
        <f t="shared" si="4"/>
        <v>06/15/05</v>
      </c>
      <c r="C61" s="96">
        <v>0.513888888888889</v>
      </c>
      <c r="D61" s="97">
        <v>167</v>
      </c>
      <c r="E61" s="99">
        <f t="shared" si="3"/>
        <v>4.72891395</v>
      </c>
      <c r="F61" s="105">
        <v>32</v>
      </c>
      <c r="G61" s="99">
        <v>2.75</v>
      </c>
      <c r="H61" s="98">
        <v>0.14</v>
      </c>
      <c r="I61" s="99">
        <v>17</v>
      </c>
      <c r="J61" s="100">
        <v>82.2722171875</v>
      </c>
      <c r="K61" s="100">
        <f t="shared" si="1"/>
        <v>151.3252464</v>
      </c>
      <c r="L61" s="71"/>
      <c r="M61" s="6"/>
      <c r="N61" s="26"/>
      <c r="O61" s="3"/>
      <c r="P61" s="3"/>
      <c r="Q61" s="3"/>
      <c r="R61" s="3"/>
      <c r="S61" s="10"/>
    </row>
    <row r="62" spans="1:19" ht="15" customHeight="1">
      <c r="A62" s="113" t="s">
        <v>752</v>
      </c>
      <c r="B62" s="95" t="str">
        <f t="shared" si="4"/>
        <v>06/29/05</v>
      </c>
      <c r="C62" s="96">
        <v>0.3972222222222222</v>
      </c>
      <c r="D62" s="97">
        <v>156</v>
      </c>
      <c r="E62" s="99">
        <f t="shared" si="3"/>
        <v>4.4174286</v>
      </c>
      <c r="F62" s="105">
        <v>36.9</v>
      </c>
      <c r="G62" s="99">
        <v>3.16</v>
      </c>
      <c r="H62" s="98">
        <v>0.09</v>
      </c>
      <c r="I62" s="99">
        <v>17.6</v>
      </c>
      <c r="J62" s="100">
        <v>88.97729166666667</v>
      </c>
      <c r="K62" s="100">
        <f t="shared" si="1"/>
        <v>163.00311534</v>
      </c>
      <c r="L62" s="71"/>
      <c r="M62" s="6"/>
      <c r="N62" s="26"/>
      <c r="O62" s="3"/>
      <c r="P62" s="3"/>
      <c r="Q62" s="3"/>
      <c r="R62" s="3"/>
      <c r="S62" s="10"/>
    </row>
    <row r="63" spans="1:19" ht="15" customHeight="1">
      <c r="A63" s="113" t="s">
        <v>753</v>
      </c>
      <c r="B63" s="95" t="str">
        <f t="shared" si="4"/>
        <v>07/11/05</v>
      </c>
      <c r="C63" s="96">
        <v>0.3652777777777778</v>
      </c>
      <c r="D63" s="97">
        <v>125</v>
      </c>
      <c r="E63" s="99">
        <f t="shared" si="3"/>
        <v>3.5396062500000003</v>
      </c>
      <c r="F63" s="105">
        <v>63.1</v>
      </c>
      <c r="G63" s="99">
        <v>3.5</v>
      </c>
      <c r="H63" s="98">
        <v>0.16</v>
      </c>
      <c r="I63" s="99">
        <v>29.2</v>
      </c>
      <c r="J63" s="100">
        <v>81.82733072916668</v>
      </c>
      <c r="K63" s="100">
        <f t="shared" si="1"/>
        <v>223.349154375</v>
      </c>
      <c r="L63" s="71"/>
      <c r="M63" s="6"/>
      <c r="N63" s="26"/>
      <c r="O63" s="3"/>
      <c r="P63" s="3"/>
      <c r="Q63" s="3"/>
      <c r="R63" s="3"/>
      <c r="S63" s="10"/>
    </row>
    <row r="64" spans="1:19" ht="15" customHeight="1">
      <c r="A64" s="113" t="s">
        <v>754</v>
      </c>
      <c r="B64" s="95" t="str">
        <f t="shared" si="4"/>
        <v>08/09/05</v>
      </c>
      <c r="C64" s="96" t="s">
        <v>1549</v>
      </c>
      <c r="D64" s="97">
        <v>97</v>
      </c>
      <c r="E64" s="99">
        <f t="shared" si="3"/>
        <v>2.74673445</v>
      </c>
      <c r="F64" s="105">
        <v>47.6</v>
      </c>
      <c r="G64" s="99">
        <v>4.14</v>
      </c>
      <c r="H64" s="98">
        <v>0.15</v>
      </c>
      <c r="I64" s="99">
        <v>18.5</v>
      </c>
      <c r="J64" s="100">
        <v>117.57713541666668</v>
      </c>
      <c r="K64" s="100">
        <f t="shared" si="1"/>
        <v>130.74455982</v>
      </c>
      <c r="L64" s="71"/>
      <c r="M64" s="6"/>
      <c r="N64" s="26"/>
      <c r="O64" s="3"/>
      <c r="P64" s="3"/>
      <c r="Q64" s="3"/>
      <c r="R64" s="3"/>
      <c r="S64" s="10"/>
    </row>
    <row r="65" spans="1:19" ht="15" customHeight="1">
      <c r="A65" s="113" t="s">
        <v>755</v>
      </c>
      <c r="B65" s="95" t="str">
        <f t="shared" si="4"/>
        <v>08/22/05</v>
      </c>
      <c r="C65" s="96">
        <v>0.6194444444444445</v>
      </c>
      <c r="D65" s="97">
        <v>99</v>
      </c>
      <c r="E65" s="99">
        <f t="shared" si="3"/>
        <v>2.8033681500000003</v>
      </c>
      <c r="F65" s="105">
        <v>52.1</v>
      </c>
      <c r="G65" s="99">
        <v>4.16</v>
      </c>
      <c r="H65" s="98">
        <v>0.13</v>
      </c>
      <c r="I65" s="99">
        <v>21.6</v>
      </c>
      <c r="J65" s="100">
        <v>118.27624270833334</v>
      </c>
      <c r="K65" s="100">
        <f t="shared" si="1"/>
        <v>146.05548061500002</v>
      </c>
      <c r="L65" s="71"/>
      <c r="M65" s="6"/>
      <c r="N65" s="26"/>
      <c r="O65" s="3"/>
      <c r="P65" s="3"/>
      <c r="Q65" s="3"/>
      <c r="R65" s="3"/>
      <c r="S65" s="10"/>
    </row>
    <row r="66" spans="1:19" ht="15" customHeight="1">
      <c r="A66" s="113" t="s">
        <v>756</v>
      </c>
      <c r="B66" s="95" t="str">
        <f t="shared" si="4"/>
        <v>09/06/05</v>
      </c>
      <c r="C66" s="96">
        <v>0.4472222222222222</v>
      </c>
      <c r="D66" s="97">
        <v>89</v>
      </c>
      <c r="E66" s="99">
        <f t="shared" si="3"/>
        <v>2.52019965</v>
      </c>
      <c r="F66" s="105">
        <v>51.3</v>
      </c>
      <c r="G66" s="99">
        <v>4.28</v>
      </c>
      <c r="H66" s="98">
        <v>0.13</v>
      </c>
      <c r="I66" s="99">
        <v>19.7</v>
      </c>
      <c r="J66" s="100">
        <v>126.41130937499999</v>
      </c>
      <c r="K66" s="100">
        <f t="shared" si="1"/>
        <v>129.286242045</v>
      </c>
      <c r="L66" s="71"/>
      <c r="M66" s="6"/>
      <c r="N66" s="26"/>
      <c r="O66" s="3"/>
      <c r="P66" s="3"/>
      <c r="Q66" s="3"/>
      <c r="R66" s="3"/>
      <c r="S66" s="10"/>
    </row>
    <row r="67" spans="1:19" ht="15" customHeight="1">
      <c r="A67" s="113" t="s">
        <v>757</v>
      </c>
      <c r="B67" s="95" t="str">
        <f t="shared" si="4"/>
        <v>09/19/05</v>
      </c>
      <c r="C67" s="96">
        <v>0.48819444444444443</v>
      </c>
      <c r="D67" s="97">
        <v>95</v>
      </c>
      <c r="E67" s="99">
        <f t="shared" si="3"/>
        <v>2.69010075</v>
      </c>
      <c r="F67" s="105">
        <v>57.3</v>
      </c>
      <c r="G67" s="99">
        <v>4.24</v>
      </c>
      <c r="H67" s="98">
        <v>0.14</v>
      </c>
      <c r="I67" s="99">
        <v>25.1</v>
      </c>
      <c r="J67" s="100">
        <v>121.1680046875</v>
      </c>
      <c r="K67" s="100">
        <f t="shared" si="1"/>
        <v>154.14277297499999</v>
      </c>
      <c r="L67" s="71"/>
      <c r="M67" s="6"/>
      <c r="N67" s="26"/>
      <c r="O67" s="3"/>
      <c r="P67" s="3"/>
      <c r="Q67" s="3"/>
      <c r="R67" s="3"/>
      <c r="S67" s="10"/>
    </row>
    <row r="68" spans="1:19" ht="15" customHeight="1">
      <c r="A68" s="82" t="s">
        <v>1267</v>
      </c>
      <c r="B68" s="95"/>
      <c r="F68" s="105"/>
      <c r="J68" s="100"/>
      <c r="K68" s="100"/>
      <c r="L68" s="71"/>
      <c r="M68" s="6"/>
      <c r="N68" s="26"/>
      <c r="O68" s="3"/>
      <c r="P68" s="3"/>
      <c r="Q68" s="3"/>
      <c r="R68" s="3"/>
      <c r="S68" s="10"/>
    </row>
    <row r="69" spans="1:19" ht="15" customHeight="1">
      <c r="A69" s="113" t="s">
        <v>758</v>
      </c>
      <c r="B69" s="95" t="str">
        <f t="shared" si="4"/>
        <v>10/06/05</v>
      </c>
      <c r="C69" s="96">
        <v>0.5201388888888888</v>
      </c>
      <c r="D69" s="97">
        <v>98</v>
      </c>
      <c r="E69" s="99">
        <f t="shared" si="3"/>
        <v>2.7750513</v>
      </c>
      <c r="F69" s="105">
        <v>65.9</v>
      </c>
      <c r="G69" s="99">
        <v>4.27</v>
      </c>
      <c r="H69" s="98">
        <v>0.17</v>
      </c>
      <c r="I69" s="99">
        <v>29.8</v>
      </c>
      <c r="J69" s="100">
        <v>118.68935156250001</v>
      </c>
      <c r="K69" s="100">
        <f t="shared" si="1"/>
        <v>182.87588067000002</v>
      </c>
      <c r="L69" s="71"/>
      <c r="M69" s="6"/>
      <c r="N69" s="26"/>
      <c r="O69" s="3"/>
      <c r="P69" s="3"/>
      <c r="Q69" s="3"/>
      <c r="R69" s="3"/>
      <c r="S69" s="10"/>
    </row>
    <row r="70" spans="1:19" ht="15" customHeight="1">
      <c r="A70" s="113" t="s">
        <v>759</v>
      </c>
      <c r="B70" s="95" t="str">
        <f t="shared" si="4"/>
        <v>10/19/05</v>
      </c>
      <c r="C70" s="96">
        <v>0.5576388888888889</v>
      </c>
      <c r="D70" s="97">
        <v>86</v>
      </c>
      <c r="E70" s="99">
        <f t="shared" si="3"/>
        <v>2.4352491</v>
      </c>
      <c r="F70" s="105">
        <v>61.2</v>
      </c>
      <c r="G70" s="99">
        <v>4.3</v>
      </c>
      <c r="H70" s="98">
        <v>0.15</v>
      </c>
      <c r="I70" s="99">
        <v>25</v>
      </c>
      <c r="J70" s="100">
        <v>124.53643072916665</v>
      </c>
      <c r="K70" s="100">
        <f aca="true" t="shared" si="5" ref="K70:K118">E70*F70</f>
        <v>149.03724492</v>
      </c>
      <c r="L70" s="71"/>
      <c r="M70" s="6"/>
      <c r="N70" s="26"/>
      <c r="O70" s="3"/>
      <c r="P70" s="3"/>
      <c r="Q70" s="3"/>
      <c r="R70" s="3"/>
      <c r="S70" s="10"/>
    </row>
    <row r="71" spans="1:19" ht="15" customHeight="1">
      <c r="A71" s="113" t="s">
        <v>760</v>
      </c>
      <c r="B71" s="95" t="str">
        <f t="shared" si="4"/>
        <v>11/15/05</v>
      </c>
      <c r="C71" s="96">
        <v>0.5159722222222222</v>
      </c>
      <c r="D71" s="97">
        <v>89</v>
      </c>
      <c r="E71" s="99">
        <f t="shared" si="3"/>
        <v>2.52019965</v>
      </c>
      <c r="F71" s="105">
        <v>64.8</v>
      </c>
      <c r="G71" s="99">
        <v>4.29</v>
      </c>
      <c r="H71" s="98">
        <v>0.16</v>
      </c>
      <c r="I71" s="99">
        <v>29.5</v>
      </c>
      <c r="J71" s="100">
        <v>132.00416770833334</v>
      </c>
      <c r="K71" s="100">
        <f t="shared" si="5"/>
        <v>163.30893731999998</v>
      </c>
      <c r="L71" s="71"/>
      <c r="M71" s="6"/>
      <c r="N71" s="26"/>
      <c r="O71" s="3"/>
      <c r="P71" s="3"/>
      <c r="Q71" s="3"/>
      <c r="R71" s="3"/>
      <c r="S71" s="10"/>
    </row>
    <row r="72" spans="1:19" ht="15" customHeight="1">
      <c r="A72" s="113" t="s">
        <v>761</v>
      </c>
      <c r="B72" s="95" t="str">
        <f t="shared" si="4"/>
        <v>12/12/05</v>
      </c>
      <c r="C72" s="96">
        <v>0.5201388888888888</v>
      </c>
      <c r="D72" s="97">
        <v>91</v>
      </c>
      <c r="E72" s="99">
        <f t="shared" si="3"/>
        <v>2.5768333500000002</v>
      </c>
      <c r="F72" s="105">
        <v>64.4</v>
      </c>
      <c r="G72" s="99">
        <v>4.37</v>
      </c>
      <c r="H72" s="98">
        <v>0.17</v>
      </c>
      <c r="I72" s="99">
        <v>29.6</v>
      </c>
      <c r="J72" s="100">
        <v>125.52153645833332</v>
      </c>
      <c r="K72" s="100">
        <f t="shared" si="5"/>
        <v>165.94806774000003</v>
      </c>
      <c r="L72" s="71"/>
      <c r="M72" s="6"/>
      <c r="N72" s="26"/>
      <c r="O72" s="3"/>
      <c r="P72" s="3"/>
      <c r="Q72" s="3"/>
      <c r="R72" s="3"/>
      <c r="S72" s="10"/>
    </row>
    <row r="73" spans="1:19" ht="15" customHeight="1">
      <c r="A73" s="113" t="s">
        <v>762</v>
      </c>
      <c r="B73" s="95" t="str">
        <f t="shared" si="4"/>
        <v>01/11/06</v>
      </c>
      <c r="C73" s="96">
        <v>0.6347222222222222</v>
      </c>
      <c r="D73" s="97">
        <v>103</v>
      </c>
      <c r="E73" s="99">
        <f t="shared" si="3"/>
        <v>2.91663555</v>
      </c>
      <c r="F73" s="105">
        <v>65.2</v>
      </c>
      <c r="G73" s="99">
        <v>4.18</v>
      </c>
      <c r="H73" s="98">
        <v>0.17</v>
      </c>
      <c r="I73" s="99">
        <v>30.7</v>
      </c>
      <c r="J73" s="100">
        <v>113.60493489583334</v>
      </c>
      <c r="K73" s="100">
        <f t="shared" si="5"/>
        <v>190.16463786</v>
      </c>
      <c r="L73" s="71"/>
      <c r="M73" s="6"/>
      <c r="N73" s="26"/>
      <c r="O73" s="3"/>
      <c r="P73" s="3"/>
      <c r="Q73" s="3"/>
      <c r="R73" s="3"/>
      <c r="S73" s="10"/>
    </row>
    <row r="74" spans="1:19" ht="15" customHeight="1">
      <c r="A74" s="113" t="s">
        <v>763</v>
      </c>
      <c r="B74" s="95" t="str">
        <f aca="true" t="shared" si="6" ref="B74:B93">MID(A74,5,2)&amp;"/"&amp;MID(A74,7,2)&amp;"/"&amp;RIGHT(A74,2)</f>
        <v>02/07/06</v>
      </c>
      <c r="C74" s="96">
        <v>0.6201388888888889</v>
      </c>
      <c r="D74" s="97">
        <v>89</v>
      </c>
      <c r="E74" s="99">
        <f t="shared" si="3"/>
        <v>2.52019965</v>
      </c>
      <c r="F74" s="105">
        <v>70.1</v>
      </c>
      <c r="G74" s="99">
        <v>4.44</v>
      </c>
      <c r="H74" s="98">
        <v>0.17</v>
      </c>
      <c r="I74" s="99">
        <v>31.9</v>
      </c>
      <c r="J74" s="100">
        <v>129.01707291666668</v>
      </c>
      <c r="K74" s="100">
        <f t="shared" si="5"/>
        <v>176.66599546499998</v>
      </c>
      <c r="L74" s="71"/>
      <c r="M74" s="6"/>
      <c r="N74" s="26"/>
      <c r="O74" s="3"/>
      <c r="P74" s="3"/>
      <c r="Q74" s="3"/>
      <c r="R74" s="3"/>
      <c r="S74" s="10"/>
    </row>
    <row r="75" spans="1:19" ht="15" customHeight="1">
      <c r="A75" s="113" t="s">
        <v>764</v>
      </c>
      <c r="B75" s="95" t="str">
        <f t="shared" si="6"/>
        <v>03/20/06</v>
      </c>
      <c r="C75" s="96">
        <v>0.5520833333333334</v>
      </c>
      <c r="D75" s="97">
        <v>93</v>
      </c>
      <c r="E75" s="99">
        <f t="shared" si="3"/>
        <v>2.63346705</v>
      </c>
      <c r="F75" s="105">
        <v>73.8</v>
      </c>
      <c r="G75" s="99">
        <v>4.52</v>
      </c>
      <c r="H75" s="98">
        <v>0.18</v>
      </c>
      <c r="I75" s="99">
        <v>32.6</v>
      </c>
      <c r="J75" s="100">
        <v>131.87705729166666</v>
      </c>
      <c r="K75" s="100">
        <f t="shared" si="5"/>
        <v>194.34986829</v>
      </c>
      <c r="L75" s="71"/>
      <c r="M75" s="6"/>
      <c r="N75" s="26"/>
      <c r="O75" s="3"/>
      <c r="P75" s="3"/>
      <c r="Q75" s="3"/>
      <c r="R75" s="3"/>
      <c r="S75" s="10"/>
    </row>
    <row r="76" spans="1:19" ht="15" customHeight="1">
      <c r="A76" s="113" t="s">
        <v>765</v>
      </c>
      <c r="B76" s="95" t="str">
        <f t="shared" si="6"/>
        <v>04/19/06</v>
      </c>
      <c r="C76" s="96">
        <v>0.5388888888888889</v>
      </c>
      <c r="D76" s="97">
        <v>161</v>
      </c>
      <c r="E76" s="99">
        <f t="shared" si="3"/>
        <v>4.55901285</v>
      </c>
      <c r="F76" s="105">
        <v>51.3</v>
      </c>
      <c r="G76" s="99">
        <v>3.46</v>
      </c>
      <c r="H76" s="98">
        <v>0.12</v>
      </c>
      <c r="I76" s="99">
        <v>29.4</v>
      </c>
      <c r="J76" s="100">
        <v>102.6416614583333</v>
      </c>
      <c r="K76" s="100">
        <f t="shared" si="5"/>
        <v>233.877359205</v>
      </c>
      <c r="L76" s="71"/>
      <c r="M76" s="6"/>
      <c r="N76" s="26"/>
      <c r="O76" s="3"/>
      <c r="P76" s="3"/>
      <c r="Q76" s="3"/>
      <c r="R76" s="3"/>
      <c r="S76" s="10"/>
    </row>
    <row r="77" spans="1:19" ht="15" customHeight="1">
      <c r="A77" s="113" t="s">
        <v>766</v>
      </c>
      <c r="B77" s="95" t="str">
        <f t="shared" si="6"/>
        <v>05/10/06</v>
      </c>
      <c r="C77" s="96">
        <v>0.6409722222222222</v>
      </c>
      <c r="D77" s="97">
        <v>293</v>
      </c>
      <c r="E77" s="99">
        <f t="shared" si="3"/>
        <v>8.29683705</v>
      </c>
      <c r="F77" s="105">
        <v>24.3</v>
      </c>
      <c r="G77" s="99">
        <v>1.99</v>
      </c>
      <c r="H77" s="98">
        <v>0.06</v>
      </c>
      <c r="I77" s="99">
        <v>16</v>
      </c>
      <c r="J77" s="100">
        <v>57.517463541666665</v>
      </c>
      <c r="K77" s="100">
        <f t="shared" si="5"/>
        <v>201.613140315</v>
      </c>
      <c r="L77" s="71"/>
      <c r="M77" s="6"/>
      <c r="N77" s="26"/>
      <c r="O77" s="3"/>
      <c r="P77" s="3"/>
      <c r="Q77" s="3"/>
      <c r="R77" s="3"/>
      <c r="S77" s="10"/>
    </row>
    <row r="78" spans="1:19" ht="15" customHeight="1">
      <c r="A78" s="113" t="s">
        <v>989</v>
      </c>
      <c r="B78" s="95" t="str">
        <f t="shared" si="6"/>
        <v>05/22/06</v>
      </c>
      <c r="C78" s="96">
        <v>0.59375</v>
      </c>
      <c r="D78" s="97">
        <v>421</v>
      </c>
      <c r="E78" s="99">
        <f t="shared" si="3"/>
        <v>11.921393850000001</v>
      </c>
      <c r="F78" s="105">
        <v>16.3</v>
      </c>
      <c r="G78" s="99">
        <v>1.58</v>
      </c>
      <c r="H78" s="98">
        <v>0.04</v>
      </c>
      <c r="I78" s="99">
        <v>10.1</v>
      </c>
      <c r="J78" s="100">
        <v>44.806421875</v>
      </c>
      <c r="K78" s="100">
        <f t="shared" si="5"/>
        <v>194.31871975500002</v>
      </c>
      <c r="L78" s="71"/>
      <c r="M78" s="6"/>
      <c r="N78" s="26"/>
      <c r="O78" s="3"/>
      <c r="P78" s="3"/>
      <c r="Q78" s="3"/>
      <c r="R78" s="3"/>
      <c r="S78" s="10"/>
    </row>
    <row r="79" spans="1:19" ht="15" customHeight="1">
      <c r="A79" s="113" t="s">
        <v>990</v>
      </c>
      <c r="B79" s="95" t="str">
        <f t="shared" si="6"/>
        <v>05/23/06</v>
      </c>
      <c r="C79" s="96">
        <v>0.41805555555555557</v>
      </c>
      <c r="D79" s="97">
        <v>418</v>
      </c>
      <c r="E79" s="99">
        <f t="shared" si="3"/>
        <v>11.836443300000001</v>
      </c>
      <c r="F79" s="105">
        <v>18.8</v>
      </c>
      <c r="G79" s="99">
        <v>1.68</v>
      </c>
      <c r="H79" s="98">
        <v>0.05</v>
      </c>
      <c r="I79" s="99">
        <v>11.3</v>
      </c>
      <c r="J79" s="100">
        <v>46.39530208333333</v>
      </c>
      <c r="K79" s="100">
        <f t="shared" si="5"/>
        <v>222.52513404</v>
      </c>
      <c r="L79" s="71"/>
      <c r="M79" s="6"/>
      <c r="N79" s="26"/>
      <c r="O79" s="3"/>
      <c r="P79" s="3"/>
      <c r="Q79" s="3"/>
      <c r="R79" s="3"/>
      <c r="S79" s="10"/>
    </row>
    <row r="80" spans="1:19" ht="15" customHeight="1">
      <c r="A80" s="113" t="s">
        <v>991</v>
      </c>
      <c r="B80" s="95" t="str">
        <f t="shared" si="6"/>
        <v>06/02/06</v>
      </c>
      <c r="C80" s="96">
        <v>0.5520833333333334</v>
      </c>
      <c r="D80" s="97">
        <v>219</v>
      </c>
      <c r="E80" s="99">
        <f t="shared" si="3"/>
        <v>6.20139015</v>
      </c>
      <c r="F80" s="105">
        <v>28.3</v>
      </c>
      <c r="G80" s="99">
        <v>2.55</v>
      </c>
      <c r="H80" s="98">
        <v>0.07</v>
      </c>
      <c r="I80" s="99">
        <v>14</v>
      </c>
      <c r="J80" s="100">
        <v>72.4529375</v>
      </c>
      <c r="K80" s="100">
        <f t="shared" si="5"/>
        <v>175.499341245</v>
      </c>
      <c r="L80" s="71"/>
      <c r="M80" s="6"/>
      <c r="N80" s="26"/>
      <c r="O80" s="3"/>
      <c r="P80" s="3"/>
      <c r="Q80" s="3"/>
      <c r="R80" s="3"/>
      <c r="S80" s="10"/>
    </row>
    <row r="81" spans="1:19" ht="15" customHeight="1">
      <c r="A81" s="113" t="s">
        <v>992</v>
      </c>
      <c r="B81" s="95" t="str">
        <f t="shared" si="6"/>
        <v>06/05/06</v>
      </c>
      <c r="C81" s="96">
        <v>0.5354166666666667</v>
      </c>
      <c r="D81" s="97">
        <v>211</v>
      </c>
      <c r="E81" s="99">
        <f t="shared" si="3"/>
        <v>5.97485535</v>
      </c>
      <c r="F81" s="105">
        <v>30.4</v>
      </c>
      <c r="G81" s="99">
        <v>2.72</v>
      </c>
      <c r="H81" s="98">
        <v>0.08</v>
      </c>
      <c r="I81" s="99">
        <v>14.5</v>
      </c>
      <c r="J81" s="100">
        <v>75.312921875</v>
      </c>
      <c r="K81" s="100">
        <f t="shared" si="5"/>
        <v>181.63560264</v>
      </c>
      <c r="L81" s="71"/>
      <c r="M81" s="6"/>
      <c r="N81" s="26"/>
      <c r="O81" s="3"/>
      <c r="P81" s="3"/>
      <c r="Q81" s="3"/>
      <c r="R81" s="3"/>
      <c r="S81" s="10"/>
    </row>
    <row r="82" spans="1:19" ht="15" customHeight="1">
      <c r="A82" s="113" t="s">
        <v>993</v>
      </c>
      <c r="B82" s="95" t="str">
        <f t="shared" si="6"/>
        <v>06/12/06</v>
      </c>
      <c r="C82" s="96">
        <v>0.5569444444444445</v>
      </c>
      <c r="D82" s="97">
        <v>253</v>
      </c>
      <c r="E82" s="99">
        <f t="shared" si="3"/>
        <v>7.16416305</v>
      </c>
      <c r="F82" s="105">
        <v>38.1</v>
      </c>
      <c r="G82" s="99">
        <v>2.75</v>
      </c>
      <c r="H82" s="98">
        <v>0.1</v>
      </c>
      <c r="I82" s="99">
        <v>18.2</v>
      </c>
      <c r="J82" s="100">
        <v>71.18183333333333</v>
      </c>
      <c r="K82" s="100">
        <f t="shared" si="5"/>
        <v>272.954612205</v>
      </c>
      <c r="L82" s="71"/>
      <c r="M82" s="6"/>
      <c r="N82" s="26"/>
      <c r="O82" s="3"/>
      <c r="P82" s="3"/>
      <c r="Q82" s="3"/>
      <c r="R82" s="3"/>
      <c r="S82" s="10"/>
    </row>
    <row r="83" spans="1:19" ht="15" customHeight="1">
      <c r="A83" s="113" t="s">
        <v>994</v>
      </c>
      <c r="B83" s="95" t="str">
        <f t="shared" si="6"/>
        <v>06/14/06</v>
      </c>
      <c r="C83" s="96">
        <v>0.3055555555555555</v>
      </c>
      <c r="D83" s="97">
        <v>188</v>
      </c>
      <c r="E83" s="99">
        <f t="shared" si="3"/>
        <v>5.3235678</v>
      </c>
      <c r="F83" s="105">
        <v>29.6</v>
      </c>
      <c r="G83" s="99">
        <v>2.92</v>
      </c>
      <c r="H83" s="98">
        <v>0.08</v>
      </c>
      <c r="I83" s="99">
        <v>14.9</v>
      </c>
      <c r="J83" s="100">
        <v>82.30399479166665</v>
      </c>
      <c r="K83" s="100">
        <f t="shared" si="5"/>
        <v>157.57760688000002</v>
      </c>
      <c r="L83" s="71"/>
      <c r="M83" s="6"/>
      <c r="N83" s="26"/>
      <c r="O83" s="3"/>
      <c r="P83" s="3"/>
      <c r="Q83" s="3"/>
      <c r="R83" s="3"/>
      <c r="S83" s="10"/>
    </row>
    <row r="84" spans="1:19" ht="15" customHeight="1">
      <c r="A84" s="113" t="s">
        <v>995</v>
      </c>
      <c r="B84" s="95" t="str">
        <f t="shared" si="6"/>
        <v>06/22/06</v>
      </c>
      <c r="C84" s="96">
        <v>0.4583333333333333</v>
      </c>
      <c r="D84" s="97">
        <v>166</v>
      </c>
      <c r="E84" s="99">
        <f t="shared" si="3"/>
        <v>4.7005971</v>
      </c>
      <c r="F84" s="105">
        <v>29</v>
      </c>
      <c r="G84" s="99">
        <v>3.19</v>
      </c>
      <c r="H84" s="98">
        <v>0.07</v>
      </c>
      <c r="I84" s="99">
        <v>14.6</v>
      </c>
      <c r="J84" s="100">
        <v>86.11730729166666</v>
      </c>
      <c r="K84" s="100">
        <f t="shared" si="5"/>
        <v>136.3173159</v>
      </c>
      <c r="L84" s="71"/>
      <c r="M84" s="6"/>
      <c r="N84" s="26"/>
      <c r="O84" s="3"/>
      <c r="P84" s="3"/>
      <c r="Q84" s="3"/>
      <c r="R84" s="3"/>
      <c r="S84" s="10"/>
    </row>
    <row r="85" spans="1:12" ht="12.75">
      <c r="A85" s="113" t="s">
        <v>996</v>
      </c>
      <c r="B85" s="95" t="str">
        <f t="shared" si="6"/>
        <v>06/30/06</v>
      </c>
      <c r="C85" s="96">
        <v>0.3736111111111111</v>
      </c>
      <c r="D85" s="97">
        <v>148</v>
      </c>
      <c r="E85" s="99">
        <f t="shared" si="3"/>
        <v>4.1908938000000004</v>
      </c>
      <c r="F85" s="105">
        <v>29.8</v>
      </c>
      <c r="G85" s="99">
        <v>3.43</v>
      </c>
      <c r="H85" s="98">
        <v>0.07</v>
      </c>
      <c r="I85" s="99">
        <v>14.7</v>
      </c>
      <c r="J85" s="100">
        <v>95.01503645833334</v>
      </c>
      <c r="K85" s="100">
        <f t="shared" si="5"/>
        <v>124.88863524000001</v>
      </c>
      <c r="L85" s="72"/>
    </row>
    <row r="86" spans="1:12" ht="12.75">
      <c r="A86" s="113" t="s">
        <v>997</v>
      </c>
      <c r="B86" s="95" t="str">
        <f t="shared" si="6"/>
        <v>07/08/06</v>
      </c>
      <c r="C86" s="96">
        <v>0.4479166666666667</v>
      </c>
      <c r="D86" s="97">
        <v>141</v>
      </c>
      <c r="E86" s="99">
        <f t="shared" si="3"/>
        <v>3.9926758500000004</v>
      </c>
      <c r="F86" s="105">
        <v>30.8</v>
      </c>
      <c r="G86" s="99">
        <v>3.52</v>
      </c>
      <c r="H86" s="98">
        <v>0.08</v>
      </c>
      <c r="I86" s="99">
        <v>15.1</v>
      </c>
      <c r="J86" s="100">
        <v>97.23946875</v>
      </c>
      <c r="K86" s="100">
        <f t="shared" si="5"/>
        <v>122.97441618000002</v>
      </c>
      <c r="L86" s="72"/>
    </row>
    <row r="87" spans="1:12" ht="12.75">
      <c r="A87" s="113" t="s">
        <v>998</v>
      </c>
      <c r="B87" s="95" t="str">
        <f t="shared" si="6"/>
        <v>07/13/06</v>
      </c>
      <c r="C87" s="96">
        <v>0.4840277777777778</v>
      </c>
      <c r="D87" s="97">
        <v>138</v>
      </c>
      <c r="E87" s="99">
        <f t="shared" si="3"/>
        <v>3.9077253</v>
      </c>
      <c r="F87" s="105">
        <v>37.7</v>
      </c>
      <c r="G87" s="99">
        <v>3.65</v>
      </c>
      <c r="H87" s="98">
        <v>0.09</v>
      </c>
      <c r="I87" s="99">
        <v>17.5</v>
      </c>
      <c r="J87" s="100">
        <v>96.286140625</v>
      </c>
      <c r="K87" s="100">
        <f t="shared" si="5"/>
        <v>147.32124381000003</v>
      </c>
      <c r="L87" s="72"/>
    </row>
    <row r="88" spans="1:12" ht="12.75">
      <c r="A88" s="113" t="s">
        <v>999</v>
      </c>
      <c r="B88" s="95" t="str">
        <f t="shared" si="6"/>
        <v>07/19/06</v>
      </c>
      <c r="C88" s="96">
        <v>0.3541666666666667</v>
      </c>
      <c r="D88" s="97">
        <v>120</v>
      </c>
      <c r="E88" s="99">
        <f t="shared" si="3"/>
        <v>3.398022</v>
      </c>
      <c r="F88" s="105">
        <v>35.1</v>
      </c>
      <c r="G88" s="99">
        <v>3.79</v>
      </c>
      <c r="H88" s="98">
        <v>0.09</v>
      </c>
      <c r="I88" s="99">
        <v>15.5</v>
      </c>
      <c r="J88" s="100">
        <v>105.66053385416667</v>
      </c>
      <c r="K88" s="100">
        <f t="shared" si="5"/>
        <v>119.2705722</v>
      </c>
      <c r="L88" s="72"/>
    </row>
    <row r="89" spans="1:12" ht="12.75">
      <c r="A89" s="113" t="s">
        <v>1000</v>
      </c>
      <c r="B89" s="95" t="str">
        <f t="shared" si="6"/>
        <v>07/27/06</v>
      </c>
      <c r="C89" s="96">
        <v>0.6909722222222222</v>
      </c>
      <c r="D89" s="97">
        <v>118</v>
      </c>
      <c r="E89" s="99">
        <f t="shared" si="3"/>
        <v>3.3413883</v>
      </c>
      <c r="F89" s="105">
        <v>39.3</v>
      </c>
      <c r="G89" s="99">
        <v>3.88</v>
      </c>
      <c r="H89" s="98">
        <v>0.1</v>
      </c>
      <c r="I89" s="99">
        <v>17.6</v>
      </c>
      <c r="J89" s="100">
        <v>103.91276562500002</v>
      </c>
      <c r="K89" s="100">
        <f t="shared" si="5"/>
        <v>131.31656019</v>
      </c>
      <c r="L89" s="72"/>
    </row>
    <row r="90" spans="1:12" ht="12.75">
      <c r="A90" s="113" t="s">
        <v>1001</v>
      </c>
      <c r="B90" s="95" t="str">
        <f t="shared" si="6"/>
        <v>08/02/06</v>
      </c>
      <c r="C90" s="96">
        <v>0.4284722222222222</v>
      </c>
      <c r="D90" s="97">
        <v>116</v>
      </c>
      <c r="E90" s="99">
        <f t="shared" si="3"/>
        <v>3.2847546000000003</v>
      </c>
      <c r="F90" s="105">
        <v>44</v>
      </c>
      <c r="G90" s="99">
        <v>3.88</v>
      </c>
      <c r="H90" s="98">
        <v>0.12</v>
      </c>
      <c r="I90" s="99">
        <v>19.4</v>
      </c>
      <c r="J90" s="100">
        <v>106.45497395833334</v>
      </c>
      <c r="K90" s="100">
        <f t="shared" si="5"/>
        <v>144.5292024</v>
      </c>
      <c r="L90" s="72"/>
    </row>
    <row r="91" spans="1:12" ht="12.75">
      <c r="A91" s="113" t="s">
        <v>1002</v>
      </c>
      <c r="B91" s="95" t="str">
        <f t="shared" si="6"/>
        <v>08/10/06</v>
      </c>
      <c r="C91" s="96">
        <v>0.53125</v>
      </c>
      <c r="D91" s="97">
        <v>103</v>
      </c>
      <c r="E91" s="99">
        <f t="shared" si="3"/>
        <v>2.91663555</v>
      </c>
      <c r="F91" s="105">
        <v>39.4</v>
      </c>
      <c r="G91" s="99">
        <v>3.97</v>
      </c>
      <c r="H91" s="98">
        <v>0.1</v>
      </c>
      <c r="I91" s="99">
        <v>17</v>
      </c>
      <c r="J91" s="100">
        <v>110.58606249999998</v>
      </c>
      <c r="K91" s="100">
        <f t="shared" si="5"/>
        <v>114.91544067</v>
      </c>
      <c r="L91" s="72"/>
    </row>
    <row r="92" spans="1:12" ht="12.75">
      <c r="A92" s="113" t="s">
        <v>1003</v>
      </c>
      <c r="B92" s="95" t="str">
        <f t="shared" si="6"/>
        <v>08/16/06</v>
      </c>
      <c r="C92" s="96">
        <v>0.6145833333333334</v>
      </c>
      <c r="D92" s="97">
        <v>103</v>
      </c>
      <c r="E92" s="99">
        <f t="shared" si="3"/>
        <v>2.91663555</v>
      </c>
      <c r="F92" s="105">
        <v>45.1</v>
      </c>
      <c r="G92" s="99">
        <v>4.03</v>
      </c>
      <c r="H92" s="98">
        <v>0.11</v>
      </c>
      <c r="I92" s="99">
        <v>19.2</v>
      </c>
      <c r="J92" s="100">
        <v>110.26828645833334</v>
      </c>
      <c r="K92" s="100">
        <f t="shared" si="5"/>
        <v>131.540263305</v>
      </c>
      <c r="L92" s="72"/>
    </row>
    <row r="93" spans="1:12" ht="12.75">
      <c r="A93" s="113" t="s">
        <v>1004</v>
      </c>
      <c r="B93" s="95" t="str">
        <f t="shared" si="6"/>
        <v>09/07/06</v>
      </c>
      <c r="C93" s="96">
        <v>0.4215277777777778</v>
      </c>
      <c r="D93" s="97">
        <v>89</v>
      </c>
      <c r="E93" s="99">
        <f t="shared" si="3"/>
        <v>2.52019965</v>
      </c>
      <c r="F93" s="105">
        <v>49.6</v>
      </c>
      <c r="G93" s="99">
        <v>4.15</v>
      </c>
      <c r="H93" s="98">
        <v>0.13</v>
      </c>
      <c r="I93" s="99">
        <v>19.7</v>
      </c>
      <c r="J93" s="100">
        <v>118.05379947916666</v>
      </c>
      <c r="K93" s="100">
        <f t="shared" si="5"/>
        <v>125.00190264</v>
      </c>
      <c r="L93" s="72"/>
    </row>
    <row r="94" spans="1:12" ht="12.75">
      <c r="A94" s="82" t="s">
        <v>1268</v>
      </c>
      <c r="B94" s="95"/>
      <c r="F94" s="105"/>
      <c r="J94" s="100"/>
      <c r="K94" s="100"/>
      <c r="L94" s="72"/>
    </row>
    <row r="95" spans="1:12" ht="12.75">
      <c r="A95" s="113" t="s">
        <v>1005</v>
      </c>
      <c r="B95" s="95">
        <v>38994.37152777778</v>
      </c>
      <c r="C95" s="96">
        <v>0.37152777777777773</v>
      </c>
      <c r="D95" s="59">
        <v>106</v>
      </c>
      <c r="E95" s="60">
        <f t="shared" si="3"/>
        <v>3.0015861</v>
      </c>
      <c r="F95" s="105">
        <v>56.8</v>
      </c>
      <c r="G95" s="99">
        <v>4.05</v>
      </c>
      <c r="H95" s="98">
        <v>0.14</v>
      </c>
      <c r="I95" s="99">
        <v>29.2</v>
      </c>
      <c r="J95" s="100">
        <v>109.95051041666666</v>
      </c>
      <c r="K95" s="61">
        <f t="shared" si="5"/>
        <v>170.49009048</v>
      </c>
      <c r="L95" s="72"/>
    </row>
    <row r="96" spans="1:11" ht="12.75">
      <c r="A96" s="113" t="s">
        <v>585</v>
      </c>
      <c r="B96" s="95">
        <v>39009.40625</v>
      </c>
      <c r="C96" s="96">
        <v>0.40625</v>
      </c>
      <c r="D96" s="59">
        <v>101</v>
      </c>
      <c r="E96" s="60">
        <f t="shared" si="3"/>
        <v>2.86000185</v>
      </c>
      <c r="F96" s="99">
        <v>57.2</v>
      </c>
      <c r="G96" s="99">
        <v>4.11</v>
      </c>
      <c r="H96" s="98">
        <v>0.14</v>
      </c>
      <c r="I96" s="99">
        <v>26.9</v>
      </c>
      <c r="J96" s="100">
        <v>115.67047916666667</v>
      </c>
      <c r="K96" s="61">
        <f t="shared" si="5"/>
        <v>163.59210582000003</v>
      </c>
    </row>
    <row r="97" spans="1:11" ht="12.75">
      <c r="A97" s="113" t="s">
        <v>586</v>
      </c>
      <c r="B97" s="95">
        <v>39036.53611111111</v>
      </c>
      <c r="C97" s="96">
        <v>0.5361111111111111</v>
      </c>
      <c r="D97" s="59">
        <v>91</v>
      </c>
      <c r="E97" s="60">
        <f t="shared" si="3"/>
        <v>2.5768333500000002</v>
      </c>
      <c r="F97" s="99">
        <v>61.8</v>
      </c>
      <c r="G97" s="99">
        <v>4.25</v>
      </c>
      <c r="H97" s="98">
        <v>0.15</v>
      </c>
      <c r="I97" s="99">
        <v>29.6</v>
      </c>
      <c r="J97" s="100">
        <v>122.02600000000002</v>
      </c>
      <c r="K97" s="61">
        <f t="shared" si="5"/>
        <v>159.24830103000002</v>
      </c>
    </row>
    <row r="98" spans="1:11" ht="12.75">
      <c r="A98" s="113" t="s">
        <v>587</v>
      </c>
      <c r="B98" s="95">
        <v>39063.59652777778</v>
      </c>
      <c r="C98" s="96">
        <v>0.5965277777777778</v>
      </c>
      <c r="D98" s="59">
        <v>89</v>
      </c>
      <c r="E98" s="60">
        <f t="shared" si="3"/>
        <v>2.52019965</v>
      </c>
      <c r="F98" s="99">
        <v>64.7</v>
      </c>
      <c r="G98" s="99">
        <v>4.38</v>
      </c>
      <c r="H98" s="98">
        <v>0.16</v>
      </c>
      <c r="I98" s="99">
        <v>28.2</v>
      </c>
      <c r="J98" s="100">
        <v>124.88598437499999</v>
      </c>
      <c r="K98" s="61">
        <f t="shared" si="5"/>
        <v>163.056917355</v>
      </c>
    </row>
    <row r="99" spans="1:11" ht="12.75">
      <c r="A99" s="113" t="s">
        <v>605</v>
      </c>
      <c r="B99" s="95">
        <v>39099.50347222222</v>
      </c>
      <c r="C99" s="96">
        <v>0.5034722222222222</v>
      </c>
      <c r="D99" s="59">
        <v>82</v>
      </c>
      <c r="E99" s="60">
        <f t="shared" si="3"/>
        <v>2.3219817000000003</v>
      </c>
      <c r="F99" s="99">
        <v>75.7</v>
      </c>
      <c r="G99" s="99">
        <v>4.58</v>
      </c>
      <c r="H99" s="98">
        <v>0.2</v>
      </c>
      <c r="I99" s="99">
        <v>32.2</v>
      </c>
      <c r="J99" s="100">
        <v>129.652625</v>
      </c>
      <c r="K99" s="61">
        <f t="shared" si="5"/>
        <v>175.77401469000003</v>
      </c>
    </row>
    <row r="100" spans="1:11" ht="12.75">
      <c r="A100" s="113" t="s">
        <v>432</v>
      </c>
      <c r="B100" s="95">
        <v>39126.49791666667</v>
      </c>
      <c r="C100" s="96">
        <v>0.4979166666666666</v>
      </c>
      <c r="D100" s="59">
        <v>84</v>
      </c>
      <c r="E100" s="60">
        <f t="shared" si="3"/>
        <v>2.3786154</v>
      </c>
      <c r="F100" s="99">
        <v>65.6</v>
      </c>
      <c r="G100" s="99">
        <v>4.46</v>
      </c>
      <c r="H100" s="98">
        <v>0.15</v>
      </c>
      <c r="I100" s="99">
        <v>32</v>
      </c>
      <c r="J100" s="100">
        <v>128.06374479166666</v>
      </c>
      <c r="K100" s="61">
        <f t="shared" si="5"/>
        <v>156.03717024</v>
      </c>
    </row>
    <row r="101" spans="1:11" ht="12.75">
      <c r="A101" s="113" t="s">
        <v>433</v>
      </c>
      <c r="B101" s="95">
        <v>39161.46527777778</v>
      </c>
      <c r="C101" s="96">
        <v>0.46527777777777773</v>
      </c>
      <c r="D101" s="59">
        <v>111</v>
      </c>
      <c r="E101" s="60">
        <f t="shared" si="3"/>
        <v>3.14317035</v>
      </c>
      <c r="F101" s="99">
        <v>60.1</v>
      </c>
      <c r="G101" s="99">
        <v>4.18</v>
      </c>
      <c r="H101" s="98">
        <v>0.14</v>
      </c>
      <c r="I101" s="99">
        <v>30.8</v>
      </c>
      <c r="J101" s="100">
        <v>116.62380729166667</v>
      </c>
      <c r="K101" s="61">
        <f t="shared" si="5"/>
        <v>188.904538035</v>
      </c>
    </row>
    <row r="102" spans="1:11" ht="12.75">
      <c r="A102" s="113" t="s">
        <v>434</v>
      </c>
      <c r="B102" s="95">
        <v>39181.583333333336</v>
      </c>
      <c r="C102" s="96">
        <f>B102</f>
        <v>39181.583333333336</v>
      </c>
      <c r="D102" s="59">
        <v>131</v>
      </c>
      <c r="E102" s="60">
        <f t="shared" si="3"/>
        <v>3.70950735</v>
      </c>
      <c r="F102" s="99">
        <v>48</v>
      </c>
      <c r="G102" s="99">
        <v>3.68</v>
      </c>
      <c r="H102" s="98">
        <v>0.1</v>
      </c>
      <c r="I102" s="99">
        <v>25.2</v>
      </c>
      <c r="J102" s="100">
        <v>102.3238854166667</v>
      </c>
      <c r="K102" s="61">
        <f t="shared" si="5"/>
        <v>178.0563528</v>
      </c>
    </row>
    <row r="103" spans="1:11" ht="12.75">
      <c r="A103" s="113" t="s">
        <v>435</v>
      </c>
      <c r="B103" s="95">
        <v>39190.50486111111</v>
      </c>
      <c r="C103" s="96">
        <v>0.5048611111111111</v>
      </c>
      <c r="D103" s="59">
        <v>196</v>
      </c>
      <c r="E103" s="60">
        <f t="shared" si="3"/>
        <v>5.5501026</v>
      </c>
      <c r="F103" s="99">
        <v>32.6</v>
      </c>
      <c r="G103" s="99">
        <v>2.69</v>
      </c>
      <c r="H103" s="98">
        <v>0.08</v>
      </c>
      <c r="I103" s="99">
        <v>18.8</v>
      </c>
      <c r="J103" s="100">
        <v>71.49960937499999</v>
      </c>
      <c r="K103" s="61">
        <f t="shared" si="5"/>
        <v>180.93334476</v>
      </c>
    </row>
    <row r="104" spans="1:24" ht="14.25">
      <c r="A104" s="113" t="s">
        <v>436</v>
      </c>
      <c r="B104" s="95">
        <v>39197.75</v>
      </c>
      <c r="C104" s="96">
        <v>0.75</v>
      </c>
      <c r="D104" s="59">
        <v>173</v>
      </c>
      <c r="E104" s="60">
        <f t="shared" si="3"/>
        <v>4.8988150500000005</v>
      </c>
      <c r="F104" s="99">
        <v>34.2</v>
      </c>
      <c r="G104" s="99">
        <v>2.76</v>
      </c>
      <c r="H104" s="98">
        <v>0.08</v>
      </c>
      <c r="I104" s="99">
        <v>19.2</v>
      </c>
      <c r="J104" s="100">
        <v>76.58402604166666</v>
      </c>
      <c r="K104" s="61">
        <f t="shared" si="5"/>
        <v>167.53947471000004</v>
      </c>
      <c r="L104" s="70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ht="15">
      <c r="A105" s="113" t="s">
        <v>463</v>
      </c>
      <c r="B105" s="95">
        <v>39203.40277777778</v>
      </c>
      <c r="C105" s="96">
        <f>B105</f>
        <v>39203.40277777778</v>
      </c>
      <c r="D105" s="61">
        <v>334</v>
      </c>
      <c r="E105" s="60">
        <f t="shared" si="3"/>
        <v>9.4578279</v>
      </c>
      <c r="F105" s="99">
        <v>19.1</v>
      </c>
      <c r="G105" s="99">
        <v>1.78</v>
      </c>
      <c r="H105" s="98">
        <v>0.05</v>
      </c>
      <c r="I105" s="99">
        <v>12.5</v>
      </c>
      <c r="J105" s="100">
        <v>44.64753385416667</v>
      </c>
      <c r="K105" s="61">
        <f t="shared" si="5"/>
        <v>180.64451289000002</v>
      </c>
      <c r="L105" s="7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1:24" ht="15">
      <c r="A106" s="113" t="s">
        <v>464</v>
      </c>
      <c r="B106" s="95">
        <v>39217.475</v>
      </c>
      <c r="C106" s="96">
        <f aca="true" t="shared" si="7" ref="C106:C118">B106</f>
        <v>39217.475</v>
      </c>
      <c r="D106" s="61">
        <v>168</v>
      </c>
      <c r="E106" s="60">
        <f t="shared" si="3"/>
        <v>4.7572308</v>
      </c>
      <c r="F106" s="99">
        <v>31.9</v>
      </c>
      <c r="G106" s="99">
        <v>2.72</v>
      </c>
      <c r="H106" s="98">
        <v>0.13</v>
      </c>
      <c r="I106" s="99">
        <v>14.9</v>
      </c>
      <c r="J106" s="100">
        <v>79.44401041666667</v>
      </c>
      <c r="K106" s="61">
        <f t="shared" si="5"/>
        <v>151.75566252000002</v>
      </c>
      <c r="L106" s="7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1:24" ht="15">
      <c r="A107" s="113" t="s">
        <v>465</v>
      </c>
      <c r="B107" s="95">
        <v>39219.625</v>
      </c>
      <c r="C107" s="96">
        <f t="shared" si="7"/>
        <v>39219.625</v>
      </c>
      <c r="D107" s="61">
        <v>158</v>
      </c>
      <c r="E107" s="60">
        <f t="shared" si="3"/>
        <v>4.4740623</v>
      </c>
      <c r="F107" s="99">
        <v>35.5</v>
      </c>
      <c r="G107" s="99">
        <v>2.9</v>
      </c>
      <c r="H107" s="98">
        <v>0.08</v>
      </c>
      <c r="I107" s="99">
        <v>15.9</v>
      </c>
      <c r="J107" s="100">
        <v>82.93954687499999</v>
      </c>
      <c r="K107" s="61">
        <f t="shared" si="5"/>
        <v>158.82921165</v>
      </c>
      <c r="L107" s="7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1:24" ht="15">
      <c r="A108" s="113" t="s">
        <v>466</v>
      </c>
      <c r="B108" s="95">
        <v>39233.385416666664</v>
      </c>
      <c r="C108" s="96">
        <f t="shared" si="7"/>
        <v>39233.385416666664</v>
      </c>
      <c r="D108" s="61">
        <v>118</v>
      </c>
      <c r="E108" s="60">
        <f t="shared" si="3"/>
        <v>3.3413883</v>
      </c>
      <c r="F108" s="99">
        <v>42.6</v>
      </c>
      <c r="G108" s="99">
        <v>3.49</v>
      </c>
      <c r="H108" s="98">
        <v>0.11</v>
      </c>
      <c r="I108" s="99">
        <v>18.2</v>
      </c>
      <c r="J108" s="100">
        <v>102.4827734375</v>
      </c>
      <c r="K108" s="61">
        <f t="shared" si="5"/>
        <v>142.34314158</v>
      </c>
      <c r="L108" s="7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1:24" ht="14.25">
      <c r="A109" s="113" t="s">
        <v>467</v>
      </c>
      <c r="B109" s="95">
        <v>39239.40625</v>
      </c>
      <c r="C109" s="96">
        <f t="shared" si="7"/>
        <v>39239.40625</v>
      </c>
      <c r="D109" s="61">
        <v>120</v>
      </c>
      <c r="E109" s="60">
        <f t="shared" si="3"/>
        <v>3.398022</v>
      </c>
      <c r="F109" s="99">
        <v>57.6</v>
      </c>
      <c r="G109" s="99">
        <v>3.75</v>
      </c>
      <c r="H109" s="98">
        <v>0.15</v>
      </c>
      <c r="I109" s="99">
        <v>25.9</v>
      </c>
      <c r="J109" s="100">
        <v>97.87502083333335</v>
      </c>
      <c r="K109" s="61">
        <f t="shared" si="5"/>
        <v>195.72606720000002</v>
      </c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pans="1:24" ht="14.25">
      <c r="A110" s="113" t="s">
        <v>468</v>
      </c>
      <c r="B110" s="95">
        <v>39246.541666666664</v>
      </c>
      <c r="C110" s="96">
        <f t="shared" si="7"/>
        <v>39246.541666666664</v>
      </c>
      <c r="D110" s="61">
        <v>103</v>
      </c>
      <c r="E110" s="60">
        <f>D110*0.02831685</f>
        <v>2.91663555</v>
      </c>
      <c r="F110" s="99">
        <v>45.5</v>
      </c>
      <c r="G110" s="99">
        <v>3.85</v>
      </c>
      <c r="H110" s="98">
        <v>0.12</v>
      </c>
      <c r="I110" s="99">
        <v>19</v>
      </c>
      <c r="J110" s="100">
        <v>110.90383854166666</v>
      </c>
      <c r="K110" s="61">
        <f t="shared" si="5"/>
        <v>132.706917525</v>
      </c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ht="14.25">
      <c r="A111" s="113" t="s">
        <v>563</v>
      </c>
      <c r="B111" s="95">
        <v>39262.614583333336</v>
      </c>
      <c r="C111" s="96">
        <f t="shared" si="7"/>
        <v>39262.614583333336</v>
      </c>
      <c r="D111" s="59">
        <v>82</v>
      </c>
      <c r="E111" s="60">
        <f aca="true" t="shared" si="8" ref="E111:E118">D111*0.02831685</f>
        <v>2.3219817000000003</v>
      </c>
      <c r="F111" s="99">
        <v>49.3</v>
      </c>
      <c r="G111" s="99">
        <v>4.16</v>
      </c>
      <c r="H111" s="98">
        <v>0.11</v>
      </c>
      <c r="I111" s="99">
        <v>18.6</v>
      </c>
      <c r="J111" s="100">
        <v>121.86711197916667</v>
      </c>
      <c r="K111" s="61">
        <f t="shared" si="5"/>
        <v>114.47369781</v>
      </c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  <row r="112" spans="1:24" ht="14.25">
      <c r="A112" s="113" t="s">
        <v>564</v>
      </c>
      <c r="B112" s="95">
        <v>39275.552083333336</v>
      </c>
      <c r="C112" s="96">
        <f t="shared" si="7"/>
        <v>39275.552083333336</v>
      </c>
      <c r="D112" s="59">
        <v>75</v>
      </c>
      <c r="E112" s="60">
        <f t="shared" si="8"/>
        <v>2.12376375</v>
      </c>
      <c r="F112" s="99">
        <v>51.9</v>
      </c>
      <c r="G112" s="99">
        <v>4.29</v>
      </c>
      <c r="H112" s="98">
        <v>0.17</v>
      </c>
      <c r="I112" s="99">
        <v>18.7</v>
      </c>
      <c r="J112" s="100">
        <v>127.42819270833334</v>
      </c>
      <c r="K112" s="61">
        <f t="shared" si="5"/>
        <v>110.22333862500001</v>
      </c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</row>
    <row r="113" spans="1:24" ht="12.75">
      <c r="A113" s="113" t="s">
        <v>565</v>
      </c>
      <c r="B113" s="95">
        <v>39287.385416666664</v>
      </c>
      <c r="C113" s="96">
        <f t="shared" si="7"/>
        <v>39287.385416666664</v>
      </c>
      <c r="D113" s="59">
        <v>71</v>
      </c>
      <c r="E113" s="60">
        <f t="shared" si="8"/>
        <v>2.01049635</v>
      </c>
      <c r="F113" s="99">
        <v>55.2</v>
      </c>
      <c r="G113" s="99">
        <v>4.29</v>
      </c>
      <c r="H113" s="98">
        <v>0.14</v>
      </c>
      <c r="I113" s="99">
        <v>19.3</v>
      </c>
      <c r="J113" s="100">
        <v>128.85818489583335</v>
      </c>
      <c r="K113" s="61">
        <f t="shared" si="5"/>
        <v>110.97939852</v>
      </c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  <row r="114" spans="1:24" ht="12.75">
      <c r="A114" s="113" t="s">
        <v>566</v>
      </c>
      <c r="B114" s="95">
        <v>39301.464583333334</v>
      </c>
      <c r="C114" s="96">
        <f t="shared" si="7"/>
        <v>39301.464583333334</v>
      </c>
      <c r="D114" s="59">
        <v>73</v>
      </c>
      <c r="E114" s="60">
        <f t="shared" si="8"/>
        <v>2.0671300500000003</v>
      </c>
      <c r="F114" s="99">
        <v>61.2</v>
      </c>
      <c r="G114" s="99">
        <v>4.34</v>
      </c>
      <c r="H114" s="98">
        <v>0.2</v>
      </c>
      <c r="I114" s="99">
        <v>25.8</v>
      </c>
      <c r="J114" s="100">
        <v>126.31597656250003</v>
      </c>
      <c r="K114" s="61">
        <f t="shared" si="5"/>
        <v>126.50835906000002</v>
      </c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1:24" ht="12.75">
      <c r="A115" s="113" t="s">
        <v>337</v>
      </c>
      <c r="B115" s="95">
        <v>39316.75</v>
      </c>
      <c r="C115" s="96">
        <f t="shared" si="7"/>
        <v>39316.75</v>
      </c>
      <c r="D115" s="59">
        <v>71</v>
      </c>
      <c r="E115" s="60">
        <f t="shared" si="8"/>
        <v>2.01049635</v>
      </c>
      <c r="F115" s="99">
        <v>61.3</v>
      </c>
      <c r="G115" s="99">
        <v>4.42</v>
      </c>
      <c r="H115" s="98">
        <v>0.15</v>
      </c>
      <c r="I115" s="99">
        <v>24.7</v>
      </c>
      <c r="J115" s="100">
        <v>129.49373697916667</v>
      </c>
      <c r="K115" s="61">
        <f t="shared" si="5"/>
        <v>123.24342625499999</v>
      </c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  <row r="116" spans="1:24" ht="12.75">
      <c r="A116" s="113" t="s">
        <v>338</v>
      </c>
      <c r="B116" s="95">
        <v>39331.50763888889</v>
      </c>
      <c r="C116" s="96">
        <f t="shared" si="7"/>
        <v>39331.50763888889</v>
      </c>
      <c r="D116" s="59">
        <v>77</v>
      </c>
      <c r="E116" s="60">
        <f t="shared" si="8"/>
        <v>2.18039745</v>
      </c>
      <c r="F116" s="99">
        <v>62.1</v>
      </c>
      <c r="G116" s="99">
        <v>4.43</v>
      </c>
      <c r="H116" s="98">
        <v>0.21</v>
      </c>
      <c r="I116" s="99">
        <v>24.4</v>
      </c>
      <c r="J116" s="100">
        <v>129.49373697916667</v>
      </c>
      <c r="K116" s="61">
        <f t="shared" si="5"/>
        <v>135.402681645</v>
      </c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pans="1:24" ht="12.75">
      <c r="A117" s="113" t="s">
        <v>339</v>
      </c>
      <c r="B117" s="95">
        <v>39343.725694444445</v>
      </c>
      <c r="C117" s="96">
        <f t="shared" si="7"/>
        <v>39343.725694444445</v>
      </c>
      <c r="D117" s="59">
        <v>73</v>
      </c>
      <c r="E117" s="60">
        <f t="shared" si="8"/>
        <v>2.0671300500000003</v>
      </c>
      <c r="F117" s="99">
        <v>53.4</v>
      </c>
      <c r="G117" s="99">
        <v>4.48</v>
      </c>
      <c r="H117" s="98">
        <v>0.13</v>
      </c>
      <c r="I117" s="99">
        <v>22.4</v>
      </c>
      <c r="J117" s="100">
        <v>135.37259375</v>
      </c>
      <c r="K117" s="61">
        <f t="shared" si="5"/>
        <v>110.38474467000002</v>
      </c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</row>
    <row r="118" spans="1:11" ht="12">
      <c r="A118" s="113" t="s">
        <v>340</v>
      </c>
      <c r="B118" s="95">
        <v>39355.572916666664</v>
      </c>
      <c r="C118" s="96">
        <f t="shared" si="7"/>
        <v>39355.572916666664</v>
      </c>
      <c r="D118" s="59">
        <v>71</v>
      </c>
      <c r="E118" s="60">
        <f t="shared" si="8"/>
        <v>2.01049635</v>
      </c>
      <c r="F118" s="99">
        <v>59.9</v>
      </c>
      <c r="G118" s="99">
        <v>4.53</v>
      </c>
      <c r="H118" s="98">
        <v>0.14</v>
      </c>
      <c r="I118" s="99">
        <v>26.7</v>
      </c>
      <c r="J118" s="100">
        <v>136.6436979166667</v>
      </c>
      <c r="K118" s="61">
        <f t="shared" si="5"/>
        <v>120.42873136499999</v>
      </c>
    </row>
    <row r="119" ht="12">
      <c r="A119" s="82" t="s">
        <v>384</v>
      </c>
    </row>
    <row r="120" spans="1:5" ht="12">
      <c r="A120" s="113" t="s">
        <v>67</v>
      </c>
      <c r="B120" s="95">
        <v>39373.427083333336</v>
      </c>
      <c r="C120" s="96">
        <f aca="true" t="shared" si="9" ref="C120:C147">B120</f>
        <v>39373.427083333336</v>
      </c>
      <c r="D120" s="100">
        <v>79</v>
      </c>
      <c r="E120" s="60">
        <f>D120*0.02831685</f>
        <v>2.23703115</v>
      </c>
    </row>
    <row r="121" spans="1:11" ht="12">
      <c r="A121" s="113" t="s">
        <v>68</v>
      </c>
      <c r="B121" s="95">
        <v>39393.5625</v>
      </c>
      <c r="C121" s="96">
        <f t="shared" si="9"/>
        <v>39393.5625</v>
      </c>
      <c r="D121" s="100">
        <v>80</v>
      </c>
      <c r="E121" s="99">
        <f aca="true" t="shared" si="10" ref="E121:E147">D121*0.02831685</f>
        <v>2.265348</v>
      </c>
      <c r="F121" s="99">
        <v>67.1</v>
      </c>
      <c r="G121" s="99">
        <v>4.44</v>
      </c>
      <c r="H121" s="98">
        <v>0.16</v>
      </c>
      <c r="I121" s="99">
        <v>29.4</v>
      </c>
      <c r="J121" s="100">
        <v>131</v>
      </c>
      <c r="K121" s="100">
        <f aca="true" t="shared" si="11" ref="K121:K147">E121*F121</f>
        <v>152.00485079999999</v>
      </c>
    </row>
    <row r="122" spans="1:11" ht="12">
      <c r="A122" s="113" t="s">
        <v>69</v>
      </c>
      <c r="B122" s="95">
        <v>39409.645833333336</v>
      </c>
      <c r="C122" s="96">
        <f t="shared" si="9"/>
        <v>39409.645833333336</v>
      </c>
      <c r="D122" s="97">
        <v>83</v>
      </c>
      <c r="E122" s="99">
        <f>D122*0.02831685</f>
        <v>2.35029855</v>
      </c>
      <c r="F122" s="99">
        <v>75.3</v>
      </c>
      <c r="G122" s="99">
        <v>4.39</v>
      </c>
      <c r="H122" s="98">
        <v>0.18</v>
      </c>
      <c r="I122" s="99">
        <v>35</v>
      </c>
      <c r="J122" s="100">
        <v>123</v>
      </c>
      <c r="K122" s="100">
        <f t="shared" si="11"/>
        <v>176.977480815</v>
      </c>
    </row>
    <row r="123" spans="1:11" ht="12">
      <c r="A123" s="113" t="s">
        <v>70</v>
      </c>
      <c r="B123" s="95">
        <v>39461.520833333336</v>
      </c>
      <c r="C123" s="96">
        <f t="shared" si="9"/>
        <v>39461.520833333336</v>
      </c>
      <c r="D123" s="100">
        <v>79</v>
      </c>
      <c r="E123" s="99">
        <f t="shared" si="10"/>
        <v>2.23703115</v>
      </c>
      <c r="F123" s="99">
        <v>75.7</v>
      </c>
      <c r="G123" s="99">
        <v>4.54</v>
      </c>
      <c r="H123" s="98">
        <v>0.18</v>
      </c>
      <c r="I123" s="99">
        <v>34.2</v>
      </c>
      <c r="J123" s="100">
        <v>133</v>
      </c>
      <c r="K123" s="100">
        <f t="shared" si="11"/>
        <v>169.343258055</v>
      </c>
    </row>
    <row r="124" spans="1:11" ht="12">
      <c r="A124" s="113" t="s">
        <v>71</v>
      </c>
      <c r="B124" s="95">
        <v>39486.586805555555</v>
      </c>
      <c r="C124" s="96">
        <f t="shared" si="9"/>
        <v>39486.586805555555</v>
      </c>
      <c r="D124" s="97">
        <v>80</v>
      </c>
      <c r="E124" s="99">
        <f t="shared" si="10"/>
        <v>2.265348</v>
      </c>
      <c r="F124" s="99">
        <v>85.5</v>
      </c>
      <c r="G124" s="99">
        <v>4.68</v>
      </c>
      <c r="H124" s="98">
        <v>0.21</v>
      </c>
      <c r="I124" s="99">
        <v>38.7</v>
      </c>
      <c r="J124" s="100">
        <v>131</v>
      </c>
      <c r="K124" s="100">
        <f t="shared" si="11"/>
        <v>193.687254</v>
      </c>
    </row>
    <row r="125" spans="1:11" ht="12">
      <c r="A125" s="113" t="s">
        <v>72</v>
      </c>
      <c r="B125" s="95">
        <v>39500.604166666664</v>
      </c>
      <c r="C125" s="96">
        <f t="shared" si="9"/>
        <v>39500.604166666664</v>
      </c>
      <c r="D125" s="97">
        <v>79</v>
      </c>
      <c r="E125" s="99">
        <f t="shared" si="10"/>
        <v>2.23703115</v>
      </c>
      <c r="F125" s="99">
        <v>83.5</v>
      </c>
      <c r="G125" s="99">
        <v>4.63</v>
      </c>
      <c r="H125" s="98">
        <v>0.2</v>
      </c>
      <c r="I125" s="99">
        <v>38.3</v>
      </c>
      <c r="J125" s="100">
        <v>133</v>
      </c>
      <c r="K125" s="100">
        <f t="shared" si="11"/>
        <v>186.792101025</v>
      </c>
    </row>
    <row r="126" spans="1:11" ht="12">
      <c r="A126" s="113" t="s">
        <v>73</v>
      </c>
      <c r="B126" s="95">
        <v>39526</v>
      </c>
      <c r="C126" s="96">
        <f t="shared" si="9"/>
        <v>39526</v>
      </c>
      <c r="D126" s="97">
        <v>77</v>
      </c>
      <c r="E126" s="99">
        <f t="shared" si="10"/>
        <v>2.18039745</v>
      </c>
      <c r="F126" s="99">
        <v>76.4</v>
      </c>
      <c r="G126" s="99">
        <v>4.62</v>
      </c>
      <c r="H126" s="98">
        <v>0.18</v>
      </c>
      <c r="I126" s="99">
        <v>34.3</v>
      </c>
      <c r="J126" s="100">
        <v>132</v>
      </c>
      <c r="K126" s="100">
        <f t="shared" si="11"/>
        <v>166.58236518</v>
      </c>
    </row>
    <row r="127" spans="1:11" ht="12">
      <c r="A127" s="113" t="s">
        <v>74</v>
      </c>
      <c r="B127" s="95">
        <v>39542.583333333336</v>
      </c>
      <c r="C127" s="96">
        <f t="shared" si="9"/>
        <v>39542.583333333336</v>
      </c>
      <c r="D127" s="97">
        <v>77</v>
      </c>
      <c r="E127" s="99">
        <f t="shared" si="10"/>
        <v>2.18039745</v>
      </c>
      <c r="F127" s="99">
        <v>74.6</v>
      </c>
      <c r="G127" s="99">
        <v>4.61</v>
      </c>
      <c r="H127" s="98">
        <v>0.17</v>
      </c>
      <c r="I127" s="99">
        <v>35</v>
      </c>
      <c r="J127" s="100">
        <v>135</v>
      </c>
      <c r="K127" s="100">
        <f t="shared" si="11"/>
        <v>162.65764977</v>
      </c>
    </row>
    <row r="128" spans="1:11" ht="12">
      <c r="A128" s="113" t="s">
        <v>75</v>
      </c>
      <c r="B128" s="95">
        <v>39554.552083333336</v>
      </c>
      <c r="C128" s="96">
        <f t="shared" si="9"/>
        <v>39554.552083333336</v>
      </c>
      <c r="D128" s="97">
        <v>97</v>
      </c>
      <c r="E128" s="99">
        <f t="shared" si="10"/>
        <v>2.74673445</v>
      </c>
      <c r="F128" s="99">
        <v>67.4</v>
      </c>
      <c r="G128" s="99">
        <v>4.16</v>
      </c>
      <c r="H128" s="98">
        <v>0.16</v>
      </c>
      <c r="I128" s="99">
        <v>36.2</v>
      </c>
      <c r="J128" s="100">
        <v>117</v>
      </c>
      <c r="K128" s="100">
        <f t="shared" si="11"/>
        <v>185.12990193000002</v>
      </c>
    </row>
    <row r="129" spans="1:11" ht="12">
      <c r="A129" s="113" t="s">
        <v>76</v>
      </c>
      <c r="B129" s="95">
        <v>39567.625</v>
      </c>
      <c r="C129" s="96">
        <f t="shared" si="9"/>
        <v>39567.625</v>
      </c>
      <c r="D129" s="97">
        <v>120</v>
      </c>
      <c r="E129" s="99">
        <f t="shared" si="10"/>
        <v>3.398022</v>
      </c>
      <c r="F129" s="99">
        <v>57.5</v>
      </c>
      <c r="G129" s="99">
        <v>4.05</v>
      </c>
      <c r="H129" s="98">
        <v>0.14</v>
      </c>
      <c r="I129" s="99">
        <v>32.9</v>
      </c>
      <c r="J129" s="100">
        <v>118</v>
      </c>
      <c r="K129" s="100">
        <f t="shared" si="11"/>
        <v>195.386265</v>
      </c>
    </row>
    <row r="130" spans="1:11" ht="12">
      <c r="A130" s="113" t="s">
        <v>77</v>
      </c>
      <c r="B130" s="95">
        <v>39574.46875</v>
      </c>
      <c r="C130" s="96">
        <f t="shared" si="9"/>
        <v>39574.46875</v>
      </c>
      <c r="D130" s="97">
        <v>197</v>
      </c>
      <c r="E130" s="99">
        <f t="shared" si="10"/>
        <v>5.57841945</v>
      </c>
      <c r="F130" s="99">
        <v>38.5</v>
      </c>
      <c r="G130" s="99">
        <v>3.03</v>
      </c>
      <c r="H130" s="98">
        <v>0.09</v>
      </c>
      <c r="I130" s="99">
        <v>27.5</v>
      </c>
      <c r="J130" s="100">
        <v>81</v>
      </c>
      <c r="K130" s="100">
        <f t="shared" si="11"/>
        <v>214.769148825</v>
      </c>
    </row>
    <row r="131" spans="1:11" ht="12">
      <c r="A131" s="113" t="s">
        <v>78</v>
      </c>
      <c r="B131" s="95">
        <v>39581.59375</v>
      </c>
      <c r="C131" s="96">
        <f t="shared" si="9"/>
        <v>39581.59375</v>
      </c>
      <c r="D131" s="97">
        <v>198</v>
      </c>
      <c r="E131" s="99">
        <f t="shared" si="10"/>
        <v>5.606736300000001</v>
      </c>
      <c r="F131" s="99">
        <v>38.3</v>
      </c>
      <c r="G131" s="99">
        <v>2.88</v>
      </c>
      <c r="H131" s="98">
        <v>0.09</v>
      </c>
      <c r="I131" s="99">
        <v>26.9</v>
      </c>
      <c r="J131" s="100">
        <v>84</v>
      </c>
      <c r="K131" s="100">
        <f t="shared" si="11"/>
        <v>214.73800029</v>
      </c>
    </row>
    <row r="132" spans="1:11" ht="12">
      <c r="A132" s="113" t="s">
        <v>79</v>
      </c>
      <c r="B132" s="95">
        <v>39588.510416666664</v>
      </c>
      <c r="C132" s="96">
        <f t="shared" si="9"/>
        <v>39588.510416666664</v>
      </c>
      <c r="D132" s="97">
        <v>725</v>
      </c>
      <c r="E132" s="99">
        <f t="shared" si="10"/>
        <v>20.52971625</v>
      </c>
      <c r="F132" s="99">
        <v>11.5</v>
      </c>
      <c r="G132" s="99">
        <v>1.22</v>
      </c>
      <c r="H132" s="98">
        <v>0.03</v>
      </c>
      <c r="I132" s="99">
        <v>11.9</v>
      </c>
      <c r="J132" s="100">
        <v>30</v>
      </c>
      <c r="K132" s="100">
        <f t="shared" si="11"/>
        <v>236.091736875</v>
      </c>
    </row>
    <row r="133" spans="1:11" ht="12">
      <c r="A133" s="113" t="s">
        <v>80</v>
      </c>
      <c r="B133" s="95">
        <v>39595.53125</v>
      </c>
      <c r="C133" s="96">
        <f t="shared" si="9"/>
        <v>39595.53125</v>
      </c>
      <c r="D133" s="97">
        <v>444</v>
      </c>
      <c r="E133" s="99">
        <f t="shared" si="10"/>
        <v>12.5726814</v>
      </c>
      <c r="F133" s="99">
        <v>16.5</v>
      </c>
      <c r="G133" s="99">
        <v>1.56</v>
      </c>
      <c r="H133" s="98">
        <v>0.04</v>
      </c>
      <c r="I133" s="99">
        <v>13.4</v>
      </c>
      <c r="J133" s="100">
        <v>42</v>
      </c>
      <c r="K133" s="100">
        <f t="shared" si="11"/>
        <v>207.44924310000002</v>
      </c>
    </row>
    <row r="134" spans="1:11" ht="12">
      <c r="A134" s="113" t="s">
        <v>81</v>
      </c>
      <c r="B134" s="95">
        <v>39601.666666666664</v>
      </c>
      <c r="C134" s="96">
        <f t="shared" si="9"/>
        <v>39601.666666666664</v>
      </c>
      <c r="D134" s="97">
        <v>520</v>
      </c>
      <c r="E134" s="99">
        <f t="shared" si="10"/>
        <v>14.724762</v>
      </c>
      <c r="F134" s="99">
        <v>13.7</v>
      </c>
      <c r="G134" s="99">
        <v>1.43</v>
      </c>
      <c r="H134" s="98">
        <v>0.03</v>
      </c>
      <c r="I134" s="99">
        <v>10.3</v>
      </c>
      <c r="J134" s="100">
        <v>39</v>
      </c>
      <c r="K134" s="100">
        <f t="shared" si="11"/>
        <v>201.72923939999998</v>
      </c>
    </row>
    <row r="135" spans="1:11" ht="12">
      <c r="A135" s="113" t="s">
        <v>82</v>
      </c>
      <c r="B135" s="95">
        <v>39608.604166666664</v>
      </c>
      <c r="C135" s="96">
        <f t="shared" si="9"/>
        <v>39608.604166666664</v>
      </c>
      <c r="D135" s="97">
        <v>362</v>
      </c>
      <c r="E135" s="99">
        <f t="shared" si="10"/>
        <v>10.2506997</v>
      </c>
      <c r="F135" s="99">
        <v>19.3</v>
      </c>
      <c r="G135" s="99">
        <v>1.85</v>
      </c>
      <c r="H135" s="98">
        <v>0.05</v>
      </c>
      <c r="I135" s="99">
        <v>13</v>
      </c>
      <c r="J135" s="100">
        <v>54</v>
      </c>
      <c r="K135" s="100">
        <f t="shared" si="11"/>
        <v>197.83850421000002</v>
      </c>
    </row>
    <row r="136" spans="1:11" ht="12">
      <c r="A136" s="113" t="s">
        <v>83</v>
      </c>
      <c r="B136" s="95">
        <v>39616.510416666664</v>
      </c>
      <c r="C136" s="96">
        <f t="shared" si="9"/>
        <v>39616.510416666664</v>
      </c>
      <c r="D136" s="97">
        <v>318</v>
      </c>
      <c r="E136" s="99">
        <f t="shared" si="10"/>
        <v>9.0047583</v>
      </c>
      <c r="F136" s="99">
        <v>19.2</v>
      </c>
      <c r="G136" s="99">
        <v>2.03</v>
      </c>
      <c r="H136" s="98">
        <v>0.05</v>
      </c>
      <c r="I136" s="99">
        <v>11.6</v>
      </c>
      <c r="J136" s="100">
        <v>56</v>
      </c>
      <c r="K136" s="100">
        <f t="shared" si="11"/>
        <v>172.89135936</v>
      </c>
    </row>
    <row r="137" spans="1:11" ht="12">
      <c r="A137" s="113" t="s">
        <v>84</v>
      </c>
      <c r="B137" s="95">
        <v>39623.71875</v>
      </c>
      <c r="C137" s="96">
        <f t="shared" si="9"/>
        <v>39623.71875</v>
      </c>
      <c r="D137" s="97">
        <v>269</v>
      </c>
      <c r="E137" s="99">
        <f t="shared" si="10"/>
        <v>7.61723265</v>
      </c>
      <c r="F137" s="99">
        <v>22.7</v>
      </c>
      <c r="G137" s="99">
        <v>2.38</v>
      </c>
      <c r="H137" s="98">
        <v>0.06</v>
      </c>
      <c r="I137" s="99">
        <v>11.9</v>
      </c>
      <c r="J137" s="100">
        <v>63</v>
      </c>
      <c r="K137" s="100">
        <f t="shared" si="11"/>
        <v>172.911181155</v>
      </c>
    </row>
    <row r="138" spans="1:11" ht="12">
      <c r="A138" s="113" t="s">
        <v>85</v>
      </c>
      <c r="B138" s="95">
        <v>39630.572916666664</v>
      </c>
      <c r="C138" s="96">
        <f t="shared" si="9"/>
        <v>39630.572916666664</v>
      </c>
      <c r="D138" s="97">
        <v>210</v>
      </c>
      <c r="E138" s="99">
        <f t="shared" si="10"/>
        <v>5.9465385</v>
      </c>
      <c r="F138" s="99">
        <v>25.8</v>
      </c>
      <c r="G138" s="99">
        <v>2.75</v>
      </c>
      <c r="H138" s="98">
        <v>0.07</v>
      </c>
      <c r="I138" s="99">
        <v>13</v>
      </c>
      <c r="J138" s="100">
        <v>73</v>
      </c>
      <c r="K138" s="100">
        <f t="shared" si="11"/>
        <v>153.4206933</v>
      </c>
    </row>
    <row r="139" spans="1:11" ht="12">
      <c r="A139" s="113" t="s">
        <v>86</v>
      </c>
      <c r="B139" s="95">
        <v>39637.645833333336</v>
      </c>
      <c r="C139" s="96">
        <f t="shared" si="9"/>
        <v>39637.645833333336</v>
      </c>
      <c r="D139" s="97">
        <v>174</v>
      </c>
      <c r="E139" s="99">
        <f t="shared" si="10"/>
        <v>4.9271319</v>
      </c>
      <c r="F139" s="99">
        <v>28.1</v>
      </c>
      <c r="G139" s="99">
        <v>3.12</v>
      </c>
      <c r="H139" s="98">
        <v>0.07</v>
      </c>
      <c r="I139" s="99">
        <v>13.3</v>
      </c>
      <c r="J139" s="100">
        <v>82</v>
      </c>
      <c r="K139" s="100">
        <f t="shared" si="11"/>
        <v>138.45240639</v>
      </c>
    </row>
    <row r="140" spans="1:11" ht="12">
      <c r="A140" s="113" t="s">
        <v>87</v>
      </c>
      <c r="B140" s="95">
        <v>39644.666666666664</v>
      </c>
      <c r="C140" s="96">
        <f t="shared" si="9"/>
        <v>39644.666666666664</v>
      </c>
      <c r="D140" s="97">
        <v>156</v>
      </c>
      <c r="E140" s="99">
        <f t="shared" si="10"/>
        <v>4.4174286</v>
      </c>
      <c r="F140" s="99">
        <v>30.1</v>
      </c>
      <c r="G140" s="99">
        <v>3.34</v>
      </c>
      <c r="H140" s="98">
        <v>0.08</v>
      </c>
      <c r="I140" s="99">
        <v>13.3</v>
      </c>
      <c r="J140" s="100">
        <v>87</v>
      </c>
      <c r="K140" s="100">
        <f t="shared" si="11"/>
        <v>132.96460086000002</v>
      </c>
    </row>
    <row r="141" spans="1:11" ht="12">
      <c r="A141" s="113" t="s">
        <v>88</v>
      </c>
      <c r="B141" s="95">
        <v>39651.645833333336</v>
      </c>
      <c r="C141" s="96">
        <f t="shared" si="9"/>
        <v>39651.645833333336</v>
      </c>
      <c r="D141" s="97">
        <v>150</v>
      </c>
      <c r="E141" s="99">
        <f t="shared" si="10"/>
        <v>4.2475275</v>
      </c>
      <c r="F141" s="99">
        <v>32.3</v>
      </c>
      <c r="G141" s="99">
        <v>3.42</v>
      </c>
      <c r="H141" s="98">
        <v>0.08</v>
      </c>
      <c r="I141" s="99">
        <v>14.2</v>
      </c>
      <c r="J141" s="100">
        <v>90</v>
      </c>
      <c r="K141" s="100">
        <f t="shared" si="11"/>
        <v>137.19513824999999</v>
      </c>
    </row>
    <row r="142" spans="1:11" ht="12">
      <c r="A142" s="113" t="s">
        <v>89</v>
      </c>
      <c r="B142" s="95">
        <v>39658.677083333336</v>
      </c>
      <c r="C142" s="96">
        <f t="shared" si="9"/>
        <v>39658.677083333336</v>
      </c>
      <c r="D142" s="97">
        <v>135</v>
      </c>
      <c r="E142" s="99">
        <f t="shared" si="10"/>
        <v>3.82277475</v>
      </c>
      <c r="F142" s="99">
        <v>34.6</v>
      </c>
      <c r="G142" s="99">
        <v>3.58</v>
      </c>
      <c r="H142" s="98">
        <v>0.09</v>
      </c>
      <c r="I142" s="99">
        <v>14.8</v>
      </c>
      <c r="J142" s="100">
        <v>93</v>
      </c>
      <c r="K142" s="100">
        <f t="shared" si="11"/>
        <v>132.26800635</v>
      </c>
    </row>
    <row r="143" spans="1:11" ht="12">
      <c r="A143" s="113" t="s">
        <v>90</v>
      </c>
      <c r="B143" s="95">
        <v>39665.71875</v>
      </c>
      <c r="C143" s="96">
        <f t="shared" si="9"/>
        <v>39665.71875</v>
      </c>
      <c r="D143" s="97">
        <v>126</v>
      </c>
      <c r="E143" s="99">
        <f t="shared" si="10"/>
        <v>3.5679231000000002</v>
      </c>
      <c r="F143" s="99">
        <v>35.9</v>
      </c>
      <c r="G143" s="99">
        <v>3.7</v>
      </c>
      <c r="H143" s="98">
        <v>0.09</v>
      </c>
      <c r="I143" s="99">
        <v>14.8</v>
      </c>
      <c r="J143" s="100">
        <v>96</v>
      </c>
      <c r="K143" s="100">
        <f t="shared" si="11"/>
        <v>128.08843929</v>
      </c>
    </row>
    <row r="144" spans="1:11" ht="12">
      <c r="A144" s="113" t="s">
        <v>91</v>
      </c>
      <c r="B144" s="95">
        <v>39679.697916666664</v>
      </c>
      <c r="C144" s="96">
        <f t="shared" si="9"/>
        <v>39679.697916666664</v>
      </c>
      <c r="D144" s="97">
        <v>117</v>
      </c>
      <c r="E144" s="99">
        <f t="shared" si="10"/>
        <v>3.3130714500000003</v>
      </c>
      <c r="F144" s="99">
        <v>41.2</v>
      </c>
      <c r="G144" s="99">
        <v>3.85</v>
      </c>
      <c r="H144" s="98">
        <v>0.11</v>
      </c>
      <c r="I144" s="99">
        <v>16.9</v>
      </c>
      <c r="J144" s="100">
        <v>102</v>
      </c>
      <c r="K144" s="100">
        <f t="shared" si="11"/>
        <v>136.49854374000003</v>
      </c>
    </row>
    <row r="145" spans="1:11" ht="12">
      <c r="A145" s="113" t="s">
        <v>92</v>
      </c>
      <c r="B145" s="95">
        <v>39694.46875</v>
      </c>
      <c r="C145" s="96">
        <f t="shared" si="9"/>
        <v>39694.46875</v>
      </c>
      <c r="D145" s="97">
        <v>111</v>
      </c>
      <c r="E145" s="99">
        <f t="shared" si="10"/>
        <v>3.14317035</v>
      </c>
      <c r="F145" s="99">
        <v>42.6</v>
      </c>
      <c r="G145" s="99">
        <v>3.95</v>
      </c>
      <c r="H145" s="98">
        <v>0.1</v>
      </c>
      <c r="I145" s="99">
        <v>17.7</v>
      </c>
      <c r="J145" s="100">
        <v>106</v>
      </c>
      <c r="K145" s="100">
        <f t="shared" si="11"/>
        <v>133.89905691</v>
      </c>
    </row>
    <row r="146" spans="1:11" ht="12">
      <c r="A146" s="113" t="s">
        <v>93</v>
      </c>
      <c r="B146" s="95">
        <v>39707.541666666664</v>
      </c>
      <c r="C146" s="96">
        <f t="shared" si="9"/>
        <v>39707.541666666664</v>
      </c>
      <c r="D146" s="97">
        <v>103</v>
      </c>
      <c r="E146" s="99">
        <f t="shared" si="10"/>
        <v>2.91663555</v>
      </c>
      <c r="F146" s="99">
        <v>46.6</v>
      </c>
      <c r="G146" s="99">
        <v>4.05</v>
      </c>
      <c r="H146" s="98">
        <v>0.12</v>
      </c>
      <c r="I146" s="99">
        <v>19.1</v>
      </c>
      <c r="J146" s="100">
        <v>112</v>
      </c>
      <c r="K146" s="100">
        <f t="shared" si="11"/>
        <v>135.91521663</v>
      </c>
    </row>
    <row r="147" spans="1:11" ht="12">
      <c r="A147" s="113" t="s">
        <v>94</v>
      </c>
      <c r="B147" s="95">
        <v>39721.427083333336</v>
      </c>
      <c r="C147" s="96">
        <f t="shared" si="9"/>
        <v>39721.427083333336</v>
      </c>
      <c r="D147" s="97">
        <v>99</v>
      </c>
      <c r="E147" s="99">
        <f t="shared" si="10"/>
        <v>2.8033681500000003</v>
      </c>
      <c r="F147" s="99">
        <v>50.6</v>
      </c>
      <c r="G147" s="99">
        <v>4.1</v>
      </c>
      <c r="H147" s="98">
        <v>0.13</v>
      </c>
      <c r="I147" s="99">
        <v>20.9</v>
      </c>
      <c r="J147" s="100">
        <v>113</v>
      </c>
      <c r="K147" s="100">
        <f t="shared" si="11"/>
        <v>141.85042839000002</v>
      </c>
    </row>
    <row r="148" spans="1:11" ht="12">
      <c r="A148" s="11" t="s">
        <v>1685</v>
      </c>
      <c r="B148" s="8"/>
      <c r="C148" s="138"/>
      <c r="D148" s="1"/>
      <c r="E148" s="21"/>
      <c r="F148" s="135"/>
      <c r="G148" s="9"/>
      <c r="H148" s="12"/>
      <c r="I148" s="9"/>
      <c r="J148" s="2"/>
      <c r="K148" s="2"/>
    </row>
    <row r="149" spans="1:11" ht="13.5">
      <c r="A149" s="16" t="s">
        <v>1946</v>
      </c>
      <c r="B149" s="8">
        <v>39734.739583333336</v>
      </c>
      <c r="C149" s="138">
        <v>39734.739583333336</v>
      </c>
      <c r="D149" s="136">
        <v>102</v>
      </c>
      <c r="E149" s="60">
        <f aca="true" t="shared" si="12" ref="E149:E162">D149*0.02831685</f>
        <v>2.8883187</v>
      </c>
      <c r="F149" s="135">
        <v>54.5</v>
      </c>
      <c r="G149" s="9">
        <v>4.12</v>
      </c>
      <c r="H149" s="12">
        <v>0.14</v>
      </c>
      <c r="I149" s="9">
        <v>24</v>
      </c>
      <c r="J149" s="1">
        <v>113</v>
      </c>
      <c r="K149" s="61">
        <f aca="true" t="shared" si="13" ref="K149:K176">E149*F149</f>
        <v>157.41336915</v>
      </c>
    </row>
    <row r="150" spans="1:11" ht="13.5">
      <c r="A150" s="16" t="s">
        <v>1947</v>
      </c>
      <c r="B150" s="8">
        <v>39756.677083333336</v>
      </c>
      <c r="C150" s="138">
        <v>39756.677083333336</v>
      </c>
      <c r="D150" s="136">
        <v>111</v>
      </c>
      <c r="E150" s="60">
        <f t="shared" si="12"/>
        <v>3.14317035</v>
      </c>
      <c r="F150" s="9">
        <v>65.2</v>
      </c>
      <c r="G150" s="9">
        <v>4.14</v>
      </c>
      <c r="H150" s="12">
        <v>0.16</v>
      </c>
      <c r="I150" s="9">
        <v>30.5</v>
      </c>
      <c r="J150" s="1">
        <v>109</v>
      </c>
      <c r="K150" s="61">
        <f t="shared" si="13"/>
        <v>204.93470682</v>
      </c>
    </row>
    <row r="151" spans="1:11" ht="13.5">
      <c r="A151" s="16" t="s">
        <v>1948</v>
      </c>
      <c r="B151" s="8">
        <v>39784.677083333336</v>
      </c>
      <c r="C151" s="138">
        <v>39784.677083333336</v>
      </c>
      <c r="D151" s="136">
        <v>95</v>
      </c>
      <c r="E151" s="60">
        <f t="shared" si="12"/>
        <v>2.69010075</v>
      </c>
      <c r="F151" s="9">
        <v>56.5</v>
      </c>
      <c r="G151" s="9">
        <v>4.24</v>
      </c>
      <c r="H151" s="12">
        <v>0.14</v>
      </c>
      <c r="I151" s="9">
        <v>26.3</v>
      </c>
      <c r="J151" s="1">
        <v>122</v>
      </c>
      <c r="K151" s="61">
        <f t="shared" si="13"/>
        <v>151.990692375</v>
      </c>
    </row>
    <row r="152" spans="1:11" ht="13.5">
      <c r="A152" s="16" t="s">
        <v>1949</v>
      </c>
      <c r="B152" s="8">
        <v>39822.65625</v>
      </c>
      <c r="C152" s="138">
        <v>39822.65625</v>
      </c>
      <c r="D152" s="136">
        <v>101</v>
      </c>
      <c r="E152" s="60">
        <f t="shared" si="12"/>
        <v>2.86000185</v>
      </c>
      <c r="F152" s="9">
        <v>65.7</v>
      </c>
      <c r="G152" s="9">
        <v>4.21</v>
      </c>
      <c r="H152" s="12">
        <v>0.16</v>
      </c>
      <c r="I152" s="9">
        <v>33.8</v>
      </c>
      <c r="J152" s="1">
        <v>117</v>
      </c>
      <c r="K152" s="61">
        <f t="shared" si="13"/>
        <v>187.90212154500003</v>
      </c>
    </row>
    <row r="153" spans="1:11" ht="13.5">
      <c r="A153" s="16" t="s">
        <v>1950</v>
      </c>
      <c r="B153" s="8">
        <v>39849.6875</v>
      </c>
      <c r="C153" s="138">
        <v>39849.6875</v>
      </c>
      <c r="D153" s="136">
        <v>92</v>
      </c>
      <c r="E153" s="60">
        <f t="shared" si="12"/>
        <v>2.6051502</v>
      </c>
      <c r="F153" s="9">
        <v>68.3</v>
      </c>
      <c r="G153" s="9">
        <v>4.45</v>
      </c>
      <c r="H153" s="12">
        <v>0.17</v>
      </c>
      <c r="I153" s="9">
        <v>31.3</v>
      </c>
      <c r="J153" s="1">
        <v>130</v>
      </c>
      <c r="K153" s="61">
        <f t="shared" si="13"/>
        <v>177.93175866</v>
      </c>
    </row>
    <row r="154" spans="1:11" ht="13.5">
      <c r="A154" s="16" t="s">
        <v>1951</v>
      </c>
      <c r="B154" s="8">
        <v>39873.4375</v>
      </c>
      <c r="C154" s="138">
        <v>0.46527777777777773</v>
      </c>
      <c r="D154" s="136">
        <v>93</v>
      </c>
      <c r="E154" s="60">
        <f t="shared" si="12"/>
        <v>2.63346705</v>
      </c>
      <c r="F154" s="9">
        <v>73.6</v>
      </c>
      <c r="G154" s="9">
        <v>4.41</v>
      </c>
      <c r="H154" s="12">
        <v>0.18</v>
      </c>
      <c r="I154" s="9">
        <v>33.7</v>
      </c>
      <c r="J154" s="2">
        <v>125.20376041666667</v>
      </c>
      <c r="K154" s="61">
        <f t="shared" si="13"/>
        <v>193.82317487999998</v>
      </c>
    </row>
    <row r="155" spans="1:11" ht="13.5">
      <c r="A155" s="16" t="s">
        <v>1952</v>
      </c>
      <c r="B155" s="8">
        <v>39890.645833333336</v>
      </c>
      <c r="C155" s="138">
        <f>B155</f>
        <v>39890.645833333336</v>
      </c>
      <c r="D155" s="136">
        <v>95</v>
      </c>
      <c r="E155" s="60">
        <f t="shared" si="12"/>
        <v>2.69010075</v>
      </c>
      <c r="F155" s="9">
        <v>69.4</v>
      </c>
      <c r="G155" s="9">
        <v>4.42</v>
      </c>
      <c r="H155" s="12">
        <v>0.15</v>
      </c>
      <c r="I155" s="9">
        <v>31.8</v>
      </c>
      <c r="J155" s="2">
        <v>128.06374479166666</v>
      </c>
      <c r="K155" s="61">
        <f t="shared" si="13"/>
        <v>186.69299205000002</v>
      </c>
    </row>
    <row r="156" spans="1:11" ht="13.5">
      <c r="A156" s="16" t="s">
        <v>1953</v>
      </c>
      <c r="B156" s="8">
        <v>39905.583333333336</v>
      </c>
      <c r="C156" s="138">
        <v>0.5048611111111111</v>
      </c>
      <c r="D156" s="136">
        <v>93</v>
      </c>
      <c r="E156" s="60">
        <f t="shared" si="12"/>
        <v>2.63346705</v>
      </c>
      <c r="F156" s="9">
        <v>70.1</v>
      </c>
      <c r="G156" s="9">
        <v>4.38</v>
      </c>
      <c r="H156" s="12">
        <v>0.15</v>
      </c>
      <c r="I156" s="9">
        <v>32.5</v>
      </c>
      <c r="J156" s="2">
        <v>125.99820052083335</v>
      </c>
      <c r="K156" s="61">
        <f t="shared" si="13"/>
        <v>184.606040205</v>
      </c>
    </row>
    <row r="157" spans="1:11" ht="13.5">
      <c r="A157" t="s">
        <v>1954</v>
      </c>
      <c r="B157" s="8">
        <v>39919.697916666664</v>
      </c>
      <c r="C157" s="138">
        <v>0.75</v>
      </c>
      <c r="D157" s="136">
        <v>116</v>
      </c>
      <c r="E157" s="60">
        <f t="shared" si="12"/>
        <v>3.2847546000000003</v>
      </c>
      <c r="F157" s="9">
        <v>69.1</v>
      </c>
      <c r="G157" s="9">
        <v>4.23</v>
      </c>
      <c r="H157" s="12">
        <v>0.17</v>
      </c>
      <c r="I157" s="9">
        <v>35.9</v>
      </c>
      <c r="J157" s="2">
        <v>118.37157552083333</v>
      </c>
      <c r="K157" s="61">
        <f t="shared" si="13"/>
        <v>226.97654286</v>
      </c>
    </row>
    <row r="158" spans="1:11" ht="13.5">
      <c r="A158" t="s">
        <v>1955</v>
      </c>
      <c r="B158" s="8">
        <v>39933.666666666664</v>
      </c>
      <c r="C158" s="138">
        <f>B158</f>
        <v>39933.666666666664</v>
      </c>
      <c r="D158" s="136">
        <v>139</v>
      </c>
      <c r="E158" s="60">
        <f t="shared" si="12"/>
        <v>3.93604215</v>
      </c>
      <c r="F158" s="9">
        <v>55.5</v>
      </c>
      <c r="G158" s="9">
        <v>3.59</v>
      </c>
      <c r="H158" s="12">
        <v>0.13</v>
      </c>
      <c r="I158" s="9">
        <v>31.1</v>
      </c>
      <c r="J158" s="2">
        <v>101.84722135416665</v>
      </c>
      <c r="K158" s="61">
        <f t="shared" si="13"/>
        <v>218.450339325</v>
      </c>
    </row>
    <row r="159" spans="1:11" ht="13.5">
      <c r="A159" t="s">
        <v>1956</v>
      </c>
      <c r="B159" s="8">
        <v>39938.666666666664</v>
      </c>
      <c r="C159" s="138">
        <f aca="true" t="shared" si="14" ref="C159:C169">B159</f>
        <v>39938.666666666664</v>
      </c>
      <c r="D159" s="136">
        <v>177</v>
      </c>
      <c r="E159" s="60">
        <f t="shared" si="12"/>
        <v>5.01208245</v>
      </c>
      <c r="F159" s="9">
        <v>46.9</v>
      </c>
      <c r="G159" s="9">
        <v>3.2</v>
      </c>
      <c r="H159" s="12">
        <v>0.09</v>
      </c>
      <c r="I159" s="9">
        <v>27</v>
      </c>
      <c r="J159" s="2">
        <v>87.76974270833334</v>
      </c>
      <c r="K159" s="61">
        <f t="shared" si="13"/>
        <v>235.066666905</v>
      </c>
    </row>
    <row r="160" spans="1:11" ht="13.5">
      <c r="A160" t="s">
        <v>1957</v>
      </c>
      <c r="B160" s="8">
        <v>39947.645833333336</v>
      </c>
      <c r="C160" s="138">
        <f t="shared" si="14"/>
        <v>39947.645833333336</v>
      </c>
      <c r="D160" s="136">
        <v>234</v>
      </c>
      <c r="E160" s="60">
        <f t="shared" si="12"/>
        <v>6.6261429000000005</v>
      </c>
      <c r="F160" s="9">
        <v>32.9</v>
      </c>
      <c r="G160" s="9">
        <v>2.52</v>
      </c>
      <c r="H160" s="12">
        <v>0.07</v>
      </c>
      <c r="I160" s="9">
        <v>20.7</v>
      </c>
      <c r="J160" s="2">
        <v>70.54628125</v>
      </c>
      <c r="K160" s="61">
        <f t="shared" si="13"/>
        <v>218.00010141</v>
      </c>
    </row>
    <row r="161" spans="1:11" ht="13.5">
      <c r="A161" t="s">
        <v>1958</v>
      </c>
      <c r="B161" s="8">
        <v>39952.479166666664</v>
      </c>
      <c r="C161" s="138">
        <f t="shared" si="14"/>
        <v>39952.479166666664</v>
      </c>
      <c r="D161" s="136">
        <v>649</v>
      </c>
      <c r="E161" s="60">
        <f t="shared" si="12"/>
        <v>18.377635650000002</v>
      </c>
      <c r="F161" s="9">
        <v>13</v>
      </c>
      <c r="G161" s="9">
        <v>1.31</v>
      </c>
      <c r="H161" s="12">
        <v>0.02</v>
      </c>
      <c r="I161" s="9">
        <v>11</v>
      </c>
      <c r="J161" s="2">
        <v>31.078496875</v>
      </c>
      <c r="K161" s="61">
        <f t="shared" si="13"/>
        <v>238.90926345000003</v>
      </c>
    </row>
    <row r="162" spans="1:11" ht="13.5">
      <c r="A162" t="s">
        <v>1959</v>
      </c>
      <c r="B162" s="8">
        <v>39961.6875</v>
      </c>
      <c r="C162" s="138">
        <f t="shared" si="14"/>
        <v>39961.6875</v>
      </c>
      <c r="D162" s="141">
        <v>400</v>
      </c>
      <c r="E162" s="60">
        <f t="shared" si="12"/>
        <v>11.326740000000001</v>
      </c>
      <c r="F162" s="9">
        <v>15.7</v>
      </c>
      <c r="G162" s="9">
        <v>1.66</v>
      </c>
      <c r="H162" s="12">
        <v>0.03</v>
      </c>
      <c r="I162" s="9">
        <v>10.7</v>
      </c>
      <c r="J162" s="2">
        <v>42.10532552083334</v>
      </c>
      <c r="K162" s="61">
        <f t="shared" si="13"/>
        <v>177.82981800000002</v>
      </c>
    </row>
    <row r="163" spans="1:11" ht="13.5">
      <c r="A163" t="s">
        <v>1960</v>
      </c>
      <c r="B163" s="8">
        <v>39967.677083333336</v>
      </c>
      <c r="C163" s="138">
        <f t="shared" si="14"/>
        <v>39967.677083333336</v>
      </c>
      <c r="D163" s="141">
        <v>312</v>
      </c>
      <c r="E163" s="60">
        <f>D163*0.02831685</f>
        <v>8.8348572</v>
      </c>
      <c r="F163" s="9">
        <v>21.8</v>
      </c>
      <c r="G163" s="9">
        <v>2.11</v>
      </c>
      <c r="H163" s="12">
        <v>0.04</v>
      </c>
      <c r="I163" s="9">
        <v>13</v>
      </c>
      <c r="J163" s="2">
        <v>60.37744791666666</v>
      </c>
      <c r="K163" s="61">
        <f t="shared" si="13"/>
        <v>192.59988696000002</v>
      </c>
    </row>
    <row r="164" spans="1:11" ht="13.5">
      <c r="A164" t="s">
        <v>1961</v>
      </c>
      <c r="B164" s="8">
        <v>39974.697916666664</v>
      </c>
      <c r="C164" s="138">
        <f t="shared" si="14"/>
        <v>39974.697916666664</v>
      </c>
      <c r="D164" s="141">
        <v>275</v>
      </c>
      <c r="E164" s="60">
        <f aca="true" t="shared" si="15" ref="E164:E176">D164*0.02831685</f>
        <v>7.787133750000001</v>
      </c>
      <c r="F164" s="9">
        <v>23.5</v>
      </c>
      <c r="G164" s="9">
        <v>2.26</v>
      </c>
      <c r="H164" s="12">
        <v>0.04</v>
      </c>
      <c r="I164" s="9">
        <v>14.5</v>
      </c>
      <c r="J164" s="2">
        <v>63.71409635416667</v>
      </c>
      <c r="K164" s="61">
        <f t="shared" si="13"/>
        <v>182.99764312500002</v>
      </c>
    </row>
    <row r="165" spans="1:11" ht="13.5">
      <c r="A165" t="s">
        <v>1962</v>
      </c>
      <c r="B165" s="8">
        <v>39981.697916666664</v>
      </c>
      <c r="C165" s="138">
        <f t="shared" si="14"/>
        <v>39981.697916666664</v>
      </c>
      <c r="D165" s="141">
        <v>216</v>
      </c>
      <c r="E165" s="60">
        <f t="shared" si="15"/>
        <v>6.1164396000000005</v>
      </c>
      <c r="F165" s="9">
        <v>27.5</v>
      </c>
      <c r="G165" s="9">
        <v>2.68</v>
      </c>
      <c r="H165" s="12">
        <v>0.05</v>
      </c>
      <c r="I165" s="9">
        <v>14.9</v>
      </c>
      <c r="J165" s="2">
        <v>74.99514583333332</v>
      </c>
      <c r="K165" s="61">
        <f t="shared" si="13"/>
        <v>168.202089</v>
      </c>
    </row>
    <row r="166" spans="1:11" ht="13.5">
      <c r="A166" t="s">
        <v>1963</v>
      </c>
      <c r="B166" s="8">
        <v>39988.71875</v>
      </c>
      <c r="C166" s="138">
        <f t="shared" si="14"/>
        <v>39988.71875</v>
      </c>
      <c r="D166" s="141">
        <v>185</v>
      </c>
      <c r="E166" s="60">
        <f t="shared" si="15"/>
        <v>5.23861725</v>
      </c>
      <c r="F166" s="9">
        <v>30.2</v>
      </c>
      <c r="G166" s="9">
        <v>2.95</v>
      </c>
      <c r="H166" s="12">
        <v>0.06</v>
      </c>
      <c r="I166" s="9">
        <v>15.5</v>
      </c>
      <c r="J166" s="2">
        <v>81.98621874999999</v>
      </c>
      <c r="K166" s="61">
        <f t="shared" si="13"/>
        <v>158.20624095</v>
      </c>
    </row>
    <row r="167" spans="1:11" ht="13.5">
      <c r="A167" t="s">
        <v>1964</v>
      </c>
      <c r="B167" s="8">
        <v>39995.708333333336</v>
      </c>
      <c r="C167" s="138">
        <f t="shared" si="14"/>
        <v>39995.708333333336</v>
      </c>
      <c r="D167" s="141">
        <v>165</v>
      </c>
      <c r="E167" s="60">
        <f t="shared" si="15"/>
        <v>4.67228025</v>
      </c>
      <c r="F167" s="9">
        <v>36.1</v>
      </c>
      <c r="G167" s="9">
        <v>3.28</v>
      </c>
      <c r="H167" s="12">
        <v>0.08</v>
      </c>
      <c r="I167" s="9">
        <v>16.6</v>
      </c>
      <c r="J167" s="2">
        <v>88.97729166666667</v>
      </c>
      <c r="K167" s="61">
        <f t="shared" si="13"/>
        <v>168.669317025</v>
      </c>
    </row>
    <row r="168" spans="1:11" ht="13.5">
      <c r="A168" t="s">
        <v>1965</v>
      </c>
      <c r="B168" s="8">
        <v>40002.697916666664</v>
      </c>
      <c r="C168" s="138">
        <f t="shared" si="14"/>
        <v>40002.697916666664</v>
      </c>
      <c r="D168" s="141">
        <v>146</v>
      </c>
      <c r="E168" s="60">
        <f t="shared" si="15"/>
        <v>4.1342601000000005</v>
      </c>
      <c r="F168" s="9">
        <v>36.5</v>
      </c>
      <c r="G168" s="9">
        <v>3.47</v>
      </c>
      <c r="H168" s="12">
        <v>0.08</v>
      </c>
      <c r="I168" s="9">
        <v>16.6</v>
      </c>
      <c r="J168" s="2">
        <v>95.96836458333333</v>
      </c>
      <c r="K168" s="61">
        <f t="shared" si="13"/>
        <v>150.90049365000002</v>
      </c>
    </row>
    <row r="169" spans="1:11" ht="13.5">
      <c r="A169" t="s">
        <v>1966</v>
      </c>
      <c r="B169" s="8">
        <v>40009.631944444445</v>
      </c>
      <c r="C169" s="138">
        <f t="shared" si="14"/>
        <v>40009.631944444445</v>
      </c>
      <c r="D169" s="141">
        <v>135</v>
      </c>
      <c r="E169" s="60">
        <f t="shared" si="15"/>
        <v>3.82277475</v>
      </c>
      <c r="F169" s="9">
        <v>37.8</v>
      </c>
      <c r="G169" s="9">
        <v>3.63</v>
      </c>
      <c r="H169" s="12">
        <v>0.08</v>
      </c>
      <c r="I169" s="9">
        <v>17.1</v>
      </c>
      <c r="J169" s="2">
        <v>99.146125</v>
      </c>
      <c r="K169" s="61">
        <f t="shared" si="13"/>
        <v>144.50088555</v>
      </c>
    </row>
    <row r="170" spans="1:11" ht="13.5">
      <c r="A170" t="s">
        <v>1967</v>
      </c>
      <c r="B170" s="8">
        <v>40016.729166666664</v>
      </c>
      <c r="C170" s="138">
        <v>40016.729166666664</v>
      </c>
      <c r="D170" s="136">
        <v>121</v>
      </c>
      <c r="E170" s="60">
        <f t="shared" si="15"/>
        <v>3.42633885</v>
      </c>
      <c r="F170" s="9">
        <v>40.6</v>
      </c>
      <c r="G170" s="9">
        <v>3.86</v>
      </c>
      <c r="H170" s="12">
        <v>0.11</v>
      </c>
      <c r="I170" s="9">
        <v>17.8</v>
      </c>
      <c r="J170" s="2">
        <v>102.80054947916668</v>
      </c>
      <c r="K170" s="61">
        <f t="shared" si="13"/>
        <v>139.10935731</v>
      </c>
    </row>
    <row r="171" spans="1:11" ht="13.5">
      <c r="A171" t="s">
        <v>1968</v>
      </c>
      <c r="B171" s="8">
        <v>40023.729166666664</v>
      </c>
      <c r="C171" s="138">
        <v>40023.729166666664</v>
      </c>
      <c r="D171" s="136">
        <v>117</v>
      </c>
      <c r="E171" s="60">
        <f t="shared" si="15"/>
        <v>3.3130714500000003</v>
      </c>
      <c r="F171" s="9">
        <v>42.1</v>
      </c>
      <c r="G171" s="9">
        <v>3.91</v>
      </c>
      <c r="H171" s="12">
        <v>0.11</v>
      </c>
      <c r="I171" s="9">
        <v>18.1</v>
      </c>
      <c r="J171" s="2">
        <v>103.91276562500002</v>
      </c>
      <c r="K171" s="61">
        <f t="shared" si="13"/>
        <v>139.48030804500002</v>
      </c>
    </row>
    <row r="172" spans="1:11" ht="13.5">
      <c r="A172" t="s">
        <v>1969</v>
      </c>
      <c r="B172" s="8">
        <v>40030.75</v>
      </c>
      <c r="C172" s="138">
        <v>40030.75</v>
      </c>
      <c r="D172" s="136">
        <v>116</v>
      </c>
      <c r="E172" s="60">
        <f t="shared" si="15"/>
        <v>3.2847546000000003</v>
      </c>
      <c r="F172" s="135">
        <v>42.9</v>
      </c>
      <c r="G172" s="135">
        <v>3.96</v>
      </c>
      <c r="H172" s="139">
        <v>0.11</v>
      </c>
      <c r="I172" s="135">
        <v>18.4</v>
      </c>
      <c r="J172" s="2">
        <v>106.77274999999999</v>
      </c>
      <c r="K172" s="61">
        <f t="shared" si="13"/>
        <v>140.91597234</v>
      </c>
    </row>
    <row r="173" spans="1:11" ht="13.5">
      <c r="A173" t="s">
        <v>1970</v>
      </c>
      <c r="B173" s="8">
        <v>40044.677083333336</v>
      </c>
      <c r="C173" s="138">
        <v>40044.677083333336</v>
      </c>
      <c r="D173" s="136">
        <v>107</v>
      </c>
      <c r="E173" s="60">
        <f t="shared" si="15"/>
        <v>3.0299029500000003</v>
      </c>
      <c r="F173" s="135">
        <v>46.9</v>
      </c>
      <c r="G173" s="135">
        <v>4.09</v>
      </c>
      <c r="H173" s="139">
        <v>0.12</v>
      </c>
      <c r="I173" s="135">
        <v>18.9</v>
      </c>
      <c r="J173" s="2">
        <v>111.85716666666666</v>
      </c>
      <c r="K173" s="61">
        <f t="shared" si="13"/>
        <v>142.102448355</v>
      </c>
    </row>
    <row r="174" spans="1:11" ht="13.5">
      <c r="A174" t="s">
        <v>1971</v>
      </c>
      <c r="B174" s="8">
        <v>40058.75</v>
      </c>
      <c r="C174" s="138">
        <v>40058.75</v>
      </c>
      <c r="D174" s="136">
        <v>104</v>
      </c>
      <c r="E174" s="60">
        <f t="shared" si="15"/>
        <v>2.9449524</v>
      </c>
      <c r="F174" s="135">
        <v>49.8</v>
      </c>
      <c r="G174" s="135">
        <v>4.19</v>
      </c>
      <c r="H174" s="139">
        <v>0.13</v>
      </c>
      <c r="I174" s="135">
        <v>21.1</v>
      </c>
      <c r="J174" s="2">
        <v>115.35270312499999</v>
      </c>
      <c r="K174" s="61">
        <f t="shared" si="13"/>
        <v>146.65862952</v>
      </c>
    </row>
    <row r="175" spans="1:11" ht="13.5">
      <c r="A175" t="s">
        <v>1972</v>
      </c>
      <c r="B175" s="8">
        <v>40072.677083333336</v>
      </c>
      <c r="C175" s="138">
        <v>40072.677083333336</v>
      </c>
      <c r="D175" s="136">
        <v>101</v>
      </c>
      <c r="E175" s="60">
        <f t="shared" si="15"/>
        <v>2.86000185</v>
      </c>
      <c r="F175" s="135">
        <v>51.9</v>
      </c>
      <c r="G175" s="135">
        <v>4.24</v>
      </c>
      <c r="H175" s="139">
        <v>0.13</v>
      </c>
      <c r="I175" s="135">
        <v>21.3</v>
      </c>
      <c r="J175" s="2">
        <v>118.68935156250001</v>
      </c>
      <c r="K175" s="61">
        <f t="shared" si="13"/>
        <v>148.434096015</v>
      </c>
    </row>
    <row r="176" spans="1:11" ht="13.5">
      <c r="A176" t="s">
        <v>1973</v>
      </c>
      <c r="B176" s="8">
        <v>40086.71875</v>
      </c>
      <c r="C176" s="138">
        <v>40086.71875</v>
      </c>
      <c r="D176" s="136">
        <v>99</v>
      </c>
      <c r="E176" s="60">
        <f t="shared" si="15"/>
        <v>2.8033681500000003</v>
      </c>
      <c r="F176" s="9">
        <v>57</v>
      </c>
      <c r="G176" s="9">
        <v>4.25</v>
      </c>
      <c r="H176" s="12">
        <v>0.15</v>
      </c>
      <c r="I176" s="9">
        <v>22</v>
      </c>
      <c r="J176" s="2">
        <v>119.32490364583334</v>
      </c>
      <c r="K176" s="61">
        <f t="shared" si="13"/>
        <v>159.79198455000002</v>
      </c>
    </row>
    <row r="177" spans="1:11" ht="12">
      <c r="A177" s="11" t="s">
        <v>1713</v>
      </c>
      <c r="B177" s="8"/>
      <c r="C177" s="138"/>
      <c r="D177" s="1"/>
      <c r="E177" s="21"/>
      <c r="F177" s="135"/>
      <c r="G177" s="9"/>
      <c r="H177" s="12"/>
      <c r="I177" s="9"/>
      <c r="J177" s="2"/>
      <c r="K177" s="2"/>
    </row>
    <row r="178" spans="1:11" ht="13.5">
      <c r="A178" t="s">
        <v>1974</v>
      </c>
      <c r="B178" s="8">
        <v>40100.697916666664</v>
      </c>
      <c r="C178" s="138">
        <v>40100.697916666664</v>
      </c>
      <c r="D178" s="136">
        <v>120</v>
      </c>
      <c r="E178" s="60">
        <f aca="true" t="shared" si="16" ref="E178:E191">D178*0.02831685</f>
        <v>3.398022</v>
      </c>
      <c r="F178" s="9">
        <v>64</v>
      </c>
      <c r="G178" s="9">
        <v>4.19</v>
      </c>
      <c r="H178" s="12">
        <v>0.15</v>
      </c>
      <c r="I178" s="9">
        <v>28.9</v>
      </c>
      <c r="J178" s="140">
        <v>106.13719791666666</v>
      </c>
      <c r="K178" s="61">
        <f aca="true" t="shared" si="17" ref="K178:K203">E178*F178</f>
        <v>217.473408</v>
      </c>
    </row>
    <row r="179" spans="1:11" ht="13.5">
      <c r="A179" t="s">
        <v>1975</v>
      </c>
      <c r="B179" s="8">
        <v>40127.625</v>
      </c>
      <c r="C179" s="138">
        <v>40127.625</v>
      </c>
      <c r="D179" s="136">
        <v>97</v>
      </c>
      <c r="E179" s="60">
        <f t="shared" si="16"/>
        <v>2.74673445</v>
      </c>
      <c r="F179" s="9">
        <v>56.9</v>
      </c>
      <c r="G179" s="9">
        <v>4.29</v>
      </c>
      <c r="H179" s="12">
        <v>0.13</v>
      </c>
      <c r="I179" s="9">
        <v>23.8</v>
      </c>
      <c r="J179" s="140">
        <v>121.70822395833335</v>
      </c>
      <c r="K179" s="61">
        <f t="shared" si="17"/>
        <v>156.28919020499998</v>
      </c>
    </row>
    <row r="180" spans="1:11" ht="13.5">
      <c r="A180" t="s">
        <v>1976</v>
      </c>
      <c r="B180" s="8">
        <v>40149.680555555555</v>
      </c>
      <c r="C180" s="138">
        <v>40149.680555555555</v>
      </c>
      <c r="D180" s="136">
        <v>85</v>
      </c>
      <c r="E180" s="60">
        <f t="shared" si="16"/>
        <v>2.40693225</v>
      </c>
      <c r="F180" s="9">
        <v>64.2</v>
      </c>
      <c r="G180" s="9">
        <v>4.41</v>
      </c>
      <c r="H180" s="12">
        <v>0.15</v>
      </c>
      <c r="I180" s="9">
        <v>27</v>
      </c>
      <c r="J180" s="140">
        <v>125.83931249999999</v>
      </c>
      <c r="K180" s="61">
        <f t="shared" si="17"/>
        <v>154.52505045</v>
      </c>
    </row>
    <row r="181" spans="1:11" ht="13.5">
      <c r="A181" t="s">
        <v>1977</v>
      </c>
      <c r="B181" s="8">
        <v>40198.489583333336</v>
      </c>
      <c r="C181" s="138">
        <v>40198.489583333336</v>
      </c>
      <c r="D181" s="136">
        <v>83</v>
      </c>
      <c r="E181" s="60">
        <f t="shared" si="16"/>
        <v>2.35029855</v>
      </c>
      <c r="F181" s="9">
        <v>62</v>
      </c>
      <c r="G181" s="9">
        <v>4.49</v>
      </c>
      <c r="H181" s="12">
        <v>0.17</v>
      </c>
      <c r="I181" s="9">
        <v>29.2</v>
      </c>
      <c r="J181" s="140">
        <v>129.652625</v>
      </c>
      <c r="K181" s="61">
        <f t="shared" si="17"/>
        <v>145.7185101</v>
      </c>
    </row>
    <row r="182" spans="1:11" ht="13.5">
      <c r="A182" t="s">
        <v>1978</v>
      </c>
      <c r="B182" s="8">
        <v>40239.697916666664</v>
      </c>
      <c r="C182" s="138">
        <v>40239.697916666664</v>
      </c>
      <c r="D182" s="136">
        <v>82</v>
      </c>
      <c r="E182" s="60">
        <f t="shared" si="16"/>
        <v>2.3219817000000003</v>
      </c>
      <c r="F182" s="9">
        <v>66.3</v>
      </c>
      <c r="G182" s="9">
        <v>4.66</v>
      </c>
      <c r="H182" s="12">
        <v>0.16</v>
      </c>
      <c r="I182" s="9">
        <v>28.7</v>
      </c>
      <c r="J182" s="140">
        <v>134.26037760416668</v>
      </c>
      <c r="K182" s="61">
        <f t="shared" si="17"/>
        <v>153.94738671000002</v>
      </c>
    </row>
    <row r="183" spans="1:11" ht="13.5">
      <c r="A183" t="s">
        <v>1979</v>
      </c>
      <c r="B183" s="8">
        <v>40260.791666666664</v>
      </c>
      <c r="C183" s="138">
        <v>40260.791666666664</v>
      </c>
      <c r="D183" s="136">
        <v>82</v>
      </c>
      <c r="E183" s="60">
        <f>D183*0.02831685</f>
        <v>2.3219817000000003</v>
      </c>
      <c r="F183" s="9">
        <v>68.9</v>
      </c>
      <c r="G183" s="9">
        <v>4.66</v>
      </c>
      <c r="H183" s="12">
        <v>0.17</v>
      </c>
      <c r="I183" s="9">
        <v>28.9</v>
      </c>
      <c r="J183" s="140">
        <v>134.26037760416668</v>
      </c>
      <c r="K183" s="61">
        <f>E183*F183</f>
        <v>159.98453913000003</v>
      </c>
    </row>
    <row r="184" spans="1:11" ht="13.5">
      <c r="A184" t="s">
        <v>1980</v>
      </c>
      <c r="B184" s="8">
        <v>40283.60763888889</v>
      </c>
      <c r="C184" s="138">
        <v>40283.60763888889</v>
      </c>
      <c r="D184" s="136">
        <v>95</v>
      </c>
      <c r="E184" s="60">
        <f t="shared" si="16"/>
        <v>2.69010075</v>
      </c>
      <c r="F184" s="9">
        <v>66.9</v>
      </c>
      <c r="G184" s="9">
        <v>4.46</v>
      </c>
      <c r="H184" s="12">
        <v>0.14</v>
      </c>
      <c r="I184" s="9">
        <v>31.1</v>
      </c>
      <c r="J184" s="140">
        <v>131.71816927083336</v>
      </c>
      <c r="K184" s="61">
        <f t="shared" si="17"/>
        <v>179.96774017500002</v>
      </c>
    </row>
    <row r="185" spans="1:11" ht="13.5">
      <c r="A185" t="s">
        <v>1981</v>
      </c>
      <c r="B185" s="8">
        <v>40296.645833333336</v>
      </c>
      <c r="C185" s="138">
        <v>40296.645833333336</v>
      </c>
      <c r="D185" s="136">
        <v>199</v>
      </c>
      <c r="E185" s="60">
        <f>D185*0.02831685</f>
        <v>5.63505315</v>
      </c>
      <c r="F185" s="9">
        <v>48.5</v>
      </c>
      <c r="G185" s="9">
        <v>2.85</v>
      </c>
      <c r="H185" s="12">
        <v>0.12</v>
      </c>
      <c r="I185" s="9">
        <v>26.8</v>
      </c>
      <c r="J185" s="140">
        <v>70.86405729166667</v>
      </c>
      <c r="K185" s="61">
        <f>E185*F185</f>
        <v>273.300077775</v>
      </c>
    </row>
    <row r="186" spans="1:11" ht="13.5">
      <c r="A186" t="s">
        <v>1982</v>
      </c>
      <c r="B186" s="8">
        <v>40303.6875</v>
      </c>
      <c r="C186" s="138">
        <v>40303.6875</v>
      </c>
      <c r="D186" s="136">
        <v>114</v>
      </c>
      <c r="E186" s="60">
        <f t="shared" si="16"/>
        <v>3.2281209</v>
      </c>
      <c r="F186" s="21">
        <v>54.9</v>
      </c>
      <c r="G186" s="21">
        <v>3.87</v>
      </c>
      <c r="H186" s="18">
        <v>0.14</v>
      </c>
      <c r="I186" s="21">
        <v>27.6</v>
      </c>
      <c r="J186" s="140">
        <v>110.42717447916667</v>
      </c>
      <c r="K186" s="61">
        <f t="shared" si="17"/>
        <v>177.22383741</v>
      </c>
    </row>
    <row r="187" spans="1:11" ht="13.5">
      <c r="A187" t="s">
        <v>1983</v>
      </c>
      <c r="B187" s="8">
        <v>40315.541666666664</v>
      </c>
      <c r="C187" s="138">
        <v>40315.541666666664</v>
      </c>
      <c r="D187" s="136">
        <v>165</v>
      </c>
      <c r="E187" s="60">
        <f t="shared" si="16"/>
        <v>4.67228025</v>
      </c>
      <c r="F187" s="21">
        <v>33.6</v>
      </c>
      <c r="G187" s="21">
        <v>2.76</v>
      </c>
      <c r="H187" s="18">
        <v>0.09</v>
      </c>
      <c r="I187" s="21">
        <v>18.4</v>
      </c>
      <c r="J187" s="140">
        <v>73.56515364583333</v>
      </c>
      <c r="K187" s="61">
        <f t="shared" si="17"/>
        <v>156.9886164</v>
      </c>
    </row>
    <row r="188" spans="1:11" ht="13.5">
      <c r="A188" t="s">
        <v>1984</v>
      </c>
      <c r="B188" s="8">
        <v>40324.541666666664</v>
      </c>
      <c r="C188" s="138">
        <v>40324.541666666664</v>
      </c>
      <c r="D188" s="136">
        <v>170</v>
      </c>
      <c r="E188" s="60">
        <f t="shared" si="16"/>
        <v>4.8138645</v>
      </c>
      <c r="F188" s="21">
        <v>35.7</v>
      </c>
      <c r="G188" s="21">
        <v>2.77</v>
      </c>
      <c r="H188" s="18">
        <v>0.09</v>
      </c>
      <c r="I188" s="21">
        <v>19.6</v>
      </c>
      <c r="J188" s="140">
        <v>77.85513020833334</v>
      </c>
      <c r="K188" s="61">
        <f t="shared" si="17"/>
        <v>171.85496265000003</v>
      </c>
    </row>
    <row r="189" spans="1:11" ht="13.5">
      <c r="A189" t="s">
        <v>1985</v>
      </c>
      <c r="B189" s="8">
        <v>40331.572916666664</v>
      </c>
      <c r="C189" s="138">
        <v>40331.572916666664</v>
      </c>
      <c r="D189" s="136">
        <v>291</v>
      </c>
      <c r="E189" s="60">
        <f t="shared" si="16"/>
        <v>8.24020335</v>
      </c>
      <c r="F189" s="21">
        <v>38.4</v>
      </c>
      <c r="G189" s="21">
        <v>2.37</v>
      </c>
      <c r="H189" s="18">
        <v>0.1</v>
      </c>
      <c r="I189" s="21">
        <v>20.4</v>
      </c>
      <c r="J189" s="140">
        <v>57.676351562499995</v>
      </c>
      <c r="K189" s="61">
        <f t="shared" si="17"/>
        <v>316.42380864</v>
      </c>
    </row>
    <row r="190" spans="1:11" ht="13.5">
      <c r="A190" t="s">
        <v>1986</v>
      </c>
      <c r="B190" s="8">
        <v>40336.708333333336</v>
      </c>
      <c r="C190" s="138">
        <v>40336.708333333336</v>
      </c>
      <c r="D190" s="136">
        <v>461</v>
      </c>
      <c r="E190" s="60">
        <f t="shared" si="16"/>
        <v>13.054067850000001</v>
      </c>
      <c r="F190" s="21">
        <v>22.3</v>
      </c>
      <c r="G190" s="21">
        <v>1.93</v>
      </c>
      <c r="H190" s="18">
        <v>0.05</v>
      </c>
      <c r="I190" s="21">
        <v>14.5</v>
      </c>
      <c r="J190" s="140">
        <v>49.73195052083334</v>
      </c>
      <c r="K190" s="61">
        <f t="shared" si="17"/>
        <v>291.105713055</v>
      </c>
    </row>
    <row r="191" spans="1:11" ht="13.5">
      <c r="A191" t="s">
        <v>1987</v>
      </c>
      <c r="B191" s="8">
        <v>40345.770833333336</v>
      </c>
      <c r="C191" s="138">
        <v>40345.770833333336</v>
      </c>
      <c r="D191" s="136">
        <v>193</v>
      </c>
      <c r="E191" s="60">
        <f t="shared" si="16"/>
        <v>5.46515205</v>
      </c>
      <c r="F191" s="21">
        <v>33.5</v>
      </c>
      <c r="G191" s="21">
        <v>2.71</v>
      </c>
      <c r="H191" s="18">
        <v>0.09</v>
      </c>
      <c r="I191" s="21">
        <v>17</v>
      </c>
      <c r="J191" s="140">
        <v>75.47180989583333</v>
      </c>
      <c r="K191" s="61">
        <f t="shared" si="17"/>
        <v>183.082593675</v>
      </c>
    </row>
    <row r="192" spans="1:11" ht="13.5">
      <c r="A192" t="s">
        <v>1988</v>
      </c>
      <c r="B192" s="8">
        <v>40351.75</v>
      </c>
      <c r="C192" s="138">
        <v>40351.75</v>
      </c>
      <c r="D192" s="136">
        <v>152</v>
      </c>
      <c r="E192" s="60">
        <f>D192*0.02831685</f>
        <v>4.3041612</v>
      </c>
      <c r="F192" s="21">
        <v>37.2</v>
      </c>
      <c r="G192" s="21">
        <v>3.15</v>
      </c>
      <c r="H192" s="18">
        <v>0.09</v>
      </c>
      <c r="I192" s="21">
        <v>17.6</v>
      </c>
      <c r="J192" s="140">
        <v>88.18285156249999</v>
      </c>
      <c r="K192" s="61">
        <f t="shared" si="17"/>
        <v>160.11479664</v>
      </c>
    </row>
    <row r="193" spans="1:11" ht="13.5">
      <c r="A193" t="s">
        <v>1989</v>
      </c>
      <c r="B193" s="8">
        <v>40358.6875</v>
      </c>
      <c r="C193" s="138">
        <v>40358.6875</v>
      </c>
      <c r="D193" s="136">
        <v>130</v>
      </c>
      <c r="E193" s="60">
        <f aca="true" t="shared" si="18" ref="E193:E203">D193*0.02831685</f>
        <v>3.6811905</v>
      </c>
      <c r="F193" s="21">
        <v>41.1</v>
      </c>
      <c r="G193" s="21">
        <v>3.56</v>
      </c>
      <c r="H193" s="18">
        <v>0.11</v>
      </c>
      <c r="I193" s="21">
        <v>17.8</v>
      </c>
      <c r="J193" s="140">
        <v>98.98723697916665</v>
      </c>
      <c r="K193" s="61">
        <f t="shared" si="17"/>
        <v>151.29692955000002</v>
      </c>
    </row>
    <row r="194" spans="1:11" ht="13.5">
      <c r="A194" t="s">
        <v>1990</v>
      </c>
      <c r="B194" s="8">
        <v>40365.770833333336</v>
      </c>
      <c r="C194" s="138">
        <v>40365.770833333336</v>
      </c>
      <c r="D194" s="136">
        <v>130</v>
      </c>
      <c r="E194" s="60">
        <f t="shared" si="18"/>
        <v>3.6811905</v>
      </c>
      <c r="F194" s="21">
        <v>52</v>
      </c>
      <c r="G194" s="21">
        <v>3.81</v>
      </c>
      <c r="H194" s="18">
        <v>0.14</v>
      </c>
      <c r="I194" s="21">
        <v>22.3</v>
      </c>
      <c r="J194" s="140">
        <v>100.25834114583334</v>
      </c>
      <c r="K194" s="61">
        <f t="shared" si="17"/>
        <v>191.421906</v>
      </c>
    </row>
    <row r="195" spans="1:11" ht="13.5">
      <c r="A195" t="s">
        <v>1991</v>
      </c>
      <c r="B195" s="8">
        <v>40372.552083333336</v>
      </c>
      <c r="C195" s="138">
        <v>40372.552083333336</v>
      </c>
      <c r="D195" s="136">
        <v>111</v>
      </c>
      <c r="E195" s="60">
        <f t="shared" si="18"/>
        <v>3.14317035</v>
      </c>
      <c r="F195" s="21">
        <v>44.9</v>
      </c>
      <c r="G195" s="21">
        <v>3.97</v>
      </c>
      <c r="H195" s="18">
        <v>0.12</v>
      </c>
      <c r="I195" s="21">
        <v>19</v>
      </c>
      <c r="J195" s="140">
        <v>109.31495833333334</v>
      </c>
      <c r="K195" s="61">
        <f t="shared" si="17"/>
        <v>141.128348715</v>
      </c>
    </row>
    <row r="196" spans="1:11" ht="13.5">
      <c r="A196" t="s">
        <v>1992</v>
      </c>
      <c r="B196" s="8">
        <v>40378.541666666664</v>
      </c>
      <c r="C196" s="138">
        <v>40378.541666666664</v>
      </c>
      <c r="D196" s="136">
        <v>107</v>
      </c>
      <c r="E196" s="60">
        <f t="shared" si="18"/>
        <v>3.0299029500000003</v>
      </c>
      <c r="F196" s="21">
        <v>44.9</v>
      </c>
      <c r="G196" s="21">
        <v>4.03</v>
      </c>
      <c r="H196" s="18">
        <v>0.12</v>
      </c>
      <c r="I196" s="21">
        <v>18.6</v>
      </c>
      <c r="J196" s="140">
        <v>113.28715885416666</v>
      </c>
      <c r="K196" s="61">
        <f t="shared" si="17"/>
        <v>136.04264245500002</v>
      </c>
    </row>
    <row r="197" spans="1:11" ht="13.5">
      <c r="A197" t="s">
        <v>1993</v>
      </c>
      <c r="B197" s="8">
        <v>40386.708333333336</v>
      </c>
      <c r="C197" s="138">
        <v>40386.708333333336</v>
      </c>
      <c r="D197" s="136">
        <v>98</v>
      </c>
      <c r="E197" s="60">
        <f t="shared" si="18"/>
        <v>2.7750513</v>
      </c>
      <c r="F197" s="21">
        <v>48.7</v>
      </c>
      <c r="G197" s="21">
        <v>4.19</v>
      </c>
      <c r="H197" s="18">
        <v>0.13</v>
      </c>
      <c r="I197" s="21">
        <v>19.1</v>
      </c>
      <c r="J197" s="140">
        <v>114.55826302083335</v>
      </c>
      <c r="K197" s="61">
        <f t="shared" si="17"/>
        <v>135.14499831</v>
      </c>
    </row>
    <row r="198" spans="1:11" ht="13.5">
      <c r="A198" t="s">
        <v>1994</v>
      </c>
      <c r="B198" s="8">
        <v>40393.385416666664</v>
      </c>
      <c r="C198" s="138">
        <v>40393.385416666664</v>
      </c>
      <c r="D198" s="136">
        <v>94</v>
      </c>
      <c r="E198" s="60">
        <f t="shared" si="18"/>
        <v>2.6617839</v>
      </c>
      <c r="F198" s="21">
        <v>48</v>
      </c>
      <c r="G198" s="21">
        <v>4.19</v>
      </c>
      <c r="H198" s="18">
        <v>0.13</v>
      </c>
      <c r="I198" s="21">
        <v>20.1</v>
      </c>
      <c r="J198" s="140">
        <v>117.10047135416667</v>
      </c>
      <c r="K198" s="61">
        <f t="shared" si="17"/>
        <v>127.76562720000001</v>
      </c>
    </row>
    <row r="199" spans="1:11" ht="13.5">
      <c r="A199" t="s">
        <v>1995</v>
      </c>
      <c r="B199" s="8">
        <v>40402.385416666664</v>
      </c>
      <c r="C199" s="138">
        <v>40402.385416666664</v>
      </c>
      <c r="D199" s="136">
        <v>94</v>
      </c>
      <c r="E199" s="60">
        <f t="shared" si="18"/>
        <v>2.6617839</v>
      </c>
      <c r="F199" s="21">
        <v>50.6</v>
      </c>
      <c r="G199" s="21">
        <v>4.24</v>
      </c>
      <c r="H199" s="18">
        <v>0.14</v>
      </c>
      <c r="I199" s="21">
        <v>21.7</v>
      </c>
      <c r="J199" s="140">
        <v>118.53046354166668</v>
      </c>
      <c r="K199" s="61">
        <f t="shared" si="17"/>
        <v>134.68626534</v>
      </c>
    </row>
    <row r="200" spans="1:11" ht="13.5">
      <c r="A200" t="s">
        <v>1996</v>
      </c>
      <c r="B200" s="8">
        <v>40409.708333333336</v>
      </c>
      <c r="C200" s="138">
        <v>40409.708333333336</v>
      </c>
      <c r="D200" s="136">
        <v>89</v>
      </c>
      <c r="E200" s="60">
        <f t="shared" si="18"/>
        <v>2.52019965</v>
      </c>
      <c r="F200" s="21">
        <v>50.7</v>
      </c>
      <c r="G200" s="21">
        <v>4.28</v>
      </c>
      <c r="H200" s="18">
        <v>0.13</v>
      </c>
      <c r="I200" s="21">
        <v>20.6</v>
      </c>
      <c r="J200" s="140">
        <v>121.86711197916667</v>
      </c>
      <c r="K200" s="61">
        <f t="shared" si="17"/>
        <v>127.77412225500001</v>
      </c>
    </row>
    <row r="201" spans="1:11" ht="13.5">
      <c r="A201" t="s">
        <v>1997</v>
      </c>
      <c r="B201" s="8">
        <v>40414.489583333336</v>
      </c>
      <c r="C201" s="138">
        <v>40414.489583333336</v>
      </c>
      <c r="D201" s="136">
        <v>90</v>
      </c>
      <c r="E201" s="60">
        <f t="shared" si="18"/>
        <v>2.5485165000000003</v>
      </c>
      <c r="F201" s="21">
        <v>49.6</v>
      </c>
      <c r="G201" s="21">
        <v>4.27</v>
      </c>
      <c r="H201" s="18">
        <v>0.13</v>
      </c>
      <c r="I201" s="21">
        <v>20.5</v>
      </c>
      <c r="J201" s="140">
        <v>122.02600000000002</v>
      </c>
      <c r="K201" s="61">
        <f t="shared" si="17"/>
        <v>126.40641840000002</v>
      </c>
    </row>
    <row r="202" spans="1:11" ht="13.5">
      <c r="A202" t="s">
        <v>1998</v>
      </c>
      <c r="B202" s="8">
        <v>40429.55902777778</v>
      </c>
      <c r="C202" s="138">
        <v>40429.55902777778</v>
      </c>
      <c r="D202" s="136">
        <v>89</v>
      </c>
      <c r="E202" s="60">
        <f t="shared" si="18"/>
        <v>2.52019965</v>
      </c>
      <c r="F202" s="21">
        <v>46.8</v>
      </c>
      <c r="G202" s="21">
        <v>4.33</v>
      </c>
      <c r="H202" s="18">
        <v>0.12</v>
      </c>
      <c r="I202" s="21">
        <v>20.7</v>
      </c>
      <c r="J202" s="140">
        <v>126.15708854166664</v>
      </c>
      <c r="K202" s="61">
        <f t="shared" si="17"/>
        <v>117.94534361999999</v>
      </c>
    </row>
    <row r="203" spans="1:11" ht="13.5">
      <c r="A203" t="s">
        <v>1999</v>
      </c>
      <c r="B203" s="8">
        <v>40444.677083333336</v>
      </c>
      <c r="C203" s="138">
        <v>40444.677083333336</v>
      </c>
      <c r="D203" s="136">
        <v>83</v>
      </c>
      <c r="E203" s="60">
        <f t="shared" si="18"/>
        <v>2.35029855</v>
      </c>
      <c r="F203" s="21">
        <v>49.5</v>
      </c>
      <c r="G203" s="21">
        <v>4.43</v>
      </c>
      <c r="H203" s="18">
        <v>0.13</v>
      </c>
      <c r="I203" s="21">
        <v>21.2</v>
      </c>
      <c r="J203" s="140">
        <v>129.17596093750004</v>
      </c>
      <c r="K203" s="61">
        <f t="shared" si="17"/>
        <v>116.339778225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07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8515625" style="93" customWidth="1"/>
    <col min="2" max="2" width="16.421875" style="95" customWidth="1"/>
    <col min="3" max="3" width="11.421875" style="97" bestFit="1" customWidth="1"/>
    <col min="4" max="4" width="9.140625" style="97" customWidth="1"/>
    <col min="5" max="7" width="9.140625" style="99" customWidth="1"/>
    <col min="8" max="8" width="9.140625" style="98" customWidth="1"/>
    <col min="9" max="9" width="9.140625" style="99" customWidth="1"/>
    <col min="10" max="11" width="9.140625" style="97" customWidth="1"/>
    <col min="12" max="12" width="12.28125" style="0" customWidth="1"/>
  </cols>
  <sheetData>
    <row r="1" spans="1:8" ht="12.75">
      <c r="A1" s="14" t="s">
        <v>54</v>
      </c>
      <c r="B1" s="84"/>
      <c r="C1" s="11"/>
      <c r="D1" s="11"/>
      <c r="G1" s="99" t="s">
        <v>784</v>
      </c>
      <c r="H1" s="171" t="s">
        <v>784</v>
      </c>
    </row>
    <row r="2" spans="1:24" ht="15.75">
      <c r="A2" s="14" t="s">
        <v>524</v>
      </c>
      <c r="B2" s="84" t="s">
        <v>1644</v>
      </c>
      <c r="C2" s="78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79" t="s">
        <v>327</v>
      </c>
      <c r="J2" s="58" t="s">
        <v>971</v>
      </c>
      <c r="K2" s="79" t="s">
        <v>328</v>
      </c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4:24" ht="14.25">
      <c r="D3" s="97" t="s">
        <v>968</v>
      </c>
      <c r="E3" s="99" t="s">
        <v>271</v>
      </c>
      <c r="F3" s="99" t="s">
        <v>969</v>
      </c>
      <c r="G3" s="99" t="s">
        <v>969</v>
      </c>
      <c r="H3" s="98" t="s">
        <v>969</v>
      </c>
      <c r="I3" s="99" t="s">
        <v>969</v>
      </c>
      <c r="J3" s="100" t="s">
        <v>969</v>
      </c>
      <c r="K3" s="99" t="s">
        <v>783</v>
      </c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10" ht="12.75">
      <c r="A4" s="14" t="s">
        <v>961</v>
      </c>
      <c r="J4" s="100"/>
    </row>
    <row r="5" spans="1:11" ht="12.75">
      <c r="A5" s="93" t="s">
        <v>1293</v>
      </c>
      <c r="B5" s="95">
        <v>37579</v>
      </c>
      <c r="C5" s="119">
        <v>0.5833333333333334</v>
      </c>
      <c r="D5" s="101">
        <v>247</v>
      </c>
      <c r="E5" s="99">
        <f aca="true" t="shared" si="0" ref="E5:E22">D5*0.028317</f>
        <v>6.994299</v>
      </c>
      <c r="F5" s="99">
        <v>75.4</v>
      </c>
      <c r="G5" s="99">
        <v>9.28</v>
      </c>
      <c r="H5" s="98">
        <v>0.19</v>
      </c>
      <c r="I5" s="99">
        <v>14.3</v>
      </c>
      <c r="J5" s="100">
        <v>143.63477083333333</v>
      </c>
      <c r="K5" s="100">
        <f>E5*F5</f>
        <v>527.3701446</v>
      </c>
    </row>
    <row r="6" spans="1:11" ht="12.75">
      <c r="A6" s="93" t="s">
        <v>1294</v>
      </c>
      <c r="B6" s="95">
        <v>37635</v>
      </c>
      <c r="C6" s="119">
        <v>0.6152777777777778</v>
      </c>
      <c r="D6" s="101">
        <v>255</v>
      </c>
      <c r="E6" s="99">
        <f t="shared" si="0"/>
        <v>7.220834999999999</v>
      </c>
      <c r="F6" s="99">
        <v>81.2</v>
      </c>
      <c r="G6" s="99">
        <v>9.71</v>
      </c>
      <c r="H6" s="98">
        <v>0.21</v>
      </c>
      <c r="I6" s="99">
        <v>15.2</v>
      </c>
      <c r="J6" s="100">
        <v>149.03696354166667</v>
      </c>
      <c r="K6" s="100">
        <f aca="true" t="shared" si="1" ref="K6:K68">E6*F6</f>
        <v>586.3318019999999</v>
      </c>
    </row>
    <row r="7" spans="1:11" ht="12.75">
      <c r="A7" s="93" t="s">
        <v>1295</v>
      </c>
      <c r="B7" s="95">
        <v>37636</v>
      </c>
      <c r="C7" s="119">
        <v>0.5708333333333333</v>
      </c>
      <c r="D7" s="101">
        <v>255</v>
      </c>
      <c r="E7" s="99">
        <f t="shared" si="0"/>
        <v>7.220834999999999</v>
      </c>
      <c r="F7" s="99">
        <v>77.1</v>
      </c>
      <c r="G7" s="99">
        <v>9.34</v>
      </c>
      <c r="H7" s="98">
        <v>0.19</v>
      </c>
      <c r="I7" s="99">
        <v>14.6</v>
      </c>
      <c r="J7" s="100">
        <v>144.58809895833332</v>
      </c>
      <c r="K7" s="100">
        <f t="shared" si="1"/>
        <v>556.7263784999999</v>
      </c>
    </row>
    <row r="8" spans="1:11" ht="12.75">
      <c r="A8" s="93" t="s">
        <v>1296</v>
      </c>
      <c r="B8" s="95">
        <v>37651</v>
      </c>
      <c r="C8" s="119">
        <v>0.46875</v>
      </c>
      <c r="D8" s="101">
        <v>258</v>
      </c>
      <c r="E8" s="99">
        <f t="shared" si="0"/>
        <v>7.3057859999999994</v>
      </c>
      <c r="F8" s="99">
        <v>78.6</v>
      </c>
      <c r="G8" s="99">
        <v>9.44</v>
      </c>
      <c r="H8" s="98">
        <v>0.19</v>
      </c>
      <c r="I8" s="99">
        <v>15.3</v>
      </c>
      <c r="J8" s="100">
        <v>149.672515625</v>
      </c>
      <c r="K8" s="100">
        <f t="shared" si="1"/>
        <v>574.2347795999999</v>
      </c>
    </row>
    <row r="9" spans="1:11" ht="12.75">
      <c r="A9" s="93" t="s">
        <v>1297</v>
      </c>
      <c r="B9" s="95">
        <v>37679</v>
      </c>
      <c r="C9" s="119">
        <v>0.6104166666666667</v>
      </c>
      <c r="D9" s="101">
        <v>247</v>
      </c>
      <c r="E9" s="99">
        <f t="shared" si="0"/>
        <v>6.994299</v>
      </c>
      <c r="F9" s="99">
        <v>79.3</v>
      </c>
      <c r="G9" s="99">
        <v>9.58</v>
      </c>
      <c r="H9" s="98">
        <v>0.2</v>
      </c>
      <c r="I9" s="99">
        <v>15</v>
      </c>
      <c r="J9" s="100">
        <v>149.35473958333333</v>
      </c>
      <c r="K9" s="100">
        <f t="shared" si="1"/>
        <v>554.6479107</v>
      </c>
    </row>
    <row r="10" spans="1:11" ht="12.75">
      <c r="A10" s="93" t="s">
        <v>1298</v>
      </c>
      <c r="B10" s="95">
        <v>37694</v>
      </c>
      <c r="C10" s="119">
        <v>0.6083333333333333</v>
      </c>
      <c r="D10" s="101">
        <v>279</v>
      </c>
      <c r="E10" s="99">
        <f t="shared" si="0"/>
        <v>7.900442999999999</v>
      </c>
      <c r="F10" s="99">
        <v>78.3</v>
      </c>
      <c r="G10" s="99">
        <v>9.33</v>
      </c>
      <c r="H10" s="98">
        <v>0.16</v>
      </c>
      <c r="I10" s="99">
        <v>15.9</v>
      </c>
      <c r="J10" s="100">
        <v>149.35473958333333</v>
      </c>
      <c r="K10" s="100">
        <f t="shared" si="1"/>
        <v>618.6046868999999</v>
      </c>
    </row>
    <row r="11" spans="1:11" ht="12.75">
      <c r="A11" s="93" t="s">
        <v>1299</v>
      </c>
      <c r="B11" s="95">
        <v>37718</v>
      </c>
      <c r="C11" s="119">
        <v>0.4770833333333333</v>
      </c>
      <c r="D11" s="101">
        <v>250</v>
      </c>
      <c r="E11" s="99">
        <f t="shared" si="0"/>
        <v>7.07925</v>
      </c>
      <c r="F11" s="99">
        <v>79.4</v>
      </c>
      <c r="G11" s="99">
        <v>9.59</v>
      </c>
      <c r="H11" s="98">
        <v>0.19</v>
      </c>
      <c r="I11" s="99">
        <v>15.3</v>
      </c>
      <c r="J11" s="100">
        <v>149.03696354166667</v>
      </c>
      <c r="K11" s="100">
        <f t="shared" si="1"/>
        <v>562.0924500000001</v>
      </c>
    </row>
    <row r="12" spans="1:11" ht="12.75">
      <c r="A12" s="93" t="s">
        <v>1300</v>
      </c>
      <c r="B12" s="95">
        <v>37734</v>
      </c>
      <c r="C12" s="119">
        <v>0.41805555555555557</v>
      </c>
      <c r="D12" s="101">
        <v>329</v>
      </c>
      <c r="E12" s="99">
        <f t="shared" si="0"/>
        <v>9.316293</v>
      </c>
      <c r="F12" s="99">
        <v>61.7</v>
      </c>
      <c r="G12" s="99">
        <v>7.61</v>
      </c>
      <c r="H12" s="98">
        <v>0.08</v>
      </c>
      <c r="I12" s="99">
        <v>13.6</v>
      </c>
      <c r="J12" s="100">
        <v>120.75489583333332</v>
      </c>
      <c r="K12" s="100">
        <f t="shared" si="1"/>
        <v>574.8152781</v>
      </c>
    </row>
    <row r="13" spans="1:11" ht="12.75">
      <c r="A13" s="93" t="s">
        <v>1301</v>
      </c>
      <c r="B13" s="95">
        <v>37764</v>
      </c>
      <c r="C13" s="119">
        <v>0.5513888888888888</v>
      </c>
      <c r="D13" s="101">
        <v>478</v>
      </c>
      <c r="E13" s="99">
        <f t="shared" si="0"/>
        <v>13.535525999999999</v>
      </c>
      <c r="F13" s="99">
        <v>37.7</v>
      </c>
      <c r="G13" s="99">
        <v>4.81</v>
      </c>
      <c r="H13" s="98">
        <v>0.06</v>
      </c>
      <c r="I13" s="99">
        <v>7.65</v>
      </c>
      <c r="J13" s="100">
        <v>74.99514583333332</v>
      </c>
      <c r="K13" s="100">
        <f t="shared" si="1"/>
        <v>510.2893302</v>
      </c>
    </row>
    <row r="14" spans="1:11" ht="12.75">
      <c r="A14" s="93" t="s">
        <v>1302</v>
      </c>
      <c r="B14" s="95">
        <v>37774</v>
      </c>
      <c r="C14" s="119">
        <v>0.5368055555555555</v>
      </c>
      <c r="D14" s="101">
        <v>540</v>
      </c>
      <c r="E14" s="99">
        <f t="shared" si="0"/>
        <v>15.291179999999999</v>
      </c>
      <c r="F14" s="99">
        <v>33.1</v>
      </c>
      <c r="G14" s="99">
        <v>4.26</v>
      </c>
      <c r="H14" s="98">
        <v>0.06</v>
      </c>
      <c r="I14" s="99">
        <v>6.53</v>
      </c>
      <c r="J14" s="100">
        <v>65.46186458333334</v>
      </c>
      <c r="K14" s="100">
        <f t="shared" si="1"/>
        <v>506.138058</v>
      </c>
    </row>
    <row r="15" spans="1:11" ht="12.75">
      <c r="A15" s="93" t="s">
        <v>1303</v>
      </c>
      <c r="B15" s="95">
        <v>37791</v>
      </c>
      <c r="C15" s="119">
        <v>0.45</v>
      </c>
      <c r="D15" s="101">
        <v>325</v>
      </c>
      <c r="E15" s="99">
        <f t="shared" si="0"/>
        <v>9.203025</v>
      </c>
      <c r="F15" s="99">
        <v>58</v>
      </c>
      <c r="G15" s="99">
        <v>7.27</v>
      </c>
      <c r="H15" s="98">
        <v>0.13</v>
      </c>
      <c r="I15" s="99">
        <v>10.4</v>
      </c>
      <c r="J15" s="100">
        <v>113.76382291666667</v>
      </c>
      <c r="K15" s="100">
        <f t="shared" si="1"/>
        <v>533.77545</v>
      </c>
    </row>
    <row r="16" spans="1:11" ht="12.75">
      <c r="A16" s="93" t="s">
        <v>1304</v>
      </c>
      <c r="B16" s="95">
        <v>37803</v>
      </c>
      <c r="C16" s="119">
        <v>0.43194444444444446</v>
      </c>
      <c r="D16" s="101">
        <v>264</v>
      </c>
      <c r="E16" s="99">
        <f t="shared" si="0"/>
        <v>7.475688</v>
      </c>
      <c r="F16" s="99">
        <v>68.8</v>
      </c>
      <c r="G16" s="99">
        <v>8.61</v>
      </c>
      <c r="H16" s="98">
        <v>0.16</v>
      </c>
      <c r="I16" s="99">
        <v>11.9</v>
      </c>
      <c r="J16" s="100">
        <v>136.6436979166667</v>
      </c>
      <c r="K16" s="100">
        <f t="shared" si="1"/>
        <v>514.3273343999999</v>
      </c>
    </row>
    <row r="17" spans="1:11" ht="12.75">
      <c r="A17" s="93" t="s">
        <v>1305</v>
      </c>
      <c r="B17" s="95">
        <v>37818</v>
      </c>
      <c r="C17" s="119">
        <v>0.5305555555555556</v>
      </c>
      <c r="D17" s="101">
        <v>236</v>
      </c>
      <c r="E17" s="99">
        <f t="shared" si="0"/>
        <v>6.682811999999999</v>
      </c>
      <c r="F17" s="99">
        <v>72.9</v>
      </c>
      <c r="G17" s="99">
        <v>9.11</v>
      </c>
      <c r="H17" s="98">
        <v>0.19</v>
      </c>
      <c r="I17" s="99">
        <v>12.1</v>
      </c>
      <c r="J17" s="100">
        <v>149.35473958333333</v>
      </c>
      <c r="K17" s="100">
        <f t="shared" si="1"/>
        <v>487.1769948</v>
      </c>
    </row>
    <row r="18" spans="1:11" ht="12.75">
      <c r="A18" s="93" t="s">
        <v>1306</v>
      </c>
      <c r="B18" s="95">
        <v>37832</v>
      </c>
      <c r="C18" s="119">
        <v>0.51875</v>
      </c>
      <c r="D18" s="101">
        <v>239</v>
      </c>
      <c r="E18" s="99">
        <f t="shared" si="0"/>
        <v>6.7677629999999995</v>
      </c>
      <c r="F18" s="99">
        <v>74.2</v>
      </c>
      <c r="G18" s="99">
        <v>9.27</v>
      </c>
      <c r="H18" s="98">
        <v>0.2</v>
      </c>
      <c r="I18" s="99">
        <v>12.3</v>
      </c>
      <c r="J18" s="100">
        <v>148.08363541666668</v>
      </c>
      <c r="K18" s="100">
        <f t="shared" si="1"/>
        <v>502.1680146</v>
      </c>
    </row>
    <row r="19" spans="1:11" ht="12.75">
      <c r="A19" s="93" t="s">
        <v>1307</v>
      </c>
      <c r="B19" s="95">
        <v>37846</v>
      </c>
      <c r="C19" s="119">
        <v>0.3576388888888889</v>
      </c>
      <c r="D19" s="101">
        <v>228</v>
      </c>
      <c r="E19" s="99">
        <f t="shared" si="0"/>
        <v>6.456276</v>
      </c>
      <c r="F19" s="99">
        <v>74.5</v>
      </c>
      <c r="G19" s="99">
        <v>9.32</v>
      </c>
      <c r="H19" s="98">
        <v>0.2</v>
      </c>
      <c r="I19" s="99">
        <v>12.6</v>
      </c>
      <c r="J19" s="100">
        <v>148.08363541666668</v>
      </c>
      <c r="K19" s="100">
        <f t="shared" si="1"/>
        <v>480.992562</v>
      </c>
    </row>
    <row r="20" spans="1:11" ht="12.75">
      <c r="A20" s="93" t="s">
        <v>1308</v>
      </c>
      <c r="B20" s="95">
        <v>37858</v>
      </c>
      <c r="C20" s="119">
        <v>0.5416666666666666</v>
      </c>
      <c r="D20" s="101">
        <v>228</v>
      </c>
      <c r="E20" s="99">
        <f t="shared" si="0"/>
        <v>6.456276</v>
      </c>
      <c r="F20" s="99">
        <v>75</v>
      </c>
      <c r="G20" s="99">
        <v>9.34</v>
      </c>
      <c r="H20" s="98">
        <v>0.2</v>
      </c>
      <c r="I20" s="99">
        <v>12.7</v>
      </c>
      <c r="J20" s="100">
        <v>147.765859375</v>
      </c>
      <c r="K20" s="100">
        <f t="shared" si="1"/>
        <v>484.22069999999997</v>
      </c>
    </row>
    <row r="21" spans="1:11" ht="12.75">
      <c r="A21" s="93" t="s">
        <v>1309</v>
      </c>
      <c r="B21" s="95">
        <v>37874</v>
      </c>
      <c r="C21" s="119">
        <v>0.3756944444444445</v>
      </c>
      <c r="D21" s="101">
        <v>250</v>
      </c>
      <c r="E21" s="99">
        <f t="shared" si="0"/>
        <v>7.07925</v>
      </c>
      <c r="F21" s="99">
        <v>74.6</v>
      </c>
      <c r="G21" s="99">
        <v>9.18</v>
      </c>
      <c r="H21" s="98">
        <v>0.19</v>
      </c>
      <c r="I21" s="99">
        <v>13.2</v>
      </c>
      <c r="J21" s="100">
        <v>140.45701041666666</v>
      </c>
      <c r="K21" s="100">
        <f t="shared" si="1"/>
        <v>528.11205</v>
      </c>
    </row>
    <row r="22" spans="1:12" ht="12.75">
      <c r="A22" s="93" t="s">
        <v>1310</v>
      </c>
      <c r="B22" s="95">
        <v>37886</v>
      </c>
      <c r="C22" s="119">
        <v>0.5979166666666667</v>
      </c>
      <c r="D22" s="101">
        <v>236</v>
      </c>
      <c r="E22" s="99">
        <f t="shared" si="0"/>
        <v>6.682811999999999</v>
      </c>
      <c r="F22" s="99">
        <v>75.1</v>
      </c>
      <c r="G22" s="99">
        <v>9.31</v>
      </c>
      <c r="H22" s="98">
        <v>0.2</v>
      </c>
      <c r="I22" s="99">
        <v>13.4</v>
      </c>
      <c r="J22" s="100">
        <v>146.49475520833334</v>
      </c>
      <c r="K22" s="100">
        <f t="shared" si="1"/>
        <v>501.8791811999999</v>
      </c>
      <c r="L22" s="10"/>
    </row>
    <row r="23" spans="1:11" ht="12.75">
      <c r="A23" s="14" t="s">
        <v>963</v>
      </c>
      <c r="J23" s="100"/>
      <c r="K23" s="100"/>
    </row>
    <row r="24" spans="1:12" ht="12.75">
      <c r="A24" s="93" t="s">
        <v>1311</v>
      </c>
      <c r="B24" s="95">
        <v>37900</v>
      </c>
      <c r="C24" s="119">
        <v>0.5659722222222222</v>
      </c>
      <c r="D24" s="97">
        <v>236</v>
      </c>
      <c r="E24" s="99">
        <f aca="true" t="shared" si="2" ref="E24:E44">D24*0.028317</f>
        <v>6.682811999999999</v>
      </c>
      <c r="F24" s="99">
        <v>75.2</v>
      </c>
      <c r="G24" s="99">
        <v>9.35</v>
      </c>
      <c r="H24" s="98">
        <v>0.2</v>
      </c>
      <c r="I24" s="99">
        <v>13.5</v>
      </c>
      <c r="J24" s="100">
        <v>144.27032291666666</v>
      </c>
      <c r="K24" s="100">
        <f t="shared" si="1"/>
        <v>502.5474624</v>
      </c>
      <c r="L24" s="20"/>
    </row>
    <row r="25" spans="1:12" ht="12.75">
      <c r="A25" s="93" t="s">
        <v>1312</v>
      </c>
      <c r="B25" s="95">
        <v>37916</v>
      </c>
      <c r="C25" s="119">
        <v>0.579861111111111</v>
      </c>
      <c r="D25" s="97">
        <v>239</v>
      </c>
      <c r="E25" s="99">
        <f t="shared" si="2"/>
        <v>6.7677629999999995</v>
      </c>
      <c r="F25" s="99">
        <v>75.8</v>
      </c>
      <c r="G25" s="99">
        <v>9.39</v>
      </c>
      <c r="H25" s="98">
        <v>0.2</v>
      </c>
      <c r="I25" s="99">
        <v>13.8</v>
      </c>
      <c r="J25" s="100">
        <v>144.27032291666666</v>
      </c>
      <c r="K25" s="100">
        <f t="shared" si="1"/>
        <v>512.9964354</v>
      </c>
      <c r="L25" s="20"/>
    </row>
    <row r="26" spans="1:12" ht="12.75">
      <c r="A26" s="93" t="s">
        <v>1313</v>
      </c>
      <c r="B26" s="95">
        <v>37933</v>
      </c>
      <c r="C26" s="119">
        <v>0.5520833333333334</v>
      </c>
      <c r="D26" s="97">
        <v>236</v>
      </c>
      <c r="E26" s="99">
        <f t="shared" si="2"/>
        <v>6.682811999999999</v>
      </c>
      <c r="F26" s="99">
        <v>76.4</v>
      </c>
      <c r="G26" s="99">
        <v>9.33</v>
      </c>
      <c r="H26" s="98">
        <v>0.2</v>
      </c>
      <c r="I26" s="99">
        <v>14.1</v>
      </c>
      <c r="J26" s="100">
        <v>147.44808333333336</v>
      </c>
      <c r="K26" s="100">
        <f t="shared" si="1"/>
        <v>510.5668368</v>
      </c>
      <c r="L26" s="20"/>
    </row>
    <row r="27" spans="1:12" ht="12.75">
      <c r="A27" s="93" t="s">
        <v>1073</v>
      </c>
      <c r="B27" s="95">
        <v>37943</v>
      </c>
      <c r="C27" s="119">
        <v>0.6048611111111112</v>
      </c>
      <c r="D27" s="97">
        <v>244</v>
      </c>
      <c r="E27" s="99">
        <f t="shared" si="2"/>
        <v>6.909348</v>
      </c>
      <c r="F27" s="99">
        <v>82.6</v>
      </c>
      <c r="G27" s="99">
        <v>9.69</v>
      </c>
      <c r="H27" s="98">
        <v>0.2</v>
      </c>
      <c r="I27" s="99">
        <v>16.3</v>
      </c>
      <c r="J27" s="100">
        <v>152.85027604166666</v>
      </c>
      <c r="K27" s="100">
        <f t="shared" si="1"/>
        <v>570.7121447999999</v>
      </c>
      <c r="L27" s="20"/>
    </row>
    <row r="28" spans="1:12" ht="12.75">
      <c r="A28" s="93" t="s">
        <v>1074</v>
      </c>
      <c r="B28" s="95">
        <v>37959</v>
      </c>
      <c r="C28" s="119">
        <v>0.5708333333333333</v>
      </c>
      <c r="D28" s="97">
        <v>244</v>
      </c>
      <c r="E28" s="99">
        <f t="shared" si="2"/>
        <v>6.909348</v>
      </c>
      <c r="F28" s="99">
        <v>76.8</v>
      </c>
      <c r="G28" s="99">
        <v>9.38</v>
      </c>
      <c r="H28" s="98">
        <v>0.19</v>
      </c>
      <c r="I28" s="99">
        <v>14.9</v>
      </c>
      <c r="J28" s="100">
        <v>141.72811458333334</v>
      </c>
      <c r="K28" s="100">
        <f t="shared" si="1"/>
        <v>530.6379264</v>
      </c>
      <c r="L28" s="20"/>
    </row>
    <row r="29" spans="1:12" ht="12.75">
      <c r="A29" s="93" t="s">
        <v>1075</v>
      </c>
      <c r="B29" s="95">
        <v>37970</v>
      </c>
      <c r="C29" s="119">
        <v>0.5118055555555555</v>
      </c>
      <c r="D29" s="97">
        <v>250</v>
      </c>
      <c r="E29" s="99">
        <f t="shared" si="2"/>
        <v>7.07925</v>
      </c>
      <c r="F29" s="99">
        <v>80.7</v>
      </c>
      <c r="G29" s="99">
        <v>9.57</v>
      </c>
      <c r="H29" s="98">
        <v>0.2</v>
      </c>
      <c r="I29" s="99">
        <v>16.2</v>
      </c>
      <c r="J29" s="100">
        <v>144.905875</v>
      </c>
      <c r="K29" s="100">
        <f t="shared" si="1"/>
        <v>571.295475</v>
      </c>
      <c r="L29" s="20"/>
    </row>
    <row r="30" spans="1:12" ht="12.75">
      <c r="A30" s="93" t="s">
        <v>1076</v>
      </c>
      <c r="B30" s="95">
        <v>38026</v>
      </c>
      <c r="C30" s="119">
        <v>0.6638888888888889</v>
      </c>
      <c r="D30" s="97">
        <v>239</v>
      </c>
      <c r="E30" s="99">
        <f t="shared" si="2"/>
        <v>6.7677629999999995</v>
      </c>
      <c r="F30" s="99">
        <v>80.5</v>
      </c>
      <c r="G30" s="99">
        <v>9.68</v>
      </c>
      <c r="H30" s="98">
        <v>0.21</v>
      </c>
      <c r="I30" s="99">
        <v>15.2</v>
      </c>
      <c r="J30" s="100">
        <v>150.62584375</v>
      </c>
      <c r="K30" s="100">
        <f t="shared" si="1"/>
        <v>544.8049215</v>
      </c>
      <c r="L30" s="20"/>
    </row>
    <row r="31" spans="1:12" ht="12.75">
      <c r="A31" s="93" t="s">
        <v>1077</v>
      </c>
      <c r="B31" s="95">
        <v>38071</v>
      </c>
      <c r="C31" s="97" t="s">
        <v>1549</v>
      </c>
      <c r="D31" s="97">
        <v>250</v>
      </c>
      <c r="E31" s="99">
        <f t="shared" si="2"/>
        <v>7.07925</v>
      </c>
      <c r="F31" s="99">
        <v>67.8</v>
      </c>
      <c r="G31" s="99">
        <v>8.38</v>
      </c>
      <c r="H31" s="98">
        <v>0.12</v>
      </c>
      <c r="I31" s="99">
        <v>14.9</v>
      </c>
      <c r="J31" s="100">
        <v>134.73704166666667</v>
      </c>
      <c r="K31" s="100">
        <f t="shared" si="1"/>
        <v>479.97315</v>
      </c>
      <c r="L31" s="4"/>
    </row>
    <row r="32" spans="1:12" ht="12.75">
      <c r="A32" s="93" t="s">
        <v>1078</v>
      </c>
      <c r="B32" s="95">
        <v>38082</v>
      </c>
      <c r="C32" s="97" t="s">
        <v>1549</v>
      </c>
      <c r="D32" s="97">
        <v>303</v>
      </c>
      <c r="E32" s="99">
        <f t="shared" si="2"/>
        <v>8.580051</v>
      </c>
      <c r="F32" s="99">
        <v>61.1</v>
      </c>
      <c r="G32" s="99">
        <v>7.69</v>
      </c>
      <c r="H32" s="98">
        <v>0.13</v>
      </c>
      <c r="I32" s="99">
        <v>12.1</v>
      </c>
      <c r="J32" s="100">
        <v>112.17494270833333</v>
      </c>
      <c r="K32" s="100">
        <f t="shared" si="1"/>
        <v>524.2411161</v>
      </c>
      <c r="L32" s="4"/>
    </row>
    <row r="33" spans="1:12" ht="12.75">
      <c r="A33" s="93" t="s">
        <v>1079</v>
      </c>
      <c r="B33" s="95">
        <v>38096</v>
      </c>
      <c r="C33" s="97" t="s">
        <v>1549</v>
      </c>
      <c r="D33" s="97">
        <v>285</v>
      </c>
      <c r="E33" s="99">
        <f t="shared" si="2"/>
        <v>8.070345</v>
      </c>
      <c r="F33" s="99">
        <v>71.7</v>
      </c>
      <c r="G33" s="99">
        <v>8.72</v>
      </c>
      <c r="H33" s="98">
        <v>0.16</v>
      </c>
      <c r="I33" s="99">
        <v>14.1</v>
      </c>
      <c r="J33" s="100">
        <v>132.51260937499998</v>
      </c>
      <c r="K33" s="100">
        <f t="shared" si="1"/>
        <v>578.6437365</v>
      </c>
      <c r="L33" s="4"/>
    </row>
    <row r="34" spans="1:12" ht="12.75">
      <c r="A34" s="93" t="s">
        <v>1080</v>
      </c>
      <c r="B34" s="95">
        <v>38111</v>
      </c>
      <c r="C34" s="97" t="s">
        <v>1549</v>
      </c>
      <c r="D34" s="97">
        <v>387</v>
      </c>
      <c r="E34" s="99">
        <f t="shared" si="2"/>
        <v>10.958679</v>
      </c>
      <c r="F34" s="99">
        <v>46.2</v>
      </c>
      <c r="G34" s="99">
        <v>5.88</v>
      </c>
      <c r="H34" s="98">
        <v>0.1</v>
      </c>
      <c r="I34" s="99">
        <v>8.98</v>
      </c>
      <c r="J34" s="100">
        <v>90.24839583333333</v>
      </c>
      <c r="K34" s="100">
        <f t="shared" si="1"/>
        <v>506.2909698</v>
      </c>
      <c r="L34" s="4"/>
    </row>
    <row r="35" spans="1:12" ht="12.75">
      <c r="A35" s="93" t="s">
        <v>1081</v>
      </c>
      <c r="B35" s="95">
        <v>38127</v>
      </c>
      <c r="C35" s="97" t="s">
        <v>1549</v>
      </c>
      <c r="D35" s="97">
        <v>373</v>
      </c>
      <c r="E35" s="99">
        <f t="shared" si="2"/>
        <v>10.562241</v>
      </c>
      <c r="F35" s="99">
        <v>49.9</v>
      </c>
      <c r="G35" s="99">
        <v>6.26</v>
      </c>
      <c r="H35" s="98">
        <v>0.11</v>
      </c>
      <c r="I35" s="99">
        <v>9.35</v>
      </c>
      <c r="J35" s="100">
        <v>94.69726041666668</v>
      </c>
      <c r="K35" s="100">
        <f t="shared" si="1"/>
        <v>527.0558259</v>
      </c>
      <c r="L35" s="4"/>
    </row>
    <row r="36" spans="1:12" ht="12.75">
      <c r="A36" s="93" t="s">
        <v>1082</v>
      </c>
      <c r="B36" s="95">
        <v>38140</v>
      </c>
      <c r="C36" s="97" t="s">
        <v>1549</v>
      </c>
      <c r="D36" s="97">
        <v>383</v>
      </c>
      <c r="E36" s="99">
        <f t="shared" si="2"/>
        <v>10.845410999999999</v>
      </c>
      <c r="F36" s="99">
        <v>49.4</v>
      </c>
      <c r="G36" s="99">
        <v>6.28</v>
      </c>
      <c r="H36" s="98">
        <v>0.09</v>
      </c>
      <c r="I36" s="99">
        <v>9.22</v>
      </c>
      <c r="J36" s="100">
        <v>96.286140625</v>
      </c>
      <c r="K36" s="100">
        <f t="shared" si="1"/>
        <v>535.7633033999999</v>
      </c>
      <c r="L36" s="4"/>
    </row>
    <row r="37" spans="1:12" ht="12.75">
      <c r="A37" s="93" t="s">
        <v>1083</v>
      </c>
      <c r="B37" s="95">
        <v>38155</v>
      </c>
      <c r="C37" s="97" t="s">
        <v>1549</v>
      </c>
      <c r="D37" s="97">
        <v>359</v>
      </c>
      <c r="E37" s="99">
        <f t="shared" si="2"/>
        <v>10.165802999999999</v>
      </c>
      <c r="F37" s="99">
        <v>50.5</v>
      </c>
      <c r="G37" s="99">
        <v>6.36</v>
      </c>
      <c r="H37" s="98">
        <v>0.12</v>
      </c>
      <c r="I37" s="99">
        <v>9.21</v>
      </c>
      <c r="J37" s="100">
        <v>99.146125</v>
      </c>
      <c r="K37" s="100">
        <f t="shared" si="1"/>
        <v>513.3730515</v>
      </c>
      <c r="L37" s="4"/>
    </row>
    <row r="38" spans="1:12" ht="12.75">
      <c r="A38" s="93" t="s">
        <v>1084</v>
      </c>
      <c r="B38" s="95">
        <v>38166</v>
      </c>
      <c r="C38" s="97" t="s">
        <v>1549</v>
      </c>
      <c r="D38" s="97">
        <v>332</v>
      </c>
      <c r="E38" s="99">
        <f t="shared" si="2"/>
        <v>9.401244</v>
      </c>
      <c r="F38" s="99">
        <v>56.5</v>
      </c>
      <c r="G38" s="99">
        <v>7.09</v>
      </c>
      <c r="H38" s="98">
        <v>0.12</v>
      </c>
      <c r="I38" s="99">
        <v>10.2</v>
      </c>
      <c r="J38" s="100">
        <v>114.399375</v>
      </c>
      <c r="K38" s="100">
        <f t="shared" si="1"/>
        <v>531.170286</v>
      </c>
      <c r="L38" s="4"/>
    </row>
    <row r="39" spans="1:12" ht="12.75">
      <c r="A39" s="93" t="s">
        <v>1085</v>
      </c>
      <c r="B39" s="95">
        <v>38180</v>
      </c>
      <c r="C39" s="97" t="s">
        <v>1549</v>
      </c>
      <c r="D39" s="97">
        <v>267</v>
      </c>
      <c r="E39" s="99">
        <f t="shared" si="2"/>
        <v>7.560638999999999</v>
      </c>
      <c r="F39" s="99">
        <v>68.7</v>
      </c>
      <c r="G39" s="99">
        <v>8.61</v>
      </c>
      <c r="H39" s="98">
        <v>0.17</v>
      </c>
      <c r="I39" s="99">
        <v>11.6</v>
      </c>
      <c r="J39" s="100">
        <v>136.00814583333334</v>
      </c>
      <c r="K39" s="100">
        <f t="shared" si="1"/>
        <v>519.4158993</v>
      </c>
      <c r="L39" s="4"/>
    </row>
    <row r="40" spans="1:12" ht="12.75">
      <c r="A40" s="93" t="s">
        <v>1086</v>
      </c>
      <c r="B40" s="95">
        <v>38196</v>
      </c>
      <c r="C40" s="97" t="s">
        <v>1549</v>
      </c>
      <c r="D40" s="97">
        <v>264</v>
      </c>
      <c r="E40" s="99">
        <f t="shared" si="2"/>
        <v>7.475688</v>
      </c>
      <c r="F40" s="99">
        <v>72.6</v>
      </c>
      <c r="G40" s="99">
        <v>9</v>
      </c>
      <c r="H40" s="98">
        <v>0.17</v>
      </c>
      <c r="I40" s="99">
        <v>12</v>
      </c>
      <c r="J40" s="100">
        <v>142.36366666666666</v>
      </c>
      <c r="K40" s="100">
        <f t="shared" si="1"/>
        <v>542.7349488</v>
      </c>
      <c r="L40" s="4"/>
    </row>
    <row r="41" spans="1:12" ht="12.75">
      <c r="A41" s="93" t="s">
        <v>1087</v>
      </c>
      <c r="B41" s="95">
        <v>38210</v>
      </c>
      <c r="C41" s="119">
        <v>0.6326388888888889</v>
      </c>
      <c r="D41" s="97">
        <v>247</v>
      </c>
      <c r="E41" s="99">
        <f t="shared" si="2"/>
        <v>6.994299</v>
      </c>
      <c r="F41" s="99">
        <v>71.8</v>
      </c>
      <c r="G41" s="99">
        <v>8.98</v>
      </c>
      <c r="H41" s="98">
        <v>0.17</v>
      </c>
      <c r="I41" s="99">
        <v>12</v>
      </c>
      <c r="J41" s="100">
        <v>141.41033854166668</v>
      </c>
      <c r="K41" s="100">
        <f t="shared" si="1"/>
        <v>502.19066819999995</v>
      </c>
      <c r="L41" s="4"/>
    </row>
    <row r="42" spans="1:12" ht="12.75">
      <c r="A42" s="93" t="s">
        <v>1088</v>
      </c>
      <c r="B42" s="95">
        <v>38222</v>
      </c>
      <c r="C42" s="97" t="s">
        <v>1549</v>
      </c>
      <c r="D42" s="97">
        <v>317</v>
      </c>
      <c r="E42" s="99">
        <f t="shared" si="2"/>
        <v>8.976488999999999</v>
      </c>
      <c r="F42" s="99">
        <v>70</v>
      </c>
      <c r="G42" s="99">
        <v>8.43</v>
      </c>
      <c r="H42" s="98">
        <v>0.15</v>
      </c>
      <c r="I42" s="99">
        <v>12.8</v>
      </c>
      <c r="J42" s="100">
        <v>130.92372916666667</v>
      </c>
      <c r="K42" s="100">
        <f t="shared" si="1"/>
        <v>628.3542299999999</v>
      </c>
      <c r="L42" s="4"/>
    </row>
    <row r="43" spans="1:12" ht="12.75">
      <c r="A43" s="93" t="s">
        <v>1089</v>
      </c>
      <c r="B43" s="95">
        <v>38240</v>
      </c>
      <c r="C43" s="119">
        <v>0.4583333333333333</v>
      </c>
      <c r="D43" s="97">
        <v>244</v>
      </c>
      <c r="E43" s="99">
        <f t="shared" si="2"/>
        <v>6.909348</v>
      </c>
      <c r="F43" s="99">
        <v>71.4</v>
      </c>
      <c r="G43" s="99">
        <v>8.98</v>
      </c>
      <c r="H43" s="98">
        <v>0.17</v>
      </c>
      <c r="I43" s="99">
        <v>12.4</v>
      </c>
      <c r="J43" s="100">
        <v>141.0925625</v>
      </c>
      <c r="K43" s="100">
        <f t="shared" si="1"/>
        <v>493.3274472</v>
      </c>
      <c r="L43" s="4"/>
    </row>
    <row r="44" spans="1:12" ht="12.75">
      <c r="A44" s="93" t="s">
        <v>1090</v>
      </c>
      <c r="B44" s="95">
        <v>38250</v>
      </c>
      <c r="C44" s="119">
        <v>0.4375</v>
      </c>
      <c r="D44" s="97">
        <v>325</v>
      </c>
      <c r="E44" s="99">
        <f t="shared" si="2"/>
        <v>9.203025</v>
      </c>
      <c r="F44" s="99">
        <v>70.3</v>
      </c>
      <c r="G44" s="99">
        <v>8.32</v>
      </c>
      <c r="H44" s="98">
        <v>0.14</v>
      </c>
      <c r="I44" s="99">
        <v>15.2</v>
      </c>
      <c r="J44" s="100">
        <v>127.11041666666667</v>
      </c>
      <c r="K44" s="100">
        <f t="shared" si="1"/>
        <v>646.9726575</v>
      </c>
      <c r="L44" s="4"/>
    </row>
    <row r="45" spans="1:11" ht="12.75">
      <c r="A45" s="14" t="s">
        <v>973</v>
      </c>
      <c r="K45" s="100"/>
    </row>
    <row r="46" spans="1:11" ht="12">
      <c r="A46" s="93" t="s">
        <v>1144</v>
      </c>
      <c r="B46" s="95">
        <v>38264</v>
      </c>
      <c r="C46" s="96" t="s">
        <v>1549</v>
      </c>
      <c r="D46" s="97">
        <v>250</v>
      </c>
      <c r="E46" s="99">
        <f>D46*0.02831685</f>
        <v>7.079212500000001</v>
      </c>
      <c r="F46" s="105">
        <v>72</v>
      </c>
      <c r="G46" s="99">
        <v>8.98</v>
      </c>
      <c r="H46" s="98">
        <v>0.17</v>
      </c>
      <c r="I46" s="99">
        <v>12.8</v>
      </c>
      <c r="J46" s="100">
        <v>143.952546875</v>
      </c>
      <c r="K46" s="100">
        <f t="shared" si="1"/>
        <v>509.7033</v>
      </c>
    </row>
    <row r="47" spans="1:11" ht="12">
      <c r="A47" s="93" t="s">
        <v>1145</v>
      </c>
      <c r="B47" s="95">
        <v>38281</v>
      </c>
      <c r="C47" s="96">
        <v>0.4583333333333333</v>
      </c>
      <c r="D47" s="97">
        <v>291</v>
      </c>
      <c r="E47" s="99">
        <f aca="true" t="shared" si="3" ref="E47:E110">D47*0.02831685</f>
        <v>8.24020335</v>
      </c>
      <c r="F47" s="105">
        <v>75.7</v>
      </c>
      <c r="G47" s="99">
        <v>8.87</v>
      </c>
      <c r="H47" s="98">
        <v>0.16</v>
      </c>
      <c r="I47" s="99">
        <v>14.6</v>
      </c>
      <c r="J47" s="100">
        <v>136.32592187500003</v>
      </c>
      <c r="K47" s="100">
        <f t="shared" si="1"/>
        <v>623.783393595</v>
      </c>
    </row>
    <row r="48" spans="1:11" ht="12">
      <c r="A48" s="93" t="s">
        <v>1146</v>
      </c>
      <c r="B48" s="95">
        <v>38293</v>
      </c>
      <c r="C48" s="96">
        <v>0.3993055555555556</v>
      </c>
      <c r="D48" s="97">
        <v>258</v>
      </c>
      <c r="E48" s="99">
        <f t="shared" si="3"/>
        <v>7.3057473</v>
      </c>
      <c r="F48" s="105">
        <v>70.7</v>
      </c>
      <c r="G48" s="99">
        <v>8.79</v>
      </c>
      <c r="H48" s="98">
        <v>0.16</v>
      </c>
      <c r="I48" s="99">
        <v>13.1</v>
      </c>
      <c r="J48" s="100">
        <v>136.00814583333334</v>
      </c>
      <c r="K48" s="100">
        <f t="shared" si="1"/>
        <v>516.51633411</v>
      </c>
    </row>
    <row r="49" spans="1:11" ht="12">
      <c r="A49" s="93" t="s">
        <v>1147</v>
      </c>
      <c r="B49" s="95">
        <v>38306</v>
      </c>
      <c r="C49" s="96">
        <v>0.47222222222222227</v>
      </c>
      <c r="D49" s="97">
        <v>255</v>
      </c>
      <c r="E49" s="99">
        <f t="shared" si="3"/>
        <v>7.22079675</v>
      </c>
      <c r="F49" s="105">
        <v>72.7</v>
      </c>
      <c r="G49" s="99">
        <v>8.99</v>
      </c>
      <c r="H49" s="98">
        <v>0.18</v>
      </c>
      <c r="I49" s="99">
        <v>13.3</v>
      </c>
      <c r="J49" s="100">
        <v>141.72811458333334</v>
      </c>
      <c r="K49" s="100">
        <f t="shared" si="1"/>
        <v>524.951923725</v>
      </c>
    </row>
    <row r="50" spans="1:11" ht="12">
      <c r="A50" s="93" t="s">
        <v>1148</v>
      </c>
      <c r="B50" s="95">
        <v>38321</v>
      </c>
      <c r="C50" s="96">
        <v>0.3958333333333333</v>
      </c>
      <c r="D50" s="97">
        <v>250</v>
      </c>
      <c r="E50" s="99">
        <f t="shared" si="3"/>
        <v>7.079212500000001</v>
      </c>
      <c r="F50" s="105">
        <v>73</v>
      </c>
      <c r="G50" s="99">
        <v>9.02</v>
      </c>
      <c r="H50" s="98">
        <v>0.18</v>
      </c>
      <c r="I50" s="99">
        <v>13.1</v>
      </c>
      <c r="J50" s="100">
        <v>141.41033854166668</v>
      </c>
      <c r="K50" s="100">
        <f t="shared" si="1"/>
        <v>516.7825125</v>
      </c>
    </row>
    <row r="51" spans="1:11" ht="12">
      <c r="A51" s="93" t="s">
        <v>910</v>
      </c>
      <c r="B51" s="95">
        <v>38334</v>
      </c>
      <c r="C51" s="96">
        <v>0.51875</v>
      </c>
      <c r="D51" s="97">
        <v>253</v>
      </c>
      <c r="E51" s="99">
        <f t="shared" si="3"/>
        <v>7.16416305</v>
      </c>
      <c r="F51" s="105">
        <v>74.6</v>
      </c>
      <c r="G51" s="99">
        <v>9.11</v>
      </c>
      <c r="H51" s="98">
        <v>0.18</v>
      </c>
      <c r="I51" s="99">
        <v>13.5</v>
      </c>
      <c r="J51" s="100">
        <v>140.139234375</v>
      </c>
      <c r="K51" s="100">
        <f t="shared" si="1"/>
        <v>534.4465635299999</v>
      </c>
    </row>
    <row r="52" spans="1:11" ht="12">
      <c r="A52" s="93" t="s">
        <v>911</v>
      </c>
      <c r="B52" s="95">
        <v>38363</v>
      </c>
      <c r="C52" s="96">
        <v>0.55625</v>
      </c>
      <c r="D52" s="97">
        <v>264</v>
      </c>
      <c r="E52" s="99">
        <f t="shared" si="3"/>
        <v>7.4756484</v>
      </c>
      <c r="F52" s="105">
        <v>77.3</v>
      </c>
      <c r="G52" s="99">
        <v>9.3</v>
      </c>
      <c r="H52" s="98">
        <v>0.18</v>
      </c>
      <c r="I52" s="99">
        <v>13.9</v>
      </c>
      <c r="J52" s="100">
        <v>139.82145833333334</v>
      </c>
      <c r="K52" s="100">
        <f t="shared" si="1"/>
        <v>577.86762132</v>
      </c>
    </row>
    <row r="53" spans="1:11" ht="12">
      <c r="A53" s="93" t="s">
        <v>912</v>
      </c>
      <c r="B53" s="95">
        <v>38391</v>
      </c>
      <c r="C53" s="96" t="s">
        <v>1549</v>
      </c>
      <c r="D53" s="97">
        <v>244</v>
      </c>
      <c r="E53" s="99">
        <f t="shared" si="3"/>
        <v>6.9093114</v>
      </c>
      <c r="F53" s="105">
        <v>77.9</v>
      </c>
      <c r="G53" s="99">
        <v>9.4</v>
      </c>
      <c r="H53" s="98">
        <v>0.19</v>
      </c>
      <c r="I53" s="99">
        <v>14</v>
      </c>
      <c r="J53" s="100">
        <v>148.7191875</v>
      </c>
      <c r="K53" s="100">
        <f t="shared" si="1"/>
        <v>538.2353580600001</v>
      </c>
    </row>
    <row r="54" spans="1:11" ht="12">
      <c r="A54" s="93" t="s">
        <v>913</v>
      </c>
      <c r="B54" s="95">
        <v>38422</v>
      </c>
      <c r="C54" s="96" t="s">
        <v>1549</v>
      </c>
      <c r="D54" s="97">
        <v>250</v>
      </c>
      <c r="E54" s="99">
        <f t="shared" si="3"/>
        <v>7.079212500000001</v>
      </c>
      <c r="F54" s="105">
        <v>78.2</v>
      </c>
      <c r="G54" s="99">
        <v>9.47</v>
      </c>
      <c r="H54" s="98">
        <v>0.19</v>
      </c>
      <c r="I54" s="99">
        <v>14.1</v>
      </c>
      <c r="J54" s="100">
        <v>151.73805989583335</v>
      </c>
      <c r="K54" s="100">
        <f t="shared" si="1"/>
        <v>553.5944175000001</v>
      </c>
    </row>
    <row r="55" spans="1:11" ht="12">
      <c r="A55" s="93" t="s">
        <v>914</v>
      </c>
      <c r="B55" s="95">
        <v>38434</v>
      </c>
      <c r="C55" s="96" t="s">
        <v>1549</v>
      </c>
      <c r="D55" s="97">
        <v>253</v>
      </c>
      <c r="E55" s="99">
        <f t="shared" si="3"/>
        <v>7.16416305</v>
      </c>
      <c r="F55" s="105">
        <v>80.3</v>
      </c>
      <c r="G55" s="99">
        <v>9.62</v>
      </c>
      <c r="H55" s="98">
        <v>0.19</v>
      </c>
      <c r="I55" s="99">
        <v>14.3</v>
      </c>
      <c r="J55" s="100">
        <v>153.80360416666664</v>
      </c>
      <c r="K55" s="100">
        <f t="shared" si="1"/>
        <v>575.282292915</v>
      </c>
    </row>
    <row r="56" spans="1:11" ht="12">
      <c r="A56" s="93" t="s">
        <v>915</v>
      </c>
      <c r="B56" s="95">
        <v>38447</v>
      </c>
      <c r="C56" s="96" t="s">
        <v>1549</v>
      </c>
      <c r="D56" s="97">
        <v>261</v>
      </c>
      <c r="E56" s="99">
        <f t="shared" si="3"/>
        <v>7.3906978500000005</v>
      </c>
      <c r="F56" s="105">
        <v>77.3</v>
      </c>
      <c r="G56" s="99">
        <v>9.31</v>
      </c>
      <c r="H56" s="98">
        <v>0.18</v>
      </c>
      <c r="I56" s="99">
        <v>14.4</v>
      </c>
      <c r="J56" s="100">
        <v>150.94361979166666</v>
      </c>
      <c r="K56" s="100">
        <f t="shared" si="1"/>
        <v>571.300943805</v>
      </c>
    </row>
    <row r="57" spans="1:11" ht="12">
      <c r="A57" s="93" t="s">
        <v>916</v>
      </c>
      <c r="B57" s="95">
        <v>38460</v>
      </c>
      <c r="C57" s="96" t="s">
        <v>1549</v>
      </c>
      <c r="D57" s="97">
        <v>339</v>
      </c>
      <c r="E57" s="99">
        <f t="shared" si="3"/>
        <v>9.599412150000001</v>
      </c>
      <c r="F57" s="105">
        <v>59</v>
      </c>
      <c r="G57" s="99">
        <v>7.42</v>
      </c>
      <c r="H57" s="98">
        <v>0.11</v>
      </c>
      <c r="I57" s="99">
        <v>11.6</v>
      </c>
      <c r="J57" s="100">
        <v>121.39044791666667</v>
      </c>
      <c r="K57" s="100">
        <f t="shared" si="1"/>
        <v>566.36531685</v>
      </c>
    </row>
    <row r="58" spans="1:11" ht="12">
      <c r="A58" s="93" t="s">
        <v>917</v>
      </c>
      <c r="B58" s="95">
        <v>38477</v>
      </c>
      <c r="C58" s="96">
        <v>0.4479166666666667</v>
      </c>
      <c r="D58" s="97">
        <v>373</v>
      </c>
      <c r="E58" s="99">
        <f t="shared" si="3"/>
        <v>10.56218505</v>
      </c>
      <c r="F58" s="105">
        <v>53.2</v>
      </c>
      <c r="G58" s="99">
        <v>6.78</v>
      </c>
      <c r="H58" s="98">
        <v>0.09</v>
      </c>
      <c r="I58" s="99">
        <v>10.6</v>
      </c>
      <c r="J58" s="100">
        <v>108.04385416666669</v>
      </c>
      <c r="K58" s="100">
        <f t="shared" si="1"/>
        <v>561.90824466</v>
      </c>
    </row>
    <row r="59" spans="1:11" ht="12">
      <c r="A59" s="93" t="s">
        <v>918</v>
      </c>
      <c r="B59" s="95">
        <v>38489</v>
      </c>
      <c r="C59" s="96">
        <v>0.3902777777777778</v>
      </c>
      <c r="D59" s="97">
        <v>654</v>
      </c>
      <c r="E59" s="99">
        <f t="shared" si="3"/>
        <v>18.5192199</v>
      </c>
      <c r="F59" s="105">
        <v>29.3</v>
      </c>
      <c r="G59" s="99">
        <v>3.86</v>
      </c>
      <c r="H59" s="98">
        <v>0.05</v>
      </c>
      <c r="I59" s="99">
        <v>6.09</v>
      </c>
      <c r="J59" s="100">
        <v>63.07854427083332</v>
      </c>
      <c r="K59" s="100">
        <f t="shared" si="1"/>
        <v>542.61314307</v>
      </c>
    </row>
    <row r="60" spans="1:11" ht="12">
      <c r="A60" s="93" t="s">
        <v>919</v>
      </c>
      <c r="B60" s="95">
        <v>38503</v>
      </c>
      <c r="C60" s="96">
        <v>0.40208333333333335</v>
      </c>
      <c r="D60" s="97">
        <v>412</v>
      </c>
      <c r="E60" s="99">
        <f t="shared" si="3"/>
        <v>11.6665422</v>
      </c>
      <c r="F60" s="105">
        <v>45.5</v>
      </c>
      <c r="G60" s="99">
        <v>5.79</v>
      </c>
      <c r="H60" s="98">
        <v>0.1</v>
      </c>
      <c r="I60" s="99">
        <v>8.41</v>
      </c>
      <c r="J60" s="100">
        <v>94.06170833333334</v>
      </c>
      <c r="K60" s="100">
        <f t="shared" si="1"/>
        <v>530.8276701</v>
      </c>
    </row>
    <row r="61" spans="1:11" ht="12">
      <c r="A61" s="93" t="s">
        <v>920</v>
      </c>
      <c r="B61" s="95">
        <v>38518</v>
      </c>
      <c r="C61" s="96">
        <v>0.625</v>
      </c>
      <c r="D61" s="97">
        <v>362</v>
      </c>
      <c r="E61" s="99">
        <f t="shared" si="3"/>
        <v>10.2506997</v>
      </c>
      <c r="F61" s="105">
        <v>48.7</v>
      </c>
      <c r="G61" s="99">
        <v>6.22</v>
      </c>
      <c r="H61" s="98">
        <v>0.11</v>
      </c>
      <c r="I61" s="99">
        <v>9.23</v>
      </c>
      <c r="J61" s="100">
        <v>100.25834114583334</v>
      </c>
      <c r="K61" s="100">
        <f t="shared" si="1"/>
        <v>499.20907539000007</v>
      </c>
    </row>
    <row r="62" spans="1:11" ht="12">
      <c r="A62" s="94" t="s">
        <v>921</v>
      </c>
      <c r="B62" s="102">
        <v>38532</v>
      </c>
      <c r="C62" s="103">
        <v>0.4375</v>
      </c>
      <c r="D62" s="104">
        <v>329</v>
      </c>
      <c r="E62" s="99">
        <f t="shared" si="3"/>
        <v>9.31624365</v>
      </c>
      <c r="F62" s="105">
        <v>58.4</v>
      </c>
      <c r="G62" s="105">
        <v>7.36</v>
      </c>
      <c r="H62" s="91">
        <v>0.14</v>
      </c>
      <c r="I62" s="105">
        <v>10.9</v>
      </c>
      <c r="J62" s="90">
        <v>117.29113697916667</v>
      </c>
      <c r="K62" s="100">
        <f t="shared" si="1"/>
        <v>544.06862916</v>
      </c>
    </row>
    <row r="63" spans="1:11" ht="12">
      <c r="A63" s="93" t="s">
        <v>922</v>
      </c>
      <c r="B63" s="95">
        <v>38544</v>
      </c>
      <c r="C63" s="96">
        <v>0.40902777777777777</v>
      </c>
      <c r="D63" s="97">
        <v>273</v>
      </c>
      <c r="E63" s="99">
        <f t="shared" si="3"/>
        <v>7.73050005</v>
      </c>
      <c r="F63" s="105">
        <v>64.1</v>
      </c>
      <c r="G63" s="99">
        <v>8.12</v>
      </c>
      <c r="H63" s="98">
        <v>0.15</v>
      </c>
      <c r="I63" s="99">
        <v>11.7</v>
      </c>
      <c r="J63" s="100">
        <v>131.71816927083336</v>
      </c>
      <c r="K63" s="100">
        <f t="shared" si="1"/>
        <v>495.52505320499995</v>
      </c>
    </row>
    <row r="64" spans="1:11" ht="12">
      <c r="A64" s="93" t="s">
        <v>923</v>
      </c>
      <c r="B64" s="95">
        <v>38562</v>
      </c>
      <c r="C64" s="96">
        <v>0.37083333333333335</v>
      </c>
      <c r="D64" s="97">
        <v>247</v>
      </c>
      <c r="E64" s="99">
        <f t="shared" si="3"/>
        <v>6.99426195</v>
      </c>
      <c r="F64" s="105">
        <v>70.1</v>
      </c>
      <c r="G64" s="99">
        <v>8.84</v>
      </c>
      <c r="H64" s="98">
        <v>0.17</v>
      </c>
      <c r="I64" s="99">
        <v>11.8</v>
      </c>
      <c r="J64" s="100">
        <v>143.79365885416667</v>
      </c>
      <c r="K64" s="100">
        <f t="shared" si="1"/>
        <v>490.29776269499996</v>
      </c>
    </row>
    <row r="65" spans="1:11" ht="12">
      <c r="A65" s="93" t="s">
        <v>924</v>
      </c>
      <c r="B65" s="95">
        <v>38573</v>
      </c>
      <c r="C65" s="96">
        <v>0.5479166666666667</v>
      </c>
      <c r="D65" s="97">
        <v>253</v>
      </c>
      <c r="E65" s="99">
        <f t="shared" si="3"/>
        <v>7.16416305</v>
      </c>
      <c r="F65" s="105">
        <v>70</v>
      </c>
      <c r="G65" s="99">
        <v>8.82</v>
      </c>
      <c r="H65" s="98">
        <v>0.17</v>
      </c>
      <c r="I65" s="99">
        <v>11.7</v>
      </c>
      <c r="J65" s="100">
        <v>143.79365885416667</v>
      </c>
      <c r="K65" s="100">
        <f t="shared" si="1"/>
        <v>501.4914135</v>
      </c>
    </row>
    <row r="66" spans="1:11" ht="12">
      <c r="A66" s="93" t="s">
        <v>925</v>
      </c>
      <c r="B66" s="95">
        <v>38586</v>
      </c>
      <c r="C66" s="96">
        <v>0.5805555555555556</v>
      </c>
      <c r="D66" s="97">
        <v>258</v>
      </c>
      <c r="E66" s="99">
        <f t="shared" si="3"/>
        <v>7.3057473</v>
      </c>
      <c r="F66" s="105">
        <v>69.7</v>
      </c>
      <c r="G66" s="99">
        <v>8.76</v>
      </c>
      <c r="H66" s="98">
        <v>0.17</v>
      </c>
      <c r="I66" s="99">
        <v>12</v>
      </c>
      <c r="J66" s="100">
        <v>137.91480208333334</v>
      </c>
      <c r="K66" s="100">
        <f t="shared" si="1"/>
        <v>509.21058681000005</v>
      </c>
    </row>
    <row r="67" spans="1:11" ht="12">
      <c r="A67" s="93" t="s">
        <v>926</v>
      </c>
      <c r="B67" s="95">
        <v>38601</v>
      </c>
      <c r="C67" s="96">
        <v>0.4201388888888889</v>
      </c>
      <c r="D67" s="97">
        <v>244</v>
      </c>
      <c r="E67" s="99">
        <f t="shared" si="3"/>
        <v>6.9093114</v>
      </c>
      <c r="F67" s="105">
        <v>74.4</v>
      </c>
      <c r="G67" s="99">
        <v>9.43</v>
      </c>
      <c r="H67" s="98">
        <v>0.18</v>
      </c>
      <c r="I67" s="99">
        <v>12.9</v>
      </c>
      <c r="J67" s="100">
        <v>149.35473958333333</v>
      </c>
      <c r="K67" s="100">
        <f t="shared" si="1"/>
        <v>514.05276816</v>
      </c>
    </row>
    <row r="68" spans="1:12" ht="12">
      <c r="A68" s="93" t="s">
        <v>927</v>
      </c>
      <c r="B68" s="95">
        <v>38614</v>
      </c>
      <c r="C68" s="96">
        <v>0.46597222222222223</v>
      </c>
      <c r="D68" s="97">
        <v>255</v>
      </c>
      <c r="E68" s="99">
        <f t="shared" si="3"/>
        <v>7.22079675</v>
      </c>
      <c r="F68" s="105">
        <v>68.5</v>
      </c>
      <c r="G68" s="99">
        <v>8.64</v>
      </c>
      <c r="H68" s="98">
        <v>0.16</v>
      </c>
      <c r="I68" s="99">
        <v>12.9</v>
      </c>
      <c r="J68" s="100">
        <v>135.46792656250003</v>
      </c>
      <c r="K68" s="100">
        <f t="shared" si="1"/>
        <v>494.624577375</v>
      </c>
      <c r="L68" s="10"/>
    </row>
    <row r="69" spans="1:11" ht="12">
      <c r="A69" s="14" t="s">
        <v>1267</v>
      </c>
      <c r="C69" s="96"/>
      <c r="F69" s="105"/>
      <c r="J69" s="100"/>
      <c r="K69" s="100"/>
    </row>
    <row r="70" spans="1:11" ht="12">
      <c r="A70" s="93" t="s">
        <v>928</v>
      </c>
      <c r="B70" s="95">
        <v>38631</v>
      </c>
      <c r="C70" s="96">
        <v>0.5472222222222222</v>
      </c>
      <c r="D70" s="97">
        <v>265</v>
      </c>
      <c r="E70" s="99">
        <f t="shared" si="3"/>
        <v>7.50396525</v>
      </c>
      <c r="F70" s="105">
        <v>70.9</v>
      </c>
      <c r="G70" s="99">
        <v>8.66</v>
      </c>
      <c r="H70" s="98">
        <v>0.16</v>
      </c>
      <c r="I70" s="99">
        <v>14.7</v>
      </c>
      <c r="J70" s="100">
        <v>133.4659375</v>
      </c>
      <c r="K70" s="100">
        <f aca="true" t="shared" si="4" ref="K70:K122">E70*F70</f>
        <v>532.0311362250001</v>
      </c>
    </row>
    <row r="71" spans="1:11" ht="12">
      <c r="A71" s="93" t="s">
        <v>929</v>
      </c>
      <c r="B71" s="95">
        <v>38644</v>
      </c>
      <c r="C71" s="96">
        <v>0.5770833333333333</v>
      </c>
      <c r="D71" s="97">
        <v>259</v>
      </c>
      <c r="E71" s="99">
        <f t="shared" si="3"/>
        <v>7.334064150000001</v>
      </c>
      <c r="F71" s="105">
        <v>70.8</v>
      </c>
      <c r="G71" s="99">
        <v>8.85</v>
      </c>
      <c r="H71" s="98">
        <v>0.17</v>
      </c>
      <c r="I71" s="99">
        <v>12.9</v>
      </c>
      <c r="J71" s="100">
        <v>139.82145833333334</v>
      </c>
      <c r="K71" s="100">
        <f t="shared" si="4"/>
        <v>519.25174182</v>
      </c>
    </row>
    <row r="72" spans="1:11" ht="12">
      <c r="A72" s="93" t="s">
        <v>930</v>
      </c>
      <c r="B72" s="95">
        <v>38671</v>
      </c>
      <c r="C72" s="96">
        <v>0.44166666666666665</v>
      </c>
      <c r="D72" s="97">
        <v>256</v>
      </c>
      <c r="E72" s="99">
        <f t="shared" si="3"/>
        <v>7.2491136</v>
      </c>
      <c r="F72" s="105">
        <v>70.4</v>
      </c>
      <c r="G72" s="99">
        <v>8.71</v>
      </c>
      <c r="H72" s="98">
        <v>0.16</v>
      </c>
      <c r="I72" s="99">
        <v>13.5</v>
      </c>
      <c r="J72" s="100">
        <v>137.05680677083333</v>
      </c>
      <c r="K72" s="100">
        <f t="shared" si="4"/>
        <v>510.3375974400001</v>
      </c>
    </row>
    <row r="73" spans="1:11" ht="12">
      <c r="A73" s="93" t="s">
        <v>931</v>
      </c>
      <c r="B73" s="95">
        <v>38698</v>
      </c>
      <c r="C73" s="96">
        <v>0.5618055555555556</v>
      </c>
      <c r="D73" s="97">
        <v>280</v>
      </c>
      <c r="E73" s="99">
        <f t="shared" si="3"/>
        <v>7.928718</v>
      </c>
      <c r="F73" s="105">
        <v>72.9</v>
      </c>
      <c r="G73" s="99">
        <v>8.97</v>
      </c>
      <c r="H73" s="98">
        <v>0.17</v>
      </c>
      <c r="I73" s="99">
        <v>13.3</v>
      </c>
      <c r="J73" s="100">
        <v>142.99921874999998</v>
      </c>
      <c r="K73" s="100">
        <f t="shared" si="4"/>
        <v>578.0035422000001</v>
      </c>
    </row>
    <row r="74" spans="1:11" ht="12">
      <c r="A74" s="93" t="s">
        <v>932</v>
      </c>
      <c r="B74" s="95">
        <v>38728</v>
      </c>
      <c r="C74" s="96">
        <v>0.5986111111111111</v>
      </c>
      <c r="D74" s="97">
        <v>262</v>
      </c>
      <c r="E74" s="99">
        <f t="shared" si="3"/>
        <v>7.4190147</v>
      </c>
      <c r="F74" s="105">
        <v>72.7</v>
      </c>
      <c r="G74" s="99">
        <v>8.81</v>
      </c>
      <c r="H74" s="98">
        <v>0.18</v>
      </c>
      <c r="I74" s="99">
        <v>13.8</v>
      </c>
      <c r="J74" s="100">
        <v>143.952546875</v>
      </c>
      <c r="K74" s="100">
        <f t="shared" si="4"/>
        <v>539.36236869</v>
      </c>
    </row>
    <row r="75" spans="1:11" ht="12">
      <c r="A75" s="93" t="s">
        <v>933</v>
      </c>
      <c r="B75" s="95">
        <v>38755</v>
      </c>
      <c r="C75" s="96">
        <v>0.5854166666666667</v>
      </c>
      <c r="D75" s="97">
        <v>259</v>
      </c>
      <c r="E75" s="99">
        <f t="shared" si="3"/>
        <v>7.334064150000001</v>
      </c>
      <c r="F75" s="105">
        <v>76.3</v>
      </c>
      <c r="G75" s="99">
        <v>9.24</v>
      </c>
      <c r="H75" s="98">
        <v>0.19</v>
      </c>
      <c r="I75" s="99">
        <v>14</v>
      </c>
      <c r="J75" s="100">
        <v>143.31699479166667</v>
      </c>
      <c r="K75" s="100">
        <f t="shared" si="4"/>
        <v>559.589094645</v>
      </c>
    </row>
    <row r="76" spans="1:11" ht="12">
      <c r="A76" s="93" t="s">
        <v>934</v>
      </c>
      <c r="B76" s="95">
        <v>38796</v>
      </c>
      <c r="C76" s="96">
        <v>0.4375</v>
      </c>
      <c r="D76" s="97">
        <v>250</v>
      </c>
      <c r="E76" s="99">
        <f t="shared" si="3"/>
        <v>7.079212500000001</v>
      </c>
      <c r="F76" s="105">
        <v>79.2</v>
      </c>
      <c r="G76" s="99">
        <v>9.5</v>
      </c>
      <c r="H76" s="98">
        <v>0.2</v>
      </c>
      <c r="I76" s="99">
        <v>14.1</v>
      </c>
      <c r="J76" s="100">
        <v>149.99029166666665</v>
      </c>
      <c r="K76" s="100">
        <f t="shared" si="4"/>
        <v>560.6736300000001</v>
      </c>
    </row>
    <row r="77" spans="1:11" ht="12">
      <c r="A77" s="93" t="s">
        <v>935</v>
      </c>
      <c r="B77" s="95">
        <v>38826</v>
      </c>
      <c r="C77" s="96">
        <v>0.5097222222222222</v>
      </c>
      <c r="D77" s="97">
        <v>312</v>
      </c>
      <c r="E77" s="99">
        <f t="shared" si="3"/>
        <v>8.8348572</v>
      </c>
      <c r="F77" s="105">
        <v>67.4</v>
      </c>
      <c r="G77" s="99">
        <v>8.25</v>
      </c>
      <c r="H77" s="98">
        <v>0.16</v>
      </c>
      <c r="I77" s="99">
        <v>12.9</v>
      </c>
      <c r="J77" s="100">
        <v>131.24150520833334</v>
      </c>
      <c r="K77" s="100">
        <f t="shared" si="4"/>
        <v>595.46937528</v>
      </c>
    </row>
    <row r="78" spans="1:11" ht="12">
      <c r="A78" s="93" t="s">
        <v>936</v>
      </c>
      <c r="B78" s="95">
        <v>38840</v>
      </c>
      <c r="C78" s="96">
        <v>0.7222222222222222</v>
      </c>
      <c r="D78" s="97">
        <v>404</v>
      </c>
      <c r="E78" s="99">
        <f t="shared" si="3"/>
        <v>11.4400074</v>
      </c>
      <c r="F78" s="105">
        <v>49.2</v>
      </c>
      <c r="G78" s="99">
        <v>6.24</v>
      </c>
      <c r="H78" s="98">
        <v>0.11</v>
      </c>
      <c r="I78" s="99">
        <v>9.58</v>
      </c>
      <c r="J78" s="99">
        <v>98.82834895833335</v>
      </c>
      <c r="K78" s="100">
        <f t="shared" si="4"/>
        <v>562.8483640800001</v>
      </c>
    </row>
    <row r="79" spans="1:11" ht="12">
      <c r="A79" s="93" t="s">
        <v>937</v>
      </c>
      <c r="B79" s="95">
        <v>38847</v>
      </c>
      <c r="C79" s="96">
        <v>0.625</v>
      </c>
      <c r="D79" s="97">
        <v>412</v>
      </c>
      <c r="E79" s="99">
        <f t="shared" si="3"/>
        <v>11.6665422</v>
      </c>
      <c r="F79" s="105">
        <v>47.5</v>
      </c>
      <c r="G79" s="99">
        <v>6.02</v>
      </c>
      <c r="H79" s="98">
        <v>0.11</v>
      </c>
      <c r="I79" s="99">
        <v>9.59</v>
      </c>
      <c r="J79" s="99">
        <v>95.96836458333333</v>
      </c>
      <c r="K79" s="100">
        <f t="shared" si="4"/>
        <v>554.1607545</v>
      </c>
    </row>
    <row r="80" spans="1:11" ht="12">
      <c r="A80" s="93" t="s">
        <v>938</v>
      </c>
      <c r="B80" s="95">
        <v>38854</v>
      </c>
      <c r="C80" s="96">
        <v>0.58125</v>
      </c>
      <c r="D80" s="97">
        <v>661</v>
      </c>
      <c r="E80" s="99">
        <f t="shared" si="3"/>
        <v>18.71743785</v>
      </c>
      <c r="F80" s="105">
        <v>28.9</v>
      </c>
      <c r="G80" s="99">
        <v>3.77</v>
      </c>
      <c r="H80" s="98">
        <v>0.07</v>
      </c>
      <c r="I80" s="99">
        <v>5.66</v>
      </c>
      <c r="J80" s="100">
        <v>60.37744791666666</v>
      </c>
      <c r="K80" s="100">
        <f t="shared" si="4"/>
        <v>540.9339538649999</v>
      </c>
    </row>
    <row r="81" spans="1:11" ht="12">
      <c r="A81" s="93" t="s">
        <v>939</v>
      </c>
      <c r="B81" s="95">
        <v>38859</v>
      </c>
      <c r="C81" s="96">
        <v>0.6041666666666666</v>
      </c>
      <c r="D81" s="97">
        <v>692</v>
      </c>
      <c r="E81" s="99">
        <f t="shared" si="3"/>
        <v>19.595260200000002</v>
      </c>
      <c r="F81" s="105">
        <v>26.5</v>
      </c>
      <c r="G81" s="99">
        <v>3.48</v>
      </c>
      <c r="H81" s="98">
        <v>0.06</v>
      </c>
      <c r="I81" s="99">
        <v>5.22</v>
      </c>
      <c r="J81" s="100">
        <v>56.564135416666666</v>
      </c>
      <c r="K81" s="100">
        <f t="shared" si="4"/>
        <v>519.2743953</v>
      </c>
    </row>
    <row r="82" spans="1:11" ht="12">
      <c r="A82" s="93" t="s">
        <v>940</v>
      </c>
      <c r="B82" s="95">
        <v>38860</v>
      </c>
      <c r="C82" s="96">
        <v>0.39375</v>
      </c>
      <c r="D82" s="97">
        <v>739</v>
      </c>
      <c r="E82" s="99">
        <f t="shared" si="3"/>
        <v>20.92615215</v>
      </c>
      <c r="F82" s="105">
        <v>27.3</v>
      </c>
      <c r="G82" s="99">
        <v>3.53</v>
      </c>
      <c r="H82" s="98">
        <v>0.06</v>
      </c>
      <c r="I82" s="99">
        <v>5.84</v>
      </c>
      <c r="J82" s="100">
        <v>57.1996875</v>
      </c>
      <c r="K82" s="100">
        <f t="shared" si="4"/>
        <v>571.283953695</v>
      </c>
    </row>
    <row r="83" spans="1:11" ht="12">
      <c r="A83" s="93" t="s">
        <v>941</v>
      </c>
      <c r="B83" s="95">
        <v>38870</v>
      </c>
      <c r="C83" s="96">
        <v>0.5694444444444444</v>
      </c>
      <c r="D83" s="97">
        <v>420</v>
      </c>
      <c r="E83" s="99">
        <f t="shared" si="3"/>
        <v>11.893077</v>
      </c>
      <c r="F83" s="105">
        <v>45.1</v>
      </c>
      <c r="G83" s="99">
        <v>5.75</v>
      </c>
      <c r="H83" s="98">
        <v>0.11</v>
      </c>
      <c r="I83" s="99">
        <v>8.34</v>
      </c>
      <c r="J83" s="100">
        <v>92.47282812499999</v>
      </c>
      <c r="K83" s="100">
        <f t="shared" si="4"/>
        <v>536.3777727</v>
      </c>
    </row>
    <row r="84" spans="1:11" ht="12">
      <c r="A84" s="93" t="s">
        <v>942</v>
      </c>
      <c r="B84" s="95">
        <v>38873</v>
      </c>
      <c r="C84" s="96">
        <v>0.5048611111111111</v>
      </c>
      <c r="D84" s="97">
        <v>498</v>
      </c>
      <c r="E84" s="99">
        <f t="shared" si="3"/>
        <v>14.1017913</v>
      </c>
      <c r="F84" s="105">
        <v>36.8</v>
      </c>
      <c r="G84" s="99">
        <v>4.73</v>
      </c>
      <c r="H84" s="98">
        <v>0.08</v>
      </c>
      <c r="I84" s="99">
        <v>6.85</v>
      </c>
      <c r="J84" s="100">
        <v>75.94847395833334</v>
      </c>
      <c r="K84" s="100">
        <f t="shared" si="4"/>
        <v>518.94591984</v>
      </c>
    </row>
    <row r="85" spans="1:11" ht="12">
      <c r="A85" s="93" t="s">
        <v>943</v>
      </c>
      <c r="B85" s="95">
        <v>38880</v>
      </c>
      <c r="C85" s="96">
        <v>0.5208333333333334</v>
      </c>
      <c r="D85" s="97">
        <v>519</v>
      </c>
      <c r="E85" s="99">
        <f t="shared" si="3"/>
        <v>14.69644515</v>
      </c>
      <c r="F85" s="105">
        <v>39.2</v>
      </c>
      <c r="G85" s="99">
        <v>5.01</v>
      </c>
      <c r="H85" s="98">
        <v>0.09</v>
      </c>
      <c r="I85" s="99">
        <v>8.19</v>
      </c>
      <c r="J85" s="100">
        <v>78.17290625</v>
      </c>
      <c r="K85" s="100">
        <f t="shared" si="4"/>
        <v>576.1006498800001</v>
      </c>
    </row>
    <row r="86" spans="1:11" ht="12">
      <c r="A86" s="93" t="s">
        <v>944</v>
      </c>
      <c r="B86" s="95">
        <v>38882</v>
      </c>
      <c r="C86" s="96">
        <v>0.2986111111111111</v>
      </c>
      <c r="D86" s="97">
        <v>439</v>
      </c>
      <c r="E86" s="99">
        <f t="shared" si="3"/>
        <v>12.431097150000001</v>
      </c>
      <c r="F86" s="105">
        <v>43.5</v>
      </c>
      <c r="G86" s="99">
        <v>5.58</v>
      </c>
      <c r="H86" s="98">
        <v>0.1</v>
      </c>
      <c r="I86" s="99">
        <v>7.62</v>
      </c>
      <c r="J86" s="100">
        <v>87.7061875</v>
      </c>
      <c r="K86" s="100">
        <f t="shared" si="4"/>
        <v>540.752726025</v>
      </c>
    </row>
    <row r="87" spans="1:11" ht="12">
      <c r="A87" s="93" t="s">
        <v>945</v>
      </c>
      <c r="B87" s="95">
        <v>38890</v>
      </c>
      <c r="C87" s="96">
        <v>0.46875</v>
      </c>
      <c r="D87" s="97">
        <v>339</v>
      </c>
      <c r="E87" s="99">
        <f t="shared" si="3"/>
        <v>9.599412150000001</v>
      </c>
      <c r="F87" s="105">
        <v>53.8</v>
      </c>
      <c r="G87" s="99">
        <v>6.83</v>
      </c>
      <c r="H87" s="98">
        <v>0.13</v>
      </c>
      <c r="I87" s="99">
        <v>9.52</v>
      </c>
      <c r="J87" s="100">
        <v>109.63273437500001</v>
      </c>
      <c r="K87" s="100">
        <f t="shared" si="4"/>
        <v>516.44837367</v>
      </c>
    </row>
    <row r="88" spans="1:11" ht="12">
      <c r="A88" s="93" t="s">
        <v>946</v>
      </c>
      <c r="B88" s="95" t="str">
        <f>MID(A88,5,2)&amp;"/"&amp;MID(A88,7,2)&amp;"/"&amp;MID(A88,9,2)</f>
        <v>06/30/06</v>
      </c>
      <c r="C88" s="119">
        <v>0.3652777777777778</v>
      </c>
      <c r="D88" s="97">
        <v>302</v>
      </c>
      <c r="E88" s="99">
        <f t="shared" si="3"/>
        <v>8.5516887</v>
      </c>
      <c r="F88" s="105">
        <v>58.9</v>
      </c>
      <c r="G88" s="99">
        <v>7.44</v>
      </c>
      <c r="H88" s="98">
        <v>0.15</v>
      </c>
      <c r="I88" s="99">
        <v>10.1</v>
      </c>
      <c r="J88" s="100">
        <v>120.11934375</v>
      </c>
      <c r="K88" s="100">
        <f t="shared" si="4"/>
        <v>503.69446443</v>
      </c>
    </row>
    <row r="89" spans="1:11" ht="12">
      <c r="A89" s="93" t="s">
        <v>947</v>
      </c>
      <c r="B89" s="95" t="str">
        <f aca="true" t="shared" si="5" ref="B89:B96">MID(A89,5,2)&amp;"/"&amp;MID(A89,7,2)&amp;"/"&amp;MID(A89,9,2)</f>
        <v>07/08/06</v>
      </c>
      <c r="C89" s="119">
        <v>0.46875</v>
      </c>
      <c r="D89" s="97">
        <v>299</v>
      </c>
      <c r="E89" s="99">
        <f t="shared" si="3"/>
        <v>8.466738150000001</v>
      </c>
      <c r="F89" s="105">
        <v>60.1</v>
      </c>
      <c r="G89" s="99">
        <v>7.6</v>
      </c>
      <c r="H89" s="98">
        <v>0.15</v>
      </c>
      <c r="I89" s="99">
        <v>10.4</v>
      </c>
      <c r="J89" s="100">
        <v>122.02600000000002</v>
      </c>
      <c r="K89" s="100">
        <f t="shared" si="4"/>
        <v>508.85096281500006</v>
      </c>
    </row>
    <row r="90" spans="1:11" ht="12">
      <c r="A90" s="93" t="s">
        <v>948</v>
      </c>
      <c r="B90" s="95" t="str">
        <f t="shared" si="5"/>
        <v>07/13/06</v>
      </c>
      <c r="C90" s="119">
        <v>0.44305555555555554</v>
      </c>
      <c r="D90" s="97">
        <v>302</v>
      </c>
      <c r="E90" s="99">
        <f t="shared" si="3"/>
        <v>8.5516887</v>
      </c>
      <c r="F90" s="105">
        <v>62.2</v>
      </c>
      <c r="G90" s="99">
        <v>7.76</v>
      </c>
      <c r="H90" s="98">
        <v>0.15</v>
      </c>
      <c r="I90" s="99">
        <v>11.2</v>
      </c>
      <c r="J90" s="100">
        <v>123.93265625</v>
      </c>
      <c r="K90" s="100">
        <f t="shared" si="4"/>
        <v>531.91503714</v>
      </c>
    </row>
    <row r="91" spans="1:11" ht="12">
      <c r="A91" s="93" t="s">
        <v>949</v>
      </c>
      <c r="B91" s="95" t="str">
        <f t="shared" si="5"/>
        <v>07/20/06</v>
      </c>
      <c r="C91" s="119">
        <v>0.75</v>
      </c>
      <c r="D91" s="97">
        <v>271</v>
      </c>
      <c r="E91" s="99">
        <f t="shared" si="3"/>
        <v>7.67386635</v>
      </c>
      <c r="F91" s="105">
        <v>62.7</v>
      </c>
      <c r="G91" s="99">
        <v>8.02</v>
      </c>
      <c r="H91" s="98">
        <v>0.16</v>
      </c>
      <c r="I91" s="99">
        <v>10.7</v>
      </c>
      <c r="J91" s="100">
        <v>126.79264062499999</v>
      </c>
      <c r="K91" s="100">
        <f t="shared" si="4"/>
        <v>481.15142014500003</v>
      </c>
    </row>
    <row r="92" spans="1:11" ht="12">
      <c r="A92" s="93" t="s">
        <v>950</v>
      </c>
      <c r="B92" s="95" t="str">
        <f t="shared" si="5"/>
        <v>07/27/06</v>
      </c>
      <c r="C92" s="119">
        <v>0.6770833333333334</v>
      </c>
      <c r="D92" s="97">
        <v>271</v>
      </c>
      <c r="E92" s="99">
        <f t="shared" si="3"/>
        <v>7.67386635</v>
      </c>
      <c r="F92" s="105">
        <v>62.9</v>
      </c>
      <c r="G92" s="99">
        <v>8.04</v>
      </c>
      <c r="H92" s="98">
        <v>0.16</v>
      </c>
      <c r="I92" s="99">
        <v>11.1</v>
      </c>
      <c r="J92" s="100">
        <v>126.31597656250003</v>
      </c>
      <c r="K92" s="100">
        <f t="shared" si="4"/>
        <v>482.686193415</v>
      </c>
    </row>
    <row r="93" spans="1:11" ht="12">
      <c r="A93" s="93" t="s">
        <v>730</v>
      </c>
      <c r="B93" s="95" t="str">
        <f t="shared" si="5"/>
        <v>08/02/06</v>
      </c>
      <c r="C93" s="119">
        <v>0.41180555555555554</v>
      </c>
      <c r="D93" s="97">
        <v>289</v>
      </c>
      <c r="E93" s="99">
        <f t="shared" si="3"/>
        <v>8.18356965</v>
      </c>
      <c r="F93" s="105">
        <v>61.6</v>
      </c>
      <c r="G93" s="99">
        <v>7.82</v>
      </c>
      <c r="H93" s="98">
        <v>0.15</v>
      </c>
      <c r="I93" s="99">
        <v>11.5</v>
      </c>
      <c r="J93" s="100">
        <v>123.61488020833335</v>
      </c>
      <c r="K93" s="100">
        <f t="shared" si="4"/>
        <v>504.10789044000006</v>
      </c>
    </row>
    <row r="94" spans="1:11" ht="12">
      <c r="A94" s="93" t="s">
        <v>731</v>
      </c>
      <c r="B94" s="95" t="str">
        <f t="shared" si="5"/>
        <v>08/10/06</v>
      </c>
      <c r="C94" s="119">
        <v>0.5055555555555555</v>
      </c>
      <c r="D94" s="97">
        <v>274</v>
      </c>
      <c r="E94" s="99">
        <f t="shared" si="3"/>
        <v>7.7588169</v>
      </c>
      <c r="F94" s="105">
        <v>63.6</v>
      </c>
      <c r="G94" s="99">
        <v>8.13</v>
      </c>
      <c r="H94" s="98">
        <v>0.16</v>
      </c>
      <c r="I94" s="99">
        <v>11</v>
      </c>
      <c r="J94" s="100">
        <v>129.01707291666668</v>
      </c>
      <c r="K94" s="100">
        <f t="shared" si="4"/>
        <v>493.46075484000005</v>
      </c>
    </row>
    <row r="95" spans="1:11" ht="12">
      <c r="A95" s="93" t="s">
        <v>732</v>
      </c>
      <c r="B95" s="95" t="str">
        <f t="shared" si="5"/>
        <v>08/16/06</v>
      </c>
      <c r="C95" s="119">
        <v>0.5256944444444445</v>
      </c>
      <c r="D95" s="97">
        <v>283</v>
      </c>
      <c r="E95" s="99">
        <f t="shared" si="3"/>
        <v>8.01366855</v>
      </c>
      <c r="F95" s="105">
        <v>62.9</v>
      </c>
      <c r="G95" s="99">
        <v>7.91</v>
      </c>
      <c r="H95" s="98">
        <v>0.15</v>
      </c>
      <c r="I95" s="99">
        <v>13.6</v>
      </c>
      <c r="J95" s="100">
        <v>119.166015625</v>
      </c>
      <c r="K95" s="100">
        <f t="shared" si="4"/>
        <v>504.059751795</v>
      </c>
    </row>
    <row r="96" spans="1:12" ht="12">
      <c r="A96" s="93" t="s">
        <v>733</v>
      </c>
      <c r="B96" s="95" t="str">
        <f t="shared" si="5"/>
        <v>09/07/06</v>
      </c>
      <c r="C96" s="119">
        <v>0.40625</v>
      </c>
      <c r="D96" s="97">
        <v>271</v>
      </c>
      <c r="E96" s="99">
        <f t="shared" si="3"/>
        <v>7.67386635</v>
      </c>
      <c r="F96" s="105">
        <v>64.8</v>
      </c>
      <c r="G96" s="99">
        <v>8.29</v>
      </c>
      <c r="H96" s="98">
        <v>0.16</v>
      </c>
      <c r="I96" s="99">
        <v>11.2</v>
      </c>
      <c r="J96" s="100">
        <v>131.0826171875</v>
      </c>
      <c r="K96" s="100">
        <f t="shared" si="4"/>
        <v>497.26653947999995</v>
      </c>
      <c r="L96" s="10"/>
    </row>
    <row r="97" spans="1:11" ht="12">
      <c r="A97" s="14" t="s">
        <v>1268</v>
      </c>
      <c r="C97" s="119"/>
      <c r="F97" s="105"/>
      <c r="J97" s="100"/>
      <c r="K97" s="100"/>
    </row>
    <row r="98" spans="1:11" ht="12">
      <c r="A98" s="93" t="s">
        <v>734</v>
      </c>
      <c r="B98" s="95">
        <v>38994.41458333333</v>
      </c>
      <c r="C98" s="119">
        <v>0.4145833333333333</v>
      </c>
      <c r="D98" s="97">
        <v>293</v>
      </c>
      <c r="E98" s="99">
        <f t="shared" si="3"/>
        <v>8.29683705</v>
      </c>
      <c r="F98" s="105">
        <v>63.7</v>
      </c>
      <c r="G98" s="99">
        <v>7.88</v>
      </c>
      <c r="H98" s="98">
        <v>0.15</v>
      </c>
      <c r="I98" s="99">
        <v>13.7</v>
      </c>
      <c r="J98" s="100">
        <v>122.34377604166667</v>
      </c>
      <c r="K98" s="100">
        <f t="shared" si="4"/>
        <v>528.5085200850001</v>
      </c>
    </row>
    <row r="99" spans="1:11" ht="12">
      <c r="A99" s="93" t="s">
        <v>588</v>
      </c>
      <c r="B99" s="95">
        <v>39009.416666666664</v>
      </c>
      <c r="C99" s="97">
        <v>1000</v>
      </c>
      <c r="D99" s="97">
        <v>280</v>
      </c>
      <c r="E99" s="99">
        <f t="shared" si="3"/>
        <v>7.928718</v>
      </c>
      <c r="F99" s="99">
        <v>65.3</v>
      </c>
      <c r="G99" s="99">
        <v>8.24</v>
      </c>
      <c r="H99" s="98">
        <v>0.15</v>
      </c>
      <c r="I99" s="99">
        <v>12.3</v>
      </c>
      <c r="J99" s="100">
        <v>127.11041666666667</v>
      </c>
      <c r="K99" s="100">
        <f t="shared" si="4"/>
        <v>517.7452854</v>
      </c>
    </row>
    <row r="100" spans="1:11" ht="12">
      <c r="A100" s="93" t="s">
        <v>589</v>
      </c>
      <c r="B100" s="95">
        <v>39036.575</v>
      </c>
      <c r="C100" s="97">
        <v>1348</v>
      </c>
      <c r="D100" s="97">
        <v>283</v>
      </c>
      <c r="E100" s="99">
        <f t="shared" si="3"/>
        <v>8.01366855</v>
      </c>
      <c r="F100" s="99">
        <v>67.5</v>
      </c>
      <c r="G100" s="99">
        <v>8.44</v>
      </c>
      <c r="H100" s="98">
        <v>0.15</v>
      </c>
      <c r="I100" s="99">
        <v>13.1</v>
      </c>
      <c r="J100" s="100">
        <v>129.3348489583333</v>
      </c>
      <c r="K100" s="100">
        <f t="shared" si="4"/>
        <v>540.922627125</v>
      </c>
    </row>
    <row r="101" spans="1:11" ht="12">
      <c r="A101" s="93" t="s">
        <v>590</v>
      </c>
      <c r="B101" s="95">
        <v>39063.47638888889</v>
      </c>
      <c r="C101" s="97">
        <v>1126</v>
      </c>
      <c r="D101" s="97">
        <v>280</v>
      </c>
      <c r="E101" s="99">
        <f t="shared" si="3"/>
        <v>7.928718</v>
      </c>
      <c r="F101" s="99">
        <v>68.1</v>
      </c>
      <c r="G101" s="99">
        <v>8.6</v>
      </c>
      <c r="H101" s="98">
        <v>0.16</v>
      </c>
      <c r="I101" s="99">
        <v>12.7</v>
      </c>
      <c r="J101" s="100">
        <v>134.10148958333335</v>
      </c>
      <c r="K101" s="100">
        <f t="shared" si="4"/>
        <v>539.9456958</v>
      </c>
    </row>
    <row r="102" spans="1:11" ht="12">
      <c r="A102" s="93" t="s">
        <v>591</v>
      </c>
      <c r="B102" s="95">
        <v>39099.5625</v>
      </c>
      <c r="C102" s="97">
        <v>1330</v>
      </c>
      <c r="D102" s="97">
        <v>274</v>
      </c>
      <c r="E102" s="99">
        <f t="shared" si="3"/>
        <v>7.7588169</v>
      </c>
      <c r="F102" s="99">
        <v>72</v>
      </c>
      <c r="G102" s="99">
        <v>8.88</v>
      </c>
      <c r="H102" s="98">
        <v>0.18</v>
      </c>
      <c r="I102" s="99">
        <v>13.1</v>
      </c>
      <c r="J102" s="100">
        <v>139.18590625</v>
      </c>
      <c r="K102" s="100">
        <f t="shared" si="4"/>
        <v>558.6348168000001</v>
      </c>
    </row>
    <row r="103" spans="1:11" ht="12">
      <c r="A103" s="93" t="s">
        <v>437</v>
      </c>
      <c r="B103" s="95">
        <v>39126.470138888886</v>
      </c>
      <c r="C103" s="97">
        <v>1117</v>
      </c>
      <c r="D103" s="97">
        <v>283</v>
      </c>
      <c r="E103" s="99">
        <f t="shared" si="3"/>
        <v>8.01366855</v>
      </c>
      <c r="F103" s="99">
        <v>74</v>
      </c>
      <c r="G103" s="99">
        <v>9.06</v>
      </c>
      <c r="H103" s="98">
        <v>0.16</v>
      </c>
      <c r="I103" s="99">
        <v>13.5</v>
      </c>
      <c r="J103" s="100">
        <v>140.77478645833335</v>
      </c>
      <c r="K103" s="100">
        <f t="shared" si="4"/>
        <v>593.0114727</v>
      </c>
    </row>
    <row r="104" spans="1:11" ht="12">
      <c r="A104" s="93" t="s">
        <v>438</v>
      </c>
      <c r="B104" s="95">
        <v>39161.50277777778</v>
      </c>
      <c r="C104" s="119">
        <v>0.5027777777777778</v>
      </c>
      <c r="D104" s="97">
        <v>312</v>
      </c>
      <c r="E104" s="99">
        <f t="shared" si="3"/>
        <v>8.8348572</v>
      </c>
      <c r="F104" s="99">
        <v>66.8</v>
      </c>
      <c r="G104" s="99">
        <v>8.34</v>
      </c>
      <c r="H104" s="98">
        <v>0.11</v>
      </c>
      <c r="I104" s="99">
        <v>13.3</v>
      </c>
      <c r="J104" s="100">
        <v>129.97040104166663</v>
      </c>
      <c r="K104" s="100">
        <f t="shared" si="4"/>
        <v>590.16846096</v>
      </c>
    </row>
    <row r="105" spans="1:11" ht="12">
      <c r="A105" s="93" t="s">
        <v>439</v>
      </c>
      <c r="B105" s="95">
        <v>39181.604166666664</v>
      </c>
      <c r="C105" s="97">
        <v>1430</v>
      </c>
      <c r="D105" s="97">
        <v>319</v>
      </c>
      <c r="E105" s="99">
        <f t="shared" si="3"/>
        <v>9.03307515</v>
      </c>
      <c r="F105" s="99">
        <v>62.6</v>
      </c>
      <c r="G105" s="99">
        <v>7.88</v>
      </c>
      <c r="H105" s="98">
        <v>0.09</v>
      </c>
      <c r="I105" s="99">
        <v>11.8</v>
      </c>
      <c r="J105" s="100">
        <v>124.25043229166667</v>
      </c>
      <c r="K105" s="100">
        <f t="shared" si="4"/>
        <v>565.47050439</v>
      </c>
    </row>
    <row r="106" spans="1:11" ht="12">
      <c r="A106" s="93" t="s">
        <v>440</v>
      </c>
      <c r="B106" s="95">
        <v>39190.48472222222</v>
      </c>
      <c r="C106" s="119">
        <v>0.4847222222222222</v>
      </c>
      <c r="D106" s="97">
        <v>356</v>
      </c>
      <c r="E106" s="99">
        <f t="shared" si="3"/>
        <v>10.0807986</v>
      </c>
      <c r="F106" s="99">
        <v>56.6</v>
      </c>
      <c r="G106" s="99">
        <v>7.18</v>
      </c>
      <c r="H106" s="98">
        <v>0.07</v>
      </c>
      <c r="I106" s="99">
        <v>10.6</v>
      </c>
      <c r="J106" s="100">
        <v>112.49271875000001</v>
      </c>
      <c r="K106" s="100">
        <f t="shared" si="4"/>
        <v>570.57320076</v>
      </c>
    </row>
    <row r="107" spans="1:37" ht="12">
      <c r="A107" s="93" t="s">
        <v>441</v>
      </c>
      <c r="B107" s="95">
        <v>39197.708333333336</v>
      </c>
      <c r="C107" s="119">
        <v>0.7083333333333334</v>
      </c>
      <c r="D107" s="97">
        <v>315</v>
      </c>
      <c r="E107" s="99">
        <f t="shared" si="3"/>
        <v>8.91980775</v>
      </c>
      <c r="F107" s="99">
        <v>61.3</v>
      </c>
      <c r="G107" s="99">
        <v>7.71</v>
      </c>
      <c r="H107" s="98">
        <v>0.09</v>
      </c>
      <c r="I107" s="99">
        <v>11.9</v>
      </c>
      <c r="J107" s="100">
        <v>120.11934375</v>
      </c>
      <c r="K107" s="100">
        <f t="shared" si="4"/>
        <v>546.784215075</v>
      </c>
      <c r="L107" s="36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Z107" s="7">
        <v>4.9707218</v>
      </c>
      <c r="AA107" s="7">
        <v>70.73952159999999</v>
      </c>
      <c r="AB107" s="7">
        <v>6.987241799999999</v>
      </c>
      <c r="AC107" s="7">
        <v>0.403304</v>
      </c>
      <c r="AD107" s="7">
        <v>34.3917486</v>
      </c>
      <c r="AE107" s="7">
        <v>608.7773053999999</v>
      </c>
      <c r="AF107" s="7">
        <v>43.425758200000004</v>
      </c>
      <c r="AG107" s="7">
        <v>7.299802399999999</v>
      </c>
      <c r="AH107" s="7">
        <v>11.443750999999999</v>
      </c>
      <c r="AI107" s="7">
        <v>692.271316</v>
      </c>
      <c r="AJ107" s="7">
        <v>121.62640379999999</v>
      </c>
      <c r="AK107" s="7">
        <v>323.1574126</v>
      </c>
    </row>
    <row r="108" spans="1:24" ht="15">
      <c r="A108" s="93" t="s">
        <v>469</v>
      </c>
      <c r="B108" s="95">
        <v>39203.42013888889</v>
      </c>
      <c r="C108" s="96">
        <f>B108</f>
        <v>39203.42013888889</v>
      </c>
      <c r="D108" s="100">
        <v>564</v>
      </c>
      <c r="E108" s="99">
        <f t="shared" si="3"/>
        <v>15.970703400000001</v>
      </c>
      <c r="F108" s="99">
        <v>30.5</v>
      </c>
      <c r="G108" s="99">
        <v>4.07</v>
      </c>
      <c r="H108" s="98">
        <v>0.06</v>
      </c>
      <c r="I108" s="99">
        <v>6.06</v>
      </c>
      <c r="J108" s="100">
        <v>64.03187239583333</v>
      </c>
      <c r="K108" s="100">
        <f t="shared" si="4"/>
        <v>487.10645370000003</v>
      </c>
      <c r="L108" s="41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2">
      <c r="A109" s="93" t="s">
        <v>470</v>
      </c>
      <c r="B109" s="95">
        <v>39217.47430555556</v>
      </c>
      <c r="C109" s="96">
        <f aca="true" t="shared" si="6" ref="C109:C122">B109</f>
        <v>39217.47430555556</v>
      </c>
      <c r="D109" s="100">
        <v>416</v>
      </c>
      <c r="E109" s="99">
        <f t="shared" si="3"/>
        <v>11.7798096</v>
      </c>
      <c r="F109" s="99">
        <v>41.5</v>
      </c>
      <c r="G109" s="99">
        <v>5.4</v>
      </c>
      <c r="H109" s="98">
        <v>0.09</v>
      </c>
      <c r="I109" s="99">
        <v>7.68</v>
      </c>
      <c r="J109" s="100">
        <v>82.62177083333333</v>
      </c>
      <c r="K109" s="100">
        <f t="shared" si="4"/>
        <v>488.8620984</v>
      </c>
      <c r="L109" s="2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>
      <c r="A110" s="93" t="s">
        <v>471</v>
      </c>
      <c r="B110" s="95">
        <v>39217.614583333336</v>
      </c>
      <c r="C110" s="96">
        <f t="shared" si="6"/>
        <v>39217.614583333336</v>
      </c>
      <c r="D110" s="100">
        <v>400</v>
      </c>
      <c r="E110" s="99">
        <f t="shared" si="3"/>
        <v>11.326740000000001</v>
      </c>
      <c r="F110" s="99">
        <v>43.8</v>
      </c>
      <c r="G110" s="99">
        <v>5.66</v>
      </c>
      <c r="H110" s="98">
        <v>0.1</v>
      </c>
      <c r="I110" s="99">
        <v>8</v>
      </c>
      <c r="J110" s="100">
        <v>86.11730729166666</v>
      </c>
      <c r="K110" s="100">
        <f t="shared" si="4"/>
        <v>496.111212</v>
      </c>
      <c r="L110" s="41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5">
      <c r="A111" s="93" t="s">
        <v>472</v>
      </c>
      <c r="B111" s="95">
        <v>39233.395833333336</v>
      </c>
      <c r="C111" s="96">
        <f t="shared" si="6"/>
        <v>39233.395833333336</v>
      </c>
      <c r="D111" s="100">
        <v>289</v>
      </c>
      <c r="E111" s="99">
        <f>D111*0.02831685</f>
        <v>8.18356965</v>
      </c>
      <c r="F111" s="99">
        <v>61.5</v>
      </c>
      <c r="G111" s="99">
        <v>7.76</v>
      </c>
      <c r="H111" s="98">
        <v>0.14</v>
      </c>
      <c r="I111" s="99">
        <v>10.7</v>
      </c>
      <c r="J111" s="100">
        <v>120.11934375</v>
      </c>
      <c r="K111" s="100">
        <f t="shared" si="4"/>
        <v>503.28953347500004</v>
      </c>
      <c r="L111" s="41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5">
      <c r="A112" s="93" t="s">
        <v>473</v>
      </c>
      <c r="B112" s="95">
        <v>39239.697916666664</v>
      </c>
      <c r="C112" s="96">
        <f t="shared" si="6"/>
        <v>39239.697916666664</v>
      </c>
      <c r="D112" s="100">
        <v>315</v>
      </c>
      <c r="E112" s="99">
        <f>D112*0.02831685</f>
        <v>8.91980775</v>
      </c>
      <c r="F112" s="99">
        <v>64.4</v>
      </c>
      <c r="G112" s="99">
        <v>7.99</v>
      </c>
      <c r="H112" s="98">
        <v>0.15</v>
      </c>
      <c r="I112" s="99">
        <v>10.9</v>
      </c>
      <c r="J112" s="100">
        <v>126.15708854166664</v>
      </c>
      <c r="K112" s="100">
        <f t="shared" si="4"/>
        <v>574.4356191</v>
      </c>
      <c r="L112" s="41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5">
      <c r="A113" s="93" t="s">
        <v>474</v>
      </c>
      <c r="B113" s="95">
        <v>39246.78125</v>
      </c>
      <c r="C113" s="96">
        <f t="shared" si="6"/>
        <v>39246.78125</v>
      </c>
      <c r="D113" s="100">
        <v>256</v>
      </c>
      <c r="E113" s="99">
        <f>D113*0.02831685</f>
        <v>7.2491136</v>
      </c>
      <c r="F113" s="99">
        <v>68</v>
      </c>
      <c r="G113" s="99">
        <v>8.52</v>
      </c>
      <c r="H113" s="98">
        <v>0.17</v>
      </c>
      <c r="I113" s="99">
        <v>11.6</v>
      </c>
      <c r="J113" s="100">
        <v>133.78371354166669</v>
      </c>
      <c r="K113" s="100">
        <f t="shared" si="4"/>
        <v>492.9397248</v>
      </c>
      <c r="L113" s="41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11" ht="12">
      <c r="A114" s="93" t="s">
        <v>341</v>
      </c>
      <c r="B114" s="95">
        <v>39262.447916666664</v>
      </c>
      <c r="C114" s="96">
        <f t="shared" si="6"/>
        <v>39262.447916666664</v>
      </c>
      <c r="D114" s="97">
        <v>244</v>
      </c>
      <c r="E114" s="99">
        <f aca="true" t="shared" si="7" ref="E114:E122">D114*0.02831685</f>
        <v>6.9093114</v>
      </c>
      <c r="F114" s="99">
        <v>70.1</v>
      </c>
      <c r="G114" s="99">
        <v>8.78</v>
      </c>
      <c r="H114" s="98">
        <v>0.17</v>
      </c>
      <c r="I114" s="99">
        <v>11.6</v>
      </c>
      <c r="J114" s="100">
        <v>141.41033854166668</v>
      </c>
      <c r="K114" s="100">
        <f t="shared" si="4"/>
        <v>484.34272913999996</v>
      </c>
    </row>
    <row r="115" spans="1:23" ht="12">
      <c r="A115" s="93" t="s">
        <v>342</v>
      </c>
      <c r="B115" s="95">
        <v>39275.520833333336</v>
      </c>
      <c r="C115" s="96">
        <f t="shared" si="6"/>
        <v>39275.520833333336</v>
      </c>
      <c r="D115" s="97">
        <v>230</v>
      </c>
      <c r="E115" s="99">
        <f t="shared" si="7"/>
        <v>6.5128755</v>
      </c>
      <c r="F115" s="99">
        <v>72.4</v>
      </c>
      <c r="G115" s="99">
        <v>9.04</v>
      </c>
      <c r="H115" s="98">
        <v>0.19</v>
      </c>
      <c r="I115" s="99">
        <v>11.7</v>
      </c>
      <c r="J115" s="100">
        <v>147.13030729166667</v>
      </c>
      <c r="K115" s="100">
        <f t="shared" si="4"/>
        <v>471.5321862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11" ht="12">
      <c r="A116" s="93" t="s">
        <v>343</v>
      </c>
      <c r="B116" s="95">
        <v>39279.68402777778</v>
      </c>
      <c r="C116" s="96">
        <f t="shared" si="6"/>
        <v>39279.68402777778</v>
      </c>
      <c r="D116" s="97">
        <v>232</v>
      </c>
      <c r="E116" s="99">
        <f t="shared" si="7"/>
        <v>6.569509200000001</v>
      </c>
      <c r="F116" s="99">
        <v>72.7</v>
      </c>
      <c r="G116" s="99">
        <v>9.04</v>
      </c>
      <c r="H116" s="98">
        <v>0.18</v>
      </c>
      <c r="I116" s="99">
        <v>12</v>
      </c>
      <c r="J116" s="100">
        <v>144.905875</v>
      </c>
      <c r="K116" s="100">
        <f t="shared" si="4"/>
        <v>477.60331884000004</v>
      </c>
    </row>
    <row r="117" spans="1:24" ht="12">
      <c r="A117" s="93" t="s">
        <v>344</v>
      </c>
      <c r="B117" s="95">
        <v>39286.75</v>
      </c>
      <c r="C117" s="96">
        <f t="shared" si="6"/>
        <v>39286.75</v>
      </c>
      <c r="D117" s="97">
        <v>224</v>
      </c>
      <c r="E117" s="99">
        <f t="shared" si="7"/>
        <v>6.3429744</v>
      </c>
      <c r="F117" s="99">
        <v>73</v>
      </c>
      <c r="G117" s="99">
        <v>9.1</v>
      </c>
      <c r="H117" s="98">
        <v>0.18</v>
      </c>
      <c r="I117" s="99">
        <v>11.8</v>
      </c>
      <c r="J117" s="100">
        <v>145.70031510416666</v>
      </c>
      <c r="K117" s="100">
        <f t="shared" si="4"/>
        <v>463.03713120000003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11" ht="12">
      <c r="A118" s="93" t="s">
        <v>345</v>
      </c>
      <c r="B118" s="95">
        <v>39301.43263888889</v>
      </c>
      <c r="C118" s="96">
        <f t="shared" si="6"/>
        <v>39301.43263888889</v>
      </c>
      <c r="D118" s="97">
        <v>232</v>
      </c>
      <c r="E118" s="99">
        <f t="shared" si="7"/>
        <v>6.569509200000001</v>
      </c>
      <c r="F118" s="99">
        <v>74</v>
      </c>
      <c r="G118" s="99">
        <v>9.14</v>
      </c>
      <c r="H118" s="98">
        <v>0.2</v>
      </c>
      <c r="I118" s="99">
        <v>12.1</v>
      </c>
      <c r="J118" s="100">
        <v>146.33586718749999</v>
      </c>
      <c r="K118" s="100">
        <f t="shared" si="4"/>
        <v>486.1436808</v>
      </c>
    </row>
    <row r="119" spans="1:24" ht="12">
      <c r="A119" s="93" t="s">
        <v>346</v>
      </c>
      <c r="B119" s="95">
        <v>39316.73611111111</v>
      </c>
      <c r="C119" s="96">
        <f t="shared" si="6"/>
        <v>39316.73611111111</v>
      </c>
      <c r="D119" s="97">
        <v>227</v>
      </c>
      <c r="E119" s="99">
        <f t="shared" si="7"/>
        <v>6.42792495</v>
      </c>
      <c r="F119" s="99">
        <v>73.2</v>
      </c>
      <c r="G119" s="99">
        <v>9.07</v>
      </c>
      <c r="H119" s="98">
        <v>0.18</v>
      </c>
      <c r="I119" s="99">
        <v>12.6</v>
      </c>
      <c r="J119" s="100">
        <v>144.27032291666666</v>
      </c>
      <c r="K119" s="100">
        <f t="shared" si="4"/>
        <v>470.52410634000006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11" ht="12">
      <c r="A120" s="93" t="s">
        <v>347</v>
      </c>
      <c r="B120" s="95">
        <v>39331.479166666664</v>
      </c>
      <c r="C120" s="96">
        <f t="shared" si="6"/>
        <v>39331.479166666664</v>
      </c>
      <c r="D120" s="97">
        <v>238</v>
      </c>
      <c r="E120" s="99">
        <f t="shared" si="7"/>
        <v>6.7394103</v>
      </c>
      <c r="F120" s="99">
        <v>72.4</v>
      </c>
      <c r="G120" s="99">
        <v>8.9</v>
      </c>
      <c r="H120" s="98">
        <v>0.19</v>
      </c>
      <c r="I120" s="99">
        <v>13.7</v>
      </c>
      <c r="J120" s="100">
        <v>141.25145052083332</v>
      </c>
      <c r="K120" s="100">
        <f t="shared" si="4"/>
        <v>487.9333057200001</v>
      </c>
    </row>
    <row r="121" spans="1:24" ht="12">
      <c r="A121" s="93" t="s">
        <v>348</v>
      </c>
      <c r="B121" s="95">
        <v>39343.71875</v>
      </c>
      <c r="C121" s="96">
        <f t="shared" si="6"/>
        <v>39343.71875</v>
      </c>
      <c r="D121" s="97">
        <v>232</v>
      </c>
      <c r="E121" s="99">
        <f t="shared" si="7"/>
        <v>6.569509200000001</v>
      </c>
      <c r="F121" s="99">
        <v>75.8</v>
      </c>
      <c r="G121" s="99">
        <v>9.31</v>
      </c>
      <c r="H121" s="98">
        <v>0.18</v>
      </c>
      <c r="I121" s="99">
        <v>12.7</v>
      </c>
      <c r="J121" s="100">
        <v>148.4014114583333</v>
      </c>
      <c r="K121" s="100">
        <f t="shared" si="4"/>
        <v>497.96879736000005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12" ht="12">
      <c r="A122" s="93" t="s">
        <v>349</v>
      </c>
      <c r="B122" s="95">
        <v>39355.552083333336</v>
      </c>
      <c r="C122" s="96">
        <f t="shared" si="6"/>
        <v>39355.552083333336</v>
      </c>
      <c r="D122" s="97">
        <v>238</v>
      </c>
      <c r="E122" s="99">
        <f t="shared" si="7"/>
        <v>6.7394103</v>
      </c>
      <c r="F122" s="99">
        <v>72.8</v>
      </c>
      <c r="G122" s="99">
        <v>9.01</v>
      </c>
      <c r="H122" s="98">
        <v>0.18</v>
      </c>
      <c r="I122" s="99">
        <v>13</v>
      </c>
      <c r="J122" s="100">
        <v>142.68144270833335</v>
      </c>
      <c r="K122" s="100">
        <f t="shared" si="4"/>
        <v>490.62906984</v>
      </c>
      <c r="L122" s="10"/>
    </row>
    <row r="123" spans="1:3" ht="12">
      <c r="A123" s="14" t="s">
        <v>384</v>
      </c>
      <c r="C123" s="96"/>
    </row>
    <row r="124" spans="1:11" ht="12">
      <c r="A124" s="93" t="s">
        <v>96</v>
      </c>
      <c r="B124" s="95">
        <v>39373.458333333336</v>
      </c>
      <c r="C124" s="96">
        <f aca="true" t="shared" si="8" ref="C124:C133">B124</f>
        <v>39373.458333333336</v>
      </c>
      <c r="D124" s="100">
        <v>248</v>
      </c>
      <c r="E124" s="99">
        <f aca="true" t="shared" si="9" ref="E124:E151">D124*0.02831685</f>
        <v>7.022578800000001</v>
      </c>
      <c r="F124" s="99">
        <v>73.3</v>
      </c>
      <c r="G124" s="99">
        <v>8.95</v>
      </c>
      <c r="H124" s="98">
        <v>0.17</v>
      </c>
      <c r="I124" s="99">
        <v>13.3</v>
      </c>
      <c r="J124" s="97">
        <v>143</v>
      </c>
      <c r="K124" s="100">
        <f aca="true" t="shared" si="10" ref="K124:K151">E124*F124</f>
        <v>514.7550260400001</v>
      </c>
    </row>
    <row r="125" spans="1:11" ht="12">
      <c r="A125" s="93" t="s">
        <v>97</v>
      </c>
      <c r="B125" s="95">
        <v>39393</v>
      </c>
      <c r="C125" s="96">
        <f t="shared" si="8"/>
        <v>39393</v>
      </c>
      <c r="D125" s="100">
        <v>249</v>
      </c>
      <c r="E125" s="99">
        <f t="shared" si="9"/>
        <v>7.05089565</v>
      </c>
      <c r="F125" s="99">
        <v>73.5</v>
      </c>
      <c r="G125" s="99">
        <v>8.95</v>
      </c>
      <c r="H125" s="98">
        <v>0.17</v>
      </c>
      <c r="I125" s="99">
        <v>13.3</v>
      </c>
      <c r="J125" s="97">
        <v>143</v>
      </c>
      <c r="K125" s="100">
        <f t="shared" si="10"/>
        <v>518.240830275</v>
      </c>
    </row>
    <row r="126" spans="1:11" ht="12">
      <c r="A126" s="93" t="s">
        <v>98</v>
      </c>
      <c r="B126" s="95">
        <v>39409.65625</v>
      </c>
      <c r="C126" s="96">
        <f t="shared" si="8"/>
        <v>39409.65625</v>
      </c>
      <c r="D126" s="100">
        <v>254</v>
      </c>
      <c r="E126" s="99">
        <f t="shared" si="9"/>
        <v>7.1924799</v>
      </c>
      <c r="F126" s="99">
        <v>78.3</v>
      </c>
      <c r="G126" s="99">
        <v>9.32</v>
      </c>
      <c r="H126" s="98">
        <v>0.18</v>
      </c>
      <c r="I126" s="99">
        <v>13.9</v>
      </c>
      <c r="J126" s="97">
        <v>148</v>
      </c>
      <c r="K126" s="100">
        <f t="shared" si="10"/>
        <v>563.17117617</v>
      </c>
    </row>
    <row r="127" spans="1:11" ht="12">
      <c r="A127" s="93" t="s">
        <v>99</v>
      </c>
      <c r="B127" s="95">
        <v>39461.479166666664</v>
      </c>
      <c r="C127" s="96">
        <f t="shared" si="8"/>
        <v>39461.479166666664</v>
      </c>
      <c r="D127" s="100">
        <v>251</v>
      </c>
      <c r="E127" s="99">
        <f t="shared" si="9"/>
        <v>7.10752935</v>
      </c>
      <c r="F127" s="99">
        <v>78.5</v>
      </c>
      <c r="G127" s="99">
        <v>9.36</v>
      </c>
      <c r="H127" s="98">
        <v>0.18</v>
      </c>
      <c r="I127" s="99">
        <v>14.3</v>
      </c>
      <c r="J127" s="97">
        <v>150</v>
      </c>
      <c r="K127" s="100">
        <f t="shared" si="10"/>
        <v>557.941053975</v>
      </c>
    </row>
    <row r="128" spans="1:11" ht="12">
      <c r="A128" s="93" t="s">
        <v>100</v>
      </c>
      <c r="B128" s="95">
        <v>39486.54027777778</v>
      </c>
      <c r="C128" s="96">
        <f t="shared" si="8"/>
        <v>39486.54027777778</v>
      </c>
      <c r="D128" s="97">
        <v>248</v>
      </c>
      <c r="E128" s="99">
        <f t="shared" si="9"/>
        <v>7.022578800000001</v>
      </c>
      <c r="F128" s="99">
        <v>98.6</v>
      </c>
      <c r="G128" s="99">
        <v>11.3</v>
      </c>
      <c r="H128" s="98">
        <v>0.23</v>
      </c>
      <c r="I128" s="99">
        <v>18.6</v>
      </c>
      <c r="J128" s="97">
        <v>188</v>
      </c>
      <c r="K128" s="100">
        <f t="shared" si="10"/>
        <v>692.42626968</v>
      </c>
    </row>
    <row r="129" spans="1:11" ht="12">
      <c r="A129" s="93" t="s">
        <v>101</v>
      </c>
      <c r="B129" s="95">
        <v>39506.520833333336</v>
      </c>
      <c r="C129" s="96">
        <f t="shared" si="8"/>
        <v>39506.520833333336</v>
      </c>
      <c r="D129" s="97">
        <v>252</v>
      </c>
      <c r="E129" s="99">
        <f t="shared" si="9"/>
        <v>7.1358462000000005</v>
      </c>
      <c r="F129" s="99">
        <v>83.5</v>
      </c>
      <c r="G129" s="99">
        <v>9.79</v>
      </c>
      <c r="H129" s="98">
        <v>0.19</v>
      </c>
      <c r="I129" s="99">
        <v>14.8</v>
      </c>
      <c r="J129" s="97">
        <v>157</v>
      </c>
      <c r="K129" s="100">
        <f t="shared" si="10"/>
        <v>595.8431577</v>
      </c>
    </row>
    <row r="130" spans="1:11" ht="12">
      <c r="A130" s="93" t="s">
        <v>102</v>
      </c>
      <c r="B130" s="95">
        <v>39526.555555555555</v>
      </c>
      <c r="C130" s="96">
        <f t="shared" si="8"/>
        <v>39526.555555555555</v>
      </c>
      <c r="D130" s="97">
        <v>252</v>
      </c>
      <c r="E130" s="99">
        <f t="shared" si="9"/>
        <v>7.1358462000000005</v>
      </c>
      <c r="F130" s="99">
        <v>79.9</v>
      </c>
      <c r="G130" s="99">
        <v>9.54</v>
      </c>
      <c r="H130" s="98">
        <v>0.18</v>
      </c>
      <c r="I130" s="99">
        <v>14.4</v>
      </c>
      <c r="J130" s="97">
        <v>153</v>
      </c>
      <c r="K130" s="100">
        <f t="shared" si="10"/>
        <v>570.1541113800001</v>
      </c>
    </row>
    <row r="131" spans="1:11" ht="12">
      <c r="A131" s="93" t="s">
        <v>103</v>
      </c>
      <c r="B131" s="95">
        <v>39542.53125</v>
      </c>
      <c r="C131" s="96">
        <f t="shared" si="8"/>
        <v>39542.53125</v>
      </c>
      <c r="D131" s="97">
        <v>248</v>
      </c>
      <c r="E131" s="99">
        <f t="shared" si="9"/>
        <v>7.022578800000001</v>
      </c>
      <c r="F131" s="99">
        <v>84.2</v>
      </c>
      <c r="G131" s="99">
        <v>9.86</v>
      </c>
      <c r="H131" s="98">
        <v>0.2</v>
      </c>
      <c r="I131" s="99">
        <v>15</v>
      </c>
      <c r="J131" s="97">
        <v>159</v>
      </c>
      <c r="K131" s="100">
        <f t="shared" si="10"/>
        <v>591.3011349600001</v>
      </c>
    </row>
    <row r="132" spans="1:11" ht="12">
      <c r="A132" s="93" t="s">
        <v>104</v>
      </c>
      <c r="B132" s="95">
        <v>39554.604166666664</v>
      </c>
      <c r="C132" s="96">
        <f t="shared" si="8"/>
        <v>39554.604166666664</v>
      </c>
      <c r="D132" s="97">
        <v>284</v>
      </c>
      <c r="E132" s="99">
        <f t="shared" si="9"/>
        <v>8.0419854</v>
      </c>
      <c r="F132" s="99">
        <v>75.4</v>
      </c>
      <c r="G132" s="99">
        <v>8.98</v>
      </c>
      <c r="H132" s="98">
        <v>0.18</v>
      </c>
      <c r="I132" s="99">
        <v>14.8</v>
      </c>
      <c r="J132" s="97">
        <v>144</v>
      </c>
      <c r="K132" s="100">
        <f t="shared" si="10"/>
        <v>606.3656991600001</v>
      </c>
    </row>
    <row r="133" spans="1:11" ht="12">
      <c r="A133" s="93" t="s">
        <v>105</v>
      </c>
      <c r="B133" s="95">
        <v>39567.59375</v>
      </c>
      <c r="C133" s="96">
        <f t="shared" si="8"/>
        <v>39567.59375</v>
      </c>
      <c r="D133" s="97">
        <v>352</v>
      </c>
      <c r="E133" s="99">
        <f t="shared" si="9"/>
        <v>9.9675312</v>
      </c>
      <c r="F133" s="99">
        <v>68.3</v>
      </c>
      <c r="G133" s="99">
        <v>8.29</v>
      </c>
      <c r="H133" s="98">
        <v>0.15</v>
      </c>
      <c r="I133" s="99">
        <v>13.4</v>
      </c>
      <c r="J133" s="97">
        <v>133</v>
      </c>
      <c r="K133" s="100">
        <f t="shared" si="10"/>
        <v>680.78238096</v>
      </c>
    </row>
    <row r="134" spans="1:11" ht="12">
      <c r="A134" s="93" t="s">
        <v>106</v>
      </c>
      <c r="B134" s="95">
        <v>39574.489583333336</v>
      </c>
      <c r="C134" s="96">
        <f>B134</f>
        <v>39574.489583333336</v>
      </c>
      <c r="D134" s="97">
        <v>414</v>
      </c>
      <c r="E134" s="99">
        <f t="shared" si="9"/>
        <v>11.723175900000001</v>
      </c>
      <c r="F134" s="99">
        <v>53.5</v>
      </c>
      <c r="G134" s="99">
        <v>6.71</v>
      </c>
      <c r="H134" s="98">
        <v>0.11</v>
      </c>
      <c r="I134" s="99">
        <v>11.1</v>
      </c>
      <c r="J134" s="97">
        <v>107</v>
      </c>
      <c r="K134" s="100">
        <f t="shared" si="10"/>
        <v>627.18991065</v>
      </c>
    </row>
    <row r="135" spans="1:11" ht="12">
      <c r="A135" s="93" t="s">
        <v>107</v>
      </c>
      <c r="B135" s="95">
        <v>39581.5625</v>
      </c>
      <c r="C135" s="96">
        <f>B135</f>
        <v>39581.5625</v>
      </c>
      <c r="D135" s="97">
        <v>383</v>
      </c>
      <c r="E135" s="99">
        <f t="shared" si="9"/>
        <v>10.84535355</v>
      </c>
      <c r="F135" s="99">
        <v>62.2</v>
      </c>
      <c r="G135" s="99">
        <v>7.55</v>
      </c>
      <c r="H135" s="98">
        <v>0.15</v>
      </c>
      <c r="I135" s="99">
        <v>12.7</v>
      </c>
      <c r="J135" s="97">
        <v>120</v>
      </c>
      <c r="K135" s="100">
        <f t="shared" si="10"/>
        <v>674.58099081</v>
      </c>
    </row>
    <row r="136" spans="1:11" ht="12">
      <c r="A136" s="93" t="s">
        <v>108</v>
      </c>
      <c r="B136" s="95">
        <v>39588.53125</v>
      </c>
      <c r="C136" s="96">
        <f>B136</f>
        <v>39588.53125</v>
      </c>
      <c r="D136" s="97">
        <v>690</v>
      </c>
      <c r="E136" s="99">
        <f t="shared" si="9"/>
        <v>19.5386265</v>
      </c>
      <c r="F136" s="99">
        <v>29.3</v>
      </c>
      <c r="G136" s="99">
        <v>3.9</v>
      </c>
      <c r="H136" s="98">
        <v>0.06</v>
      </c>
      <c r="I136" s="99">
        <v>7.04</v>
      </c>
      <c r="J136" s="97">
        <v>61</v>
      </c>
      <c r="K136" s="100">
        <f t="shared" si="10"/>
        <v>572.48175645</v>
      </c>
    </row>
    <row r="137" spans="1:11" ht="12">
      <c r="A137" s="93" t="s">
        <v>109</v>
      </c>
      <c r="B137" s="95">
        <v>39595.552083333336</v>
      </c>
      <c r="C137" s="96">
        <f>B137</f>
        <v>39595.552083333336</v>
      </c>
      <c r="D137" s="97">
        <v>599</v>
      </c>
      <c r="E137" s="99">
        <f t="shared" si="9"/>
        <v>16.961793150000002</v>
      </c>
      <c r="F137" s="99">
        <v>36.6</v>
      </c>
      <c r="G137" s="99">
        <v>4.65</v>
      </c>
      <c r="H137" s="98">
        <v>0.08</v>
      </c>
      <c r="I137" s="99">
        <v>8.69</v>
      </c>
      <c r="J137" s="97">
        <v>75</v>
      </c>
      <c r="K137" s="100">
        <f t="shared" si="10"/>
        <v>620.80162929</v>
      </c>
    </row>
    <row r="138" spans="1:11" ht="12">
      <c r="A138" s="93" t="s">
        <v>110</v>
      </c>
      <c r="B138" s="95">
        <v>39601.645833333336</v>
      </c>
      <c r="C138" s="96">
        <f>B138</f>
        <v>39601.645833333336</v>
      </c>
      <c r="D138" s="97">
        <v>726</v>
      </c>
      <c r="E138" s="99">
        <f t="shared" si="9"/>
        <v>20.5580331</v>
      </c>
      <c r="F138" s="99">
        <v>30.8</v>
      </c>
      <c r="G138" s="99">
        <v>3.98</v>
      </c>
      <c r="H138" s="98">
        <v>0.07</v>
      </c>
      <c r="I138" s="99">
        <v>7.05</v>
      </c>
      <c r="J138" s="97">
        <v>64</v>
      </c>
      <c r="K138" s="100">
        <f t="shared" si="10"/>
        <v>633.18741948</v>
      </c>
    </row>
    <row r="139" spans="1:11" ht="12">
      <c r="A139" s="93" t="s">
        <v>111</v>
      </c>
      <c r="B139" s="95">
        <v>39608.5625</v>
      </c>
      <c r="C139" s="96">
        <f aca="true" t="shared" si="11" ref="C139:C151">B139</f>
        <v>39608.5625</v>
      </c>
      <c r="D139" s="97">
        <v>520</v>
      </c>
      <c r="E139" s="99">
        <f t="shared" si="9"/>
        <v>14.724762</v>
      </c>
      <c r="F139" s="99">
        <v>42.4</v>
      </c>
      <c r="G139" s="99">
        <v>5.29</v>
      </c>
      <c r="H139" s="98">
        <v>0.1</v>
      </c>
      <c r="I139" s="99">
        <v>9.21</v>
      </c>
      <c r="J139" s="97">
        <v>88</v>
      </c>
      <c r="K139" s="100">
        <f t="shared" si="10"/>
        <v>624.3299088</v>
      </c>
    </row>
    <row r="140" spans="1:11" ht="12">
      <c r="A140" s="93" t="s">
        <v>112</v>
      </c>
      <c r="B140" s="95">
        <v>39616.5625</v>
      </c>
      <c r="C140" s="96">
        <f t="shared" si="11"/>
        <v>39616.5625</v>
      </c>
      <c r="D140" s="97">
        <v>643</v>
      </c>
      <c r="E140" s="99">
        <f t="shared" si="9"/>
        <v>18.20773455</v>
      </c>
      <c r="F140" s="99">
        <v>29.1</v>
      </c>
      <c r="G140" s="99">
        <v>3.81</v>
      </c>
      <c r="H140" s="98">
        <v>0.07</v>
      </c>
      <c r="I140" s="99">
        <v>6.28</v>
      </c>
      <c r="J140" s="97">
        <v>62</v>
      </c>
      <c r="K140" s="100">
        <f t="shared" si="10"/>
        <v>529.8450754050001</v>
      </c>
    </row>
    <row r="141" spans="1:11" ht="12">
      <c r="A141" s="93" t="s">
        <v>113</v>
      </c>
      <c r="B141" s="95">
        <v>39623.708333333336</v>
      </c>
      <c r="C141" s="96">
        <f t="shared" si="11"/>
        <v>39623.708333333336</v>
      </c>
      <c r="D141" s="97">
        <v>596</v>
      </c>
      <c r="E141" s="99">
        <f t="shared" si="9"/>
        <v>16.8768426</v>
      </c>
      <c r="F141" s="99">
        <v>31</v>
      </c>
      <c r="G141" s="99">
        <v>4.04</v>
      </c>
      <c r="H141" s="98">
        <v>0.07</v>
      </c>
      <c r="I141" s="99">
        <v>6.36</v>
      </c>
      <c r="J141" s="97">
        <v>66</v>
      </c>
      <c r="K141" s="100">
        <f t="shared" si="10"/>
        <v>523.1821206</v>
      </c>
    </row>
    <row r="142" spans="1:11" ht="12">
      <c r="A142" s="93" t="s">
        <v>114</v>
      </c>
      <c r="B142" s="95">
        <v>39630.59375</v>
      </c>
      <c r="C142" s="96">
        <f t="shared" si="11"/>
        <v>39630.59375</v>
      </c>
      <c r="D142" s="97">
        <v>466</v>
      </c>
      <c r="E142" s="99">
        <f t="shared" si="9"/>
        <v>13.1956521</v>
      </c>
      <c r="F142" s="99">
        <v>38.3</v>
      </c>
      <c r="G142" s="99">
        <v>4.86</v>
      </c>
      <c r="H142" s="98">
        <v>0.09</v>
      </c>
      <c r="I142" s="99">
        <v>8.46</v>
      </c>
      <c r="J142" s="97">
        <v>80</v>
      </c>
      <c r="K142" s="100">
        <f t="shared" si="10"/>
        <v>505.39347542999997</v>
      </c>
    </row>
    <row r="143" spans="1:11" ht="12">
      <c r="A143" s="93" t="s">
        <v>115</v>
      </c>
      <c r="B143" s="95">
        <v>39637.625</v>
      </c>
      <c r="C143" s="96">
        <f t="shared" si="11"/>
        <v>39637.625</v>
      </c>
      <c r="D143" s="97">
        <v>357</v>
      </c>
      <c r="E143" s="99">
        <f t="shared" si="9"/>
        <v>10.109115450000001</v>
      </c>
      <c r="F143" s="99">
        <v>48.7</v>
      </c>
      <c r="G143" s="99">
        <v>6.2</v>
      </c>
      <c r="H143" s="98">
        <v>0.12</v>
      </c>
      <c r="I143" s="99">
        <v>9.11</v>
      </c>
      <c r="J143" s="97">
        <v>101</v>
      </c>
      <c r="K143" s="100">
        <f t="shared" si="10"/>
        <v>492.3139224150001</v>
      </c>
    </row>
    <row r="144" spans="1:11" ht="12">
      <c r="A144" s="93" t="s">
        <v>116</v>
      </c>
      <c r="B144" s="95">
        <v>39644.645833333336</v>
      </c>
      <c r="C144" s="96">
        <f t="shared" si="11"/>
        <v>39644.645833333336</v>
      </c>
      <c r="D144" s="97">
        <v>308</v>
      </c>
      <c r="E144" s="99">
        <f t="shared" si="9"/>
        <v>8.7215898</v>
      </c>
      <c r="F144" s="99">
        <v>56.1</v>
      </c>
      <c r="G144" s="99">
        <v>7.12</v>
      </c>
      <c r="H144" s="98">
        <v>0.14</v>
      </c>
      <c r="I144" s="99">
        <v>10.2</v>
      </c>
      <c r="J144" s="97">
        <v>116</v>
      </c>
      <c r="K144" s="100">
        <f t="shared" si="10"/>
        <v>489.28118778000004</v>
      </c>
    </row>
    <row r="145" spans="1:11" ht="12">
      <c r="A145" s="93" t="s">
        <v>117</v>
      </c>
      <c r="B145" s="95">
        <v>39651.625</v>
      </c>
      <c r="C145" s="96">
        <f t="shared" si="11"/>
        <v>39651.625</v>
      </c>
      <c r="D145" s="97">
        <v>296</v>
      </c>
      <c r="E145" s="99">
        <f t="shared" si="9"/>
        <v>8.381787600000001</v>
      </c>
      <c r="F145" s="99">
        <v>59.2</v>
      </c>
      <c r="G145" s="99">
        <v>7.47</v>
      </c>
      <c r="H145" s="98">
        <v>0.15</v>
      </c>
      <c r="I145" s="99">
        <v>10.9</v>
      </c>
      <c r="J145" s="97">
        <v>121</v>
      </c>
      <c r="K145" s="100">
        <f t="shared" si="10"/>
        <v>496.2018259200001</v>
      </c>
    </row>
    <row r="146" spans="1:11" ht="12">
      <c r="A146" s="93" t="s">
        <v>118</v>
      </c>
      <c r="B146" s="95">
        <v>39658.65625</v>
      </c>
      <c r="C146" s="96">
        <f t="shared" si="11"/>
        <v>39658.65625</v>
      </c>
      <c r="D146" s="97">
        <v>283</v>
      </c>
      <c r="E146" s="99">
        <f t="shared" si="9"/>
        <v>8.01366855</v>
      </c>
      <c r="F146" s="99">
        <v>61.2</v>
      </c>
      <c r="G146" s="99">
        <v>7.79</v>
      </c>
      <c r="H146" s="98">
        <v>0.15</v>
      </c>
      <c r="I146" s="99">
        <v>10.8</v>
      </c>
      <c r="J146" s="97">
        <v>123</v>
      </c>
      <c r="K146" s="100">
        <f t="shared" si="10"/>
        <v>490.43651526</v>
      </c>
    </row>
    <row r="147" spans="1:11" ht="12">
      <c r="A147" s="93" t="s">
        <v>119</v>
      </c>
      <c r="B147" s="95">
        <v>39665.697916666664</v>
      </c>
      <c r="C147" s="96">
        <f t="shared" si="11"/>
        <v>39665.697916666664</v>
      </c>
      <c r="D147" s="97">
        <v>282</v>
      </c>
      <c r="E147" s="99">
        <f t="shared" si="9"/>
        <v>7.985351700000001</v>
      </c>
      <c r="F147" s="99">
        <v>62.4</v>
      </c>
      <c r="G147" s="99">
        <v>7.9</v>
      </c>
      <c r="H147" s="98">
        <v>0.16</v>
      </c>
      <c r="I147" s="99">
        <v>11</v>
      </c>
      <c r="J147" s="97">
        <v>124</v>
      </c>
      <c r="K147" s="100">
        <f t="shared" si="10"/>
        <v>498.28594608000003</v>
      </c>
    </row>
    <row r="148" spans="1:11" ht="12">
      <c r="A148" s="93" t="s">
        <v>120</v>
      </c>
      <c r="B148" s="95">
        <v>39679.677083333336</v>
      </c>
      <c r="C148" s="96">
        <f t="shared" si="11"/>
        <v>39679.677083333336</v>
      </c>
      <c r="D148" s="97">
        <v>277</v>
      </c>
      <c r="E148" s="99">
        <f t="shared" si="9"/>
        <v>7.8437674500000005</v>
      </c>
      <c r="F148" s="99">
        <v>64</v>
      </c>
      <c r="G148" s="99">
        <v>8.1</v>
      </c>
      <c r="H148" s="98">
        <v>0.16</v>
      </c>
      <c r="I148" s="99">
        <v>11</v>
      </c>
      <c r="J148" s="97">
        <v>128</v>
      </c>
      <c r="K148" s="100">
        <f t="shared" si="10"/>
        <v>502.00111680000003</v>
      </c>
    </row>
    <row r="149" spans="1:11" ht="12">
      <c r="A149" s="93" t="s">
        <v>121</v>
      </c>
      <c r="B149" s="95">
        <v>39694.479166666664</v>
      </c>
      <c r="C149" s="96">
        <f t="shared" si="11"/>
        <v>39694.479166666664</v>
      </c>
      <c r="D149" s="97">
        <v>277</v>
      </c>
      <c r="E149" s="99">
        <f t="shared" si="9"/>
        <v>7.8437674500000005</v>
      </c>
      <c r="F149" s="99">
        <v>62.7</v>
      </c>
      <c r="G149" s="99">
        <v>7.99</v>
      </c>
      <c r="H149" s="98">
        <v>0.16</v>
      </c>
      <c r="I149" s="99">
        <v>11.2</v>
      </c>
      <c r="J149" s="97">
        <v>127</v>
      </c>
      <c r="K149" s="100">
        <f t="shared" si="10"/>
        <v>491.8042191150001</v>
      </c>
    </row>
    <row r="150" spans="1:11" ht="12">
      <c r="A150" s="93" t="s">
        <v>122</v>
      </c>
      <c r="B150" s="95">
        <v>39707.53125</v>
      </c>
      <c r="C150" s="96">
        <f t="shared" si="11"/>
        <v>39707.53125</v>
      </c>
      <c r="D150" s="97">
        <v>271</v>
      </c>
      <c r="E150" s="99">
        <f t="shared" si="9"/>
        <v>7.67386635</v>
      </c>
      <c r="F150" s="99">
        <v>63.2</v>
      </c>
      <c r="G150" s="99">
        <v>8.08</v>
      </c>
      <c r="H150" s="98">
        <v>0.16</v>
      </c>
      <c r="I150" s="99">
        <v>11.4</v>
      </c>
      <c r="J150" s="97">
        <v>127</v>
      </c>
      <c r="K150" s="100">
        <f t="shared" si="10"/>
        <v>484.98835332000004</v>
      </c>
    </row>
    <row r="151" spans="1:11" ht="12">
      <c r="A151" s="93" t="s">
        <v>123</v>
      </c>
      <c r="B151" s="95">
        <v>39721.458333333336</v>
      </c>
      <c r="C151" s="96">
        <f t="shared" si="11"/>
        <v>39721.458333333336</v>
      </c>
      <c r="D151" s="97">
        <v>272</v>
      </c>
      <c r="E151" s="99">
        <f t="shared" si="9"/>
        <v>7.7021832</v>
      </c>
      <c r="F151" s="99">
        <v>64.8</v>
      </c>
      <c r="G151" s="99">
        <v>8.21</v>
      </c>
      <c r="H151" s="98">
        <v>0.16</v>
      </c>
      <c r="I151" s="99">
        <v>11.7</v>
      </c>
      <c r="J151" s="97">
        <v>130</v>
      </c>
      <c r="K151" s="100">
        <f t="shared" si="10"/>
        <v>499.10147136</v>
      </c>
    </row>
    <row r="152" spans="1:11" ht="12">
      <c r="A152" s="14" t="s">
        <v>1685</v>
      </c>
      <c r="B152" s="8"/>
      <c r="C152" s="6"/>
      <c r="D152" s="1"/>
      <c r="E152" s="21"/>
      <c r="F152" s="135"/>
      <c r="G152" s="9"/>
      <c r="H152" s="12"/>
      <c r="I152" s="9"/>
      <c r="J152" s="2"/>
      <c r="K152" s="2"/>
    </row>
    <row r="153" spans="1:11" ht="13.5">
      <c r="A153" s="16" t="s">
        <v>2000</v>
      </c>
      <c r="B153" s="8">
        <v>39734.71875</v>
      </c>
      <c r="C153" s="138">
        <v>39734.71875</v>
      </c>
      <c r="D153" s="141">
        <v>281</v>
      </c>
      <c r="E153" s="21">
        <f aca="true" t="shared" si="12" ref="E153:E163">D153*0.02831685</f>
        <v>7.95703485</v>
      </c>
      <c r="F153" s="135">
        <v>64.1</v>
      </c>
      <c r="G153" s="9">
        <v>8.05</v>
      </c>
      <c r="H153" s="12">
        <v>0.15</v>
      </c>
      <c r="I153" s="9">
        <v>12.7</v>
      </c>
      <c r="J153" s="57">
        <v>125</v>
      </c>
      <c r="K153" s="22">
        <f aca="true" t="shared" si="13" ref="K153:K180">E153*F153</f>
        <v>510.04593388499995</v>
      </c>
    </row>
    <row r="154" spans="1:11" ht="13.5">
      <c r="A154" s="16" t="s">
        <v>2001</v>
      </c>
      <c r="B154" s="8">
        <v>39756.65625</v>
      </c>
      <c r="C154" s="138">
        <v>39756.65625</v>
      </c>
      <c r="D154" s="141">
        <v>317</v>
      </c>
      <c r="E154" s="21">
        <f t="shared" si="12"/>
        <v>8.976441450000001</v>
      </c>
      <c r="F154" s="9">
        <v>71.7</v>
      </c>
      <c r="G154" s="9">
        <v>8.3</v>
      </c>
      <c r="H154" s="12">
        <v>0.15</v>
      </c>
      <c r="I154" s="9">
        <v>15.2</v>
      </c>
      <c r="J154" s="57">
        <v>129</v>
      </c>
      <c r="K154" s="22">
        <f t="shared" si="13"/>
        <v>643.610851965</v>
      </c>
    </row>
    <row r="155" spans="1:11" ht="13.5">
      <c r="A155" s="75" t="s">
        <v>2002</v>
      </c>
      <c r="B155" s="8">
        <v>39784.65625</v>
      </c>
      <c r="C155" s="138">
        <v>39784.65625</v>
      </c>
      <c r="D155" s="141">
        <v>278</v>
      </c>
      <c r="E155" s="21">
        <f t="shared" si="12"/>
        <v>7.8720843</v>
      </c>
      <c r="F155" s="9">
        <v>69.2</v>
      </c>
      <c r="G155" s="9">
        <v>8.58</v>
      </c>
      <c r="H155" s="12">
        <v>0.17</v>
      </c>
      <c r="I155" s="9">
        <v>12.9</v>
      </c>
      <c r="J155" s="57">
        <v>133</v>
      </c>
      <c r="K155" s="22">
        <f t="shared" si="13"/>
        <v>544.74823356</v>
      </c>
    </row>
    <row r="156" spans="1:11" ht="13.5">
      <c r="A156" s="16" t="s">
        <v>2003</v>
      </c>
      <c r="B156" s="8">
        <v>39822.635416666664</v>
      </c>
      <c r="C156" s="138">
        <v>39822.635416666664</v>
      </c>
      <c r="D156" s="141">
        <v>280</v>
      </c>
      <c r="E156" s="21">
        <f>D156*0.02831685</f>
        <v>7.928718</v>
      </c>
      <c r="F156" s="9">
        <v>70</v>
      </c>
      <c r="G156" s="9">
        <v>8.61</v>
      </c>
      <c r="H156" s="12">
        <v>0.16</v>
      </c>
      <c r="I156" s="9">
        <v>13.4</v>
      </c>
      <c r="J156" s="57">
        <v>133</v>
      </c>
      <c r="K156" s="22">
        <f>E156*F156</f>
        <v>555.01026</v>
      </c>
    </row>
    <row r="157" spans="1:11" ht="13.5">
      <c r="A157" s="16" t="s">
        <v>2004</v>
      </c>
      <c r="B157" s="8">
        <v>39849.645833333336</v>
      </c>
      <c r="C157" s="138">
        <v>39849.645833333336</v>
      </c>
      <c r="D157" s="141">
        <v>265</v>
      </c>
      <c r="E157" s="21">
        <f>D157*0.02831685</f>
        <v>7.50396525</v>
      </c>
      <c r="F157" s="9">
        <v>73.3</v>
      </c>
      <c r="G157" s="9">
        <v>8.95</v>
      </c>
      <c r="H157" s="12">
        <v>0.18</v>
      </c>
      <c r="I157" s="9">
        <v>13.2</v>
      </c>
      <c r="J157" s="57">
        <v>141</v>
      </c>
      <c r="K157" s="22">
        <f>E157*F157</f>
        <v>550.040652825</v>
      </c>
    </row>
    <row r="158" spans="1:11" ht="13.5">
      <c r="A158" s="16" t="s">
        <v>2005</v>
      </c>
      <c r="B158" s="8">
        <v>39873.46875</v>
      </c>
      <c r="C158" s="138">
        <f>B158</f>
        <v>39873.46875</v>
      </c>
      <c r="D158" s="141">
        <v>263</v>
      </c>
      <c r="E158" s="21">
        <f t="shared" si="12"/>
        <v>7.44733155</v>
      </c>
      <c r="F158" s="9">
        <v>73.6</v>
      </c>
      <c r="G158" s="9">
        <v>8.93</v>
      </c>
      <c r="H158" s="12">
        <v>0.18</v>
      </c>
      <c r="I158" s="9">
        <v>13.7</v>
      </c>
      <c r="J158" s="22">
        <v>143.31699479166667</v>
      </c>
      <c r="K158" s="22">
        <f t="shared" si="13"/>
        <v>548.12360208</v>
      </c>
    </row>
    <row r="159" spans="1:11" ht="13.5">
      <c r="A159" s="16" t="s">
        <v>2006</v>
      </c>
      <c r="B159" s="8">
        <v>39890.68402777778</v>
      </c>
      <c r="C159" s="6">
        <v>0.4847222222222222</v>
      </c>
      <c r="D159" s="141">
        <v>267</v>
      </c>
      <c r="E159" s="21">
        <f t="shared" si="12"/>
        <v>7.56059895</v>
      </c>
      <c r="F159" s="9">
        <v>74.7</v>
      </c>
      <c r="G159" s="9">
        <v>9.04</v>
      </c>
      <c r="H159" s="12">
        <v>0.17</v>
      </c>
      <c r="I159" s="9">
        <v>13.9</v>
      </c>
      <c r="J159" s="22">
        <v>142.68144270833335</v>
      </c>
      <c r="K159" s="22">
        <f t="shared" si="13"/>
        <v>564.7767415650001</v>
      </c>
    </row>
    <row r="160" spans="1:11" ht="13.5">
      <c r="A160" s="16" t="s">
        <v>2007</v>
      </c>
      <c r="B160" s="8">
        <v>39905.55902777778</v>
      </c>
      <c r="C160" s="6">
        <v>0.7083333333333334</v>
      </c>
      <c r="D160" s="141">
        <v>268</v>
      </c>
      <c r="E160" s="21">
        <f t="shared" si="12"/>
        <v>7.5889158000000005</v>
      </c>
      <c r="F160" s="9">
        <v>75.8</v>
      </c>
      <c r="G160" s="9">
        <v>9.07</v>
      </c>
      <c r="H160" s="12">
        <v>0.18</v>
      </c>
      <c r="I160" s="9">
        <v>14.2</v>
      </c>
      <c r="J160" s="22">
        <v>146.01809114583335</v>
      </c>
      <c r="K160" s="22">
        <f t="shared" si="13"/>
        <v>575.2398176400001</v>
      </c>
    </row>
    <row r="161" spans="1:11" ht="13.5">
      <c r="A161" s="16" t="s">
        <v>2008</v>
      </c>
      <c r="B161" s="8">
        <v>39919.666666666664</v>
      </c>
      <c r="C161" s="138">
        <f>B161</f>
        <v>39919.666666666664</v>
      </c>
      <c r="D161" s="141">
        <v>317</v>
      </c>
      <c r="E161" s="21">
        <f t="shared" si="12"/>
        <v>8.976441450000001</v>
      </c>
      <c r="F161" s="9">
        <v>75.4</v>
      </c>
      <c r="G161" s="9">
        <v>8.97</v>
      </c>
      <c r="H161" s="12">
        <v>0.18</v>
      </c>
      <c r="I161" s="9">
        <v>15.2</v>
      </c>
      <c r="J161" s="22">
        <v>141.72811458333334</v>
      </c>
      <c r="K161" s="22">
        <f t="shared" si="13"/>
        <v>676.8236853300001</v>
      </c>
    </row>
    <row r="162" spans="1:11" ht="13.5">
      <c r="A162" s="16" t="s">
        <v>2009</v>
      </c>
      <c r="B162" s="8">
        <v>39933.635416666664</v>
      </c>
      <c r="C162" s="138">
        <f aca="true" t="shared" si="14" ref="C162:C173">B162</f>
        <v>39933.635416666664</v>
      </c>
      <c r="D162" s="141">
        <v>331</v>
      </c>
      <c r="E162" s="21">
        <f t="shared" si="12"/>
        <v>9.37287735</v>
      </c>
      <c r="F162" s="9">
        <v>71.8</v>
      </c>
      <c r="G162" s="9">
        <v>8.61</v>
      </c>
      <c r="H162" s="12">
        <v>0.16</v>
      </c>
      <c r="I162" s="9">
        <v>14.2</v>
      </c>
      <c r="J162" s="22">
        <v>138.7092421875</v>
      </c>
      <c r="K162" s="22">
        <f t="shared" si="13"/>
        <v>672.97259373</v>
      </c>
    </row>
    <row r="163" spans="1:11" ht="13.5">
      <c r="A163" s="16" t="s">
        <v>2010</v>
      </c>
      <c r="B163" s="8">
        <v>39938.635416666664</v>
      </c>
      <c r="C163" s="138">
        <f t="shared" si="14"/>
        <v>39938.635416666664</v>
      </c>
      <c r="D163" s="141">
        <v>401</v>
      </c>
      <c r="E163" s="21">
        <f t="shared" si="12"/>
        <v>11.35505685</v>
      </c>
      <c r="F163" s="9">
        <v>63.7</v>
      </c>
      <c r="G163" s="9">
        <v>7.75</v>
      </c>
      <c r="H163" s="12">
        <v>0.13</v>
      </c>
      <c r="I163" s="9">
        <v>12.5</v>
      </c>
      <c r="J163" s="22">
        <v>124.09154427083335</v>
      </c>
      <c r="K163" s="22">
        <f t="shared" si="13"/>
        <v>723.317121345</v>
      </c>
    </row>
    <row r="164" spans="1:11" ht="13.5">
      <c r="A164" s="16" t="s">
        <v>2011</v>
      </c>
      <c r="B164" s="8">
        <v>39947.666666666664</v>
      </c>
      <c r="C164" s="138">
        <f t="shared" si="14"/>
        <v>39947.666666666664</v>
      </c>
      <c r="D164" s="141">
        <v>416</v>
      </c>
      <c r="E164" s="21">
        <f>D164*0.02831685</f>
        <v>11.7798096</v>
      </c>
      <c r="F164" s="9">
        <v>51.7</v>
      </c>
      <c r="G164" s="9">
        <v>6.52</v>
      </c>
      <c r="H164" s="12">
        <v>0.08</v>
      </c>
      <c r="I164" s="9">
        <v>10.9</v>
      </c>
      <c r="J164" s="22">
        <v>105.02498177083329</v>
      </c>
      <c r="K164" s="22">
        <f t="shared" si="13"/>
        <v>609.01615632</v>
      </c>
    </row>
    <row r="165" spans="1:11" ht="13.5">
      <c r="A165" s="16" t="s">
        <v>2012</v>
      </c>
      <c r="B165" s="8">
        <v>39952.520833333336</v>
      </c>
      <c r="C165" s="138">
        <f t="shared" si="14"/>
        <v>39952.520833333336</v>
      </c>
      <c r="D165" s="141">
        <v>779</v>
      </c>
      <c r="E165" s="21">
        <f>D165*0.02831685</f>
        <v>22.05882615</v>
      </c>
      <c r="F165" s="9">
        <v>26.3</v>
      </c>
      <c r="G165" s="9">
        <v>3.54</v>
      </c>
      <c r="H165" s="12">
        <v>0.05</v>
      </c>
      <c r="I165" s="9">
        <v>5.88</v>
      </c>
      <c r="J165" s="22">
        <v>57.517463541666665</v>
      </c>
      <c r="K165" s="22">
        <f t="shared" si="13"/>
        <v>580.147127745</v>
      </c>
    </row>
    <row r="166" spans="1:11" ht="13.5">
      <c r="A166" s="16" t="s">
        <v>2013</v>
      </c>
      <c r="B166" s="8">
        <v>39961.520833333336</v>
      </c>
      <c r="C166" s="138">
        <f t="shared" si="14"/>
        <v>39961.520833333336</v>
      </c>
      <c r="D166" s="141">
        <v>718</v>
      </c>
      <c r="E166" s="21">
        <f>D166*0.02831685</f>
        <v>20.3314983</v>
      </c>
      <c r="F166" s="9">
        <v>27.4</v>
      </c>
      <c r="G166" s="9">
        <v>3.61</v>
      </c>
      <c r="H166" s="12">
        <v>0.05</v>
      </c>
      <c r="I166" s="9">
        <v>5.79</v>
      </c>
      <c r="J166" s="22">
        <v>59.424119791666676</v>
      </c>
      <c r="K166" s="22">
        <f t="shared" si="13"/>
        <v>557.0830534199999</v>
      </c>
    </row>
    <row r="167" spans="1:11" ht="13.5">
      <c r="A167" s="16" t="s">
        <v>2014</v>
      </c>
      <c r="B167" s="8">
        <v>39967.65625</v>
      </c>
      <c r="C167" s="138">
        <f t="shared" si="14"/>
        <v>39967.65625</v>
      </c>
      <c r="D167" s="141">
        <v>603</v>
      </c>
      <c r="E167" s="21">
        <f aca="true" t="shared" si="15" ref="E167:E180">D167*0.02831685</f>
        <v>17.07506055</v>
      </c>
      <c r="F167" s="9">
        <v>33.6</v>
      </c>
      <c r="G167" s="9">
        <v>4.35</v>
      </c>
      <c r="H167" s="12">
        <v>0.05</v>
      </c>
      <c r="I167" s="9">
        <v>6.82</v>
      </c>
      <c r="J167" s="22">
        <v>71.81738541666667</v>
      </c>
      <c r="K167" s="22">
        <f t="shared" si="13"/>
        <v>573.72203448</v>
      </c>
    </row>
    <row r="168" spans="1:11" ht="13.5">
      <c r="A168" s="16" t="s">
        <v>2015</v>
      </c>
      <c r="B168" s="8">
        <v>39974.666666666664</v>
      </c>
      <c r="C168" s="138">
        <f t="shared" si="14"/>
        <v>39974.666666666664</v>
      </c>
      <c r="D168" s="141">
        <v>534</v>
      </c>
      <c r="E168" s="21">
        <f t="shared" si="15"/>
        <v>15.1211979</v>
      </c>
      <c r="F168" s="9">
        <v>40.5</v>
      </c>
      <c r="G168" s="9">
        <v>5.14</v>
      </c>
      <c r="H168" s="12">
        <v>0.07</v>
      </c>
      <c r="I168" s="9">
        <v>8.02</v>
      </c>
      <c r="J168" s="22">
        <v>85.00509114583332</v>
      </c>
      <c r="K168" s="22">
        <f t="shared" si="13"/>
        <v>612.40851495</v>
      </c>
    </row>
    <row r="169" spans="1:11" ht="13.5">
      <c r="A169" s="16" t="s">
        <v>2016</v>
      </c>
      <c r="B169" s="8">
        <v>39981.677083333336</v>
      </c>
      <c r="C169" s="138">
        <f t="shared" si="14"/>
        <v>39981.677083333336</v>
      </c>
      <c r="D169" s="141">
        <v>481</v>
      </c>
      <c r="E169" s="21">
        <f t="shared" si="15"/>
        <v>13.62040485</v>
      </c>
      <c r="F169" s="9">
        <v>40.1</v>
      </c>
      <c r="G169" s="9">
        <v>5.09</v>
      </c>
      <c r="H169" s="12">
        <v>0.08</v>
      </c>
      <c r="I169" s="9">
        <v>7.65</v>
      </c>
      <c r="J169" s="22">
        <v>84.05176302083333</v>
      </c>
      <c r="K169" s="22">
        <f t="shared" si="13"/>
        <v>546.178234485</v>
      </c>
    </row>
    <row r="170" spans="1:11" ht="13.5">
      <c r="A170" s="16" t="s">
        <v>2017</v>
      </c>
      <c r="B170" s="8">
        <v>39988.697916666664</v>
      </c>
      <c r="C170" s="138">
        <f t="shared" si="14"/>
        <v>39988.697916666664</v>
      </c>
      <c r="D170" s="141">
        <v>414</v>
      </c>
      <c r="E170" s="21">
        <f t="shared" si="15"/>
        <v>11.723175900000001</v>
      </c>
      <c r="F170" s="9">
        <v>44.1</v>
      </c>
      <c r="G170" s="9">
        <v>5.68</v>
      </c>
      <c r="H170" s="12">
        <v>0.09</v>
      </c>
      <c r="I170" s="9">
        <v>8.47</v>
      </c>
      <c r="J170" s="22">
        <v>90.88394791666667</v>
      </c>
      <c r="K170" s="22">
        <f t="shared" si="13"/>
        <v>516.9920571900001</v>
      </c>
    </row>
    <row r="171" spans="1:11" ht="13.5">
      <c r="A171" s="16" t="s">
        <v>2018</v>
      </c>
      <c r="B171" s="8">
        <v>39995.6875</v>
      </c>
      <c r="C171" s="138">
        <f t="shared" si="14"/>
        <v>39995.6875</v>
      </c>
      <c r="D171" s="141">
        <v>366</v>
      </c>
      <c r="E171" s="21">
        <f t="shared" si="15"/>
        <v>10.3639671</v>
      </c>
      <c r="F171" s="9">
        <v>49.7</v>
      </c>
      <c r="G171" s="9">
        <v>6.35</v>
      </c>
      <c r="H171" s="12">
        <v>0.1</v>
      </c>
      <c r="I171" s="9">
        <v>9.48</v>
      </c>
      <c r="J171" s="22">
        <v>102.80054947916668</v>
      </c>
      <c r="K171" s="22">
        <f t="shared" si="13"/>
        <v>515.08916487</v>
      </c>
    </row>
    <row r="172" spans="1:11" ht="13.5">
      <c r="A172" s="16" t="s">
        <v>2019</v>
      </c>
      <c r="B172" s="8">
        <v>40002.677083333336</v>
      </c>
      <c r="C172" s="138">
        <f t="shared" si="14"/>
        <v>40002.677083333336</v>
      </c>
      <c r="D172" s="141">
        <v>319</v>
      </c>
      <c r="E172" s="21">
        <f t="shared" si="15"/>
        <v>9.03307515</v>
      </c>
      <c r="F172" s="9">
        <v>57.4</v>
      </c>
      <c r="G172" s="9">
        <v>7.27</v>
      </c>
      <c r="H172" s="12">
        <v>0.13</v>
      </c>
      <c r="I172" s="9">
        <v>10.3</v>
      </c>
      <c r="J172" s="22">
        <v>118.84823958333335</v>
      </c>
      <c r="K172" s="22">
        <f t="shared" si="13"/>
        <v>518.49851361</v>
      </c>
    </row>
    <row r="173" spans="1:11" ht="13.5">
      <c r="A173" s="16" t="s">
        <v>2020</v>
      </c>
      <c r="B173" s="8">
        <v>40009.677083333336</v>
      </c>
      <c r="C173" s="138">
        <f t="shared" si="14"/>
        <v>40009.677083333336</v>
      </c>
      <c r="D173" s="141">
        <v>305</v>
      </c>
      <c r="E173" s="21">
        <f t="shared" si="15"/>
        <v>8.63663925</v>
      </c>
      <c r="F173" s="9">
        <v>58.2</v>
      </c>
      <c r="G173" s="9">
        <v>7.43</v>
      </c>
      <c r="H173" s="12">
        <v>0.13</v>
      </c>
      <c r="I173" s="9">
        <v>10.7</v>
      </c>
      <c r="J173" s="22">
        <v>120.75489583333332</v>
      </c>
      <c r="K173" s="22">
        <f t="shared" si="13"/>
        <v>502.65240435000004</v>
      </c>
    </row>
    <row r="174" spans="1:11" ht="13.5">
      <c r="A174" s="16" t="s">
        <v>2021</v>
      </c>
      <c r="B174" s="8">
        <v>40016.708333333336</v>
      </c>
      <c r="C174" s="138">
        <v>40016.708333333336</v>
      </c>
      <c r="D174" s="141">
        <v>283</v>
      </c>
      <c r="E174" s="21">
        <f t="shared" si="15"/>
        <v>8.01366855</v>
      </c>
      <c r="F174" s="9">
        <v>60.7</v>
      </c>
      <c r="G174" s="9">
        <v>7.92</v>
      </c>
      <c r="H174" s="12">
        <v>0.16</v>
      </c>
      <c r="I174" s="9">
        <v>10.7</v>
      </c>
      <c r="J174" s="22">
        <v>125.52153645833332</v>
      </c>
      <c r="K174" s="22">
        <f t="shared" si="13"/>
        <v>486.42968098500006</v>
      </c>
    </row>
    <row r="175" spans="1:11" ht="13.5">
      <c r="A175" s="16" t="s">
        <v>2022</v>
      </c>
      <c r="B175" s="8">
        <v>40023.708333333336</v>
      </c>
      <c r="C175" s="138">
        <v>40023.708333333336</v>
      </c>
      <c r="D175" s="141">
        <v>282</v>
      </c>
      <c r="E175" s="21">
        <f t="shared" si="15"/>
        <v>7.985351700000001</v>
      </c>
      <c r="F175" s="135">
        <v>61.3</v>
      </c>
      <c r="G175" s="135">
        <v>7.98</v>
      </c>
      <c r="H175" s="139">
        <v>0.15</v>
      </c>
      <c r="I175" s="135">
        <v>10.8</v>
      </c>
      <c r="J175" s="22">
        <v>125.04487239583335</v>
      </c>
      <c r="K175" s="22">
        <f t="shared" si="13"/>
        <v>489.50205921</v>
      </c>
    </row>
    <row r="176" spans="1:11" ht="13.5">
      <c r="A176" s="16" t="s">
        <v>2023</v>
      </c>
      <c r="B176" s="8">
        <v>40030.729166666664</v>
      </c>
      <c r="C176" s="138">
        <v>40030.729166666664</v>
      </c>
      <c r="D176" s="141">
        <v>276</v>
      </c>
      <c r="E176" s="21">
        <f t="shared" si="15"/>
        <v>7.8154506</v>
      </c>
      <c r="F176" s="135">
        <v>62</v>
      </c>
      <c r="G176" s="135">
        <v>8.1</v>
      </c>
      <c r="H176" s="139">
        <v>0.16</v>
      </c>
      <c r="I176" s="135">
        <v>10.7</v>
      </c>
      <c r="J176" s="22">
        <v>122.34377604166667</v>
      </c>
      <c r="K176" s="22">
        <f t="shared" si="13"/>
        <v>484.5579372</v>
      </c>
    </row>
    <row r="177" spans="1:11" ht="13.5">
      <c r="A177" s="16" t="s">
        <v>2024</v>
      </c>
      <c r="B177" s="8">
        <v>40044.65625</v>
      </c>
      <c r="C177" s="138">
        <v>40044.65625</v>
      </c>
      <c r="D177" s="141">
        <v>274</v>
      </c>
      <c r="E177" s="21">
        <f t="shared" si="15"/>
        <v>7.7588169</v>
      </c>
      <c r="F177" s="9">
        <v>62.1</v>
      </c>
      <c r="G177" s="9">
        <v>8.09</v>
      </c>
      <c r="H177" s="12">
        <v>0.16</v>
      </c>
      <c r="I177" s="9">
        <v>10.9</v>
      </c>
      <c r="J177" s="22">
        <v>128.54040885416669</v>
      </c>
      <c r="K177" s="22">
        <f t="shared" si="13"/>
        <v>481.82252949</v>
      </c>
    </row>
    <row r="178" spans="1:11" ht="13.5">
      <c r="A178" s="16" t="s">
        <v>2025</v>
      </c>
      <c r="B178" s="8">
        <v>40058.729166666664</v>
      </c>
      <c r="C178" s="138">
        <v>40058.729166666664</v>
      </c>
      <c r="D178" s="141">
        <v>271</v>
      </c>
      <c r="E178" s="21">
        <f t="shared" si="15"/>
        <v>7.67386635</v>
      </c>
      <c r="F178" s="9">
        <v>62.4</v>
      </c>
      <c r="G178" s="9">
        <v>8.17</v>
      </c>
      <c r="H178" s="12">
        <v>0.16</v>
      </c>
      <c r="I178" s="9">
        <v>11</v>
      </c>
      <c r="J178" s="22">
        <v>127.2693046875</v>
      </c>
      <c r="K178" s="22">
        <f t="shared" si="13"/>
        <v>478.84926024</v>
      </c>
    </row>
    <row r="179" spans="1:11" ht="13.5">
      <c r="A179" s="16" t="s">
        <v>2026</v>
      </c>
      <c r="B179" s="8">
        <v>40072.65625</v>
      </c>
      <c r="C179" s="138">
        <v>40072.65625</v>
      </c>
      <c r="D179" s="141">
        <v>271</v>
      </c>
      <c r="E179" s="21">
        <f t="shared" si="15"/>
        <v>7.67386635</v>
      </c>
      <c r="F179" s="135">
        <v>62</v>
      </c>
      <c r="G179" s="135">
        <v>8.14</v>
      </c>
      <c r="H179" s="139">
        <v>0.15</v>
      </c>
      <c r="I179" s="135">
        <v>11.2</v>
      </c>
      <c r="J179" s="22">
        <v>127.58708072916667</v>
      </c>
      <c r="K179" s="22">
        <f t="shared" si="13"/>
        <v>475.7797137</v>
      </c>
    </row>
    <row r="180" spans="1:11" ht="13.5">
      <c r="A180" s="16" t="s">
        <v>2027</v>
      </c>
      <c r="B180" s="8">
        <v>40086.697916666664</v>
      </c>
      <c r="C180" s="138">
        <v>40086.697916666664</v>
      </c>
      <c r="D180" s="141">
        <v>276</v>
      </c>
      <c r="E180" s="21">
        <f t="shared" si="15"/>
        <v>7.8154506</v>
      </c>
      <c r="F180" s="135">
        <v>65.5</v>
      </c>
      <c r="G180" s="135">
        <v>8.45</v>
      </c>
      <c r="H180" s="139">
        <v>0.17</v>
      </c>
      <c r="I180" s="135">
        <v>11.5</v>
      </c>
      <c r="J180" s="22">
        <v>133.62482552083335</v>
      </c>
      <c r="K180" s="22">
        <f t="shared" si="13"/>
        <v>511.9120143</v>
      </c>
    </row>
    <row r="181" spans="1:11" ht="12">
      <c r="A181" s="14" t="s">
        <v>1713</v>
      </c>
      <c r="B181" s="8"/>
      <c r="C181" s="6"/>
      <c r="D181" s="1"/>
      <c r="E181" s="21"/>
      <c r="F181" s="135"/>
      <c r="G181" s="9"/>
      <c r="H181" s="12"/>
      <c r="I181" s="9"/>
      <c r="J181" s="2"/>
      <c r="K181" s="2"/>
    </row>
    <row r="182" spans="1:11" ht="13.5">
      <c r="A182" s="16" t="s">
        <v>2028</v>
      </c>
      <c r="B182" s="8">
        <v>40100.666666666664</v>
      </c>
      <c r="C182" s="138">
        <v>40100.666666666664</v>
      </c>
      <c r="D182" s="141">
        <v>338</v>
      </c>
      <c r="E182" s="21">
        <f aca="true" t="shared" si="16" ref="E182:E192">D182*0.02831685</f>
        <v>9.5710953</v>
      </c>
      <c r="F182" s="9">
        <v>68.8</v>
      </c>
      <c r="G182" s="9">
        <v>8.21</v>
      </c>
      <c r="H182" s="12">
        <v>0.13</v>
      </c>
      <c r="I182" s="9">
        <v>13.9</v>
      </c>
      <c r="J182" s="58">
        <v>123.29710416666667</v>
      </c>
      <c r="K182" s="22">
        <f aca="true" t="shared" si="17" ref="K182:K207">E182*F182</f>
        <v>658.4913566399999</v>
      </c>
    </row>
    <row r="183" spans="1:11" ht="13.5">
      <c r="A183" s="16" t="s">
        <v>2029</v>
      </c>
      <c r="B183" s="8">
        <v>40127.604166666664</v>
      </c>
      <c r="C183" s="138">
        <v>40127.604166666664</v>
      </c>
      <c r="D183" s="141">
        <v>276</v>
      </c>
      <c r="E183" s="21">
        <f t="shared" si="16"/>
        <v>7.8154506</v>
      </c>
      <c r="F183" s="9">
        <v>65.3</v>
      </c>
      <c r="G183" s="9">
        <v>8.4</v>
      </c>
      <c r="H183" s="12">
        <v>0.16</v>
      </c>
      <c r="I183" s="9">
        <v>12</v>
      </c>
      <c r="J183" s="58">
        <v>127.11041666666667</v>
      </c>
      <c r="K183" s="22">
        <f t="shared" si="17"/>
        <v>510.34892418</v>
      </c>
    </row>
    <row r="184" spans="1:11" ht="13.5">
      <c r="A184" s="75" t="s">
        <v>2030</v>
      </c>
      <c r="B184" s="8">
        <v>40149.666666666664</v>
      </c>
      <c r="C184" s="138">
        <v>40149.666666666664</v>
      </c>
      <c r="D184" s="141">
        <v>261</v>
      </c>
      <c r="E184" s="21">
        <f t="shared" si="16"/>
        <v>7.3906978500000005</v>
      </c>
      <c r="F184" s="9">
        <v>69.4</v>
      </c>
      <c r="G184" s="9">
        <v>8.8</v>
      </c>
      <c r="H184" s="12">
        <v>0.17</v>
      </c>
      <c r="I184" s="9">
        <v>12.6</v>
      </c>
      <c r="J184" s="58">
        <v>137.12036197916666</v>
      </c>
      <c r="K184" s="22">
        <f t="shared" si="17"/>
        <v>512.9144307900001</v>
      </c>
    </row>
    <row r="185" spans="1:11" ht="13.5">
      <c r="A185" s="75" t="s">
        <v>2031</v>
      </c>
      <c r="B185" s="8">
        <v>40198.53125</v>
      </c>
      <c r="C185" s="138">
        <v>40198.53125</v>
      </c>
      <c r="D185" s="141">
        <v>274</v>
      </c>
      <c r="E185" s="21">
        <f>D185*0.02831685</f>
        <v>7.7588169</v>
      </c>
      <c r="F185" s="9">
        <v>72.1</v>
      </c>
      <c r="G185" s="9">
        <v>8.99</v>
      </c>
      <c r="H185" s="12">
        <v>0.18</v>
      </c>
      <c r="I185" s="9">
        <v>13</v>
      </c>
      <c r="J185" s="58">
        <v>138.55035416666666</v>
      </c>
      <c r="K185" s="22">
        <f>E185*F185</f>
        <v>559.41069849</v>
      </c>
    </row>
    <row r="186" spans="1:11" ht="13.5">
      <c r="A186" s="16" t="s">
        <v>2032</v>
      </c>
      <c r="B186" s="8">
        <v>40239.666666666664</v>
      </c>
      <c r="C186" s="138">
        <v>40239.666666666664</v>
      </c>
      <c r="D186" s="141">
        <v>270</v>
      </c>
      <c r="E186" s="21">
        <f>D186*0.02831685</f>
        <v>7.6455495</v>
      </c>
      <c r="F186" s="9">
        <v>73.4</v>
      </c>
      <c r="G186" s="9">
        <v>9.16</v>
      </c>
      <c r="H186" s="12">
        <v>0.19</v>
      </c>
      <c r="I186" s="9">
        <v>13.1</v>
      </c>
      <c r="J186" s="58">
        <v>142.68144270833335</v>
      </c>
      <c r="K186" s="22">
        <f>E186*F186</f>
        <v>561.1833333000001</v>
      </c>
    </row>
    <row r="187" spans="1:11" ht="13.5">
      <c r="A187" s="16" t="s">
        <v>2033</v>
      </c>
      <c r="B187" s="8">
        <v>40260.770833333336</v>
      </c>
      <c r="C187" s="138">
        <v>40260.770833333336</v>
      </c>
      <c r="D187" s="141">
        <v>268</v>
      </c>
      <c r="E187" s="21">
        <f t="shared" si="16"/>
        <v>7.5889158000000005</v>
      </c>
      <c r="F187" s="9">
        <v>73.2</v>
      </c>
      <c r="G187" s="9">
        <v>9.12</v>
      </c>
      <c r="H187" s="12">
        <v>0.17</v>
      </c>
      <c r="I187" s="9">
        <v>13.2</v>
      </c>
      <c r="J187" s="58">
        <v>141.41033854166668</v>
      </c>
      <c r="K187" s="22">
        <f t="shared" si="17"/>
        <v>555.50863656</v>
      </c>
    </row>
    <row r="188" spans="1:11" ht="13.5">
      <c r="A188" s="16" t="s">
        <v>2034</v>
      </c>
      <c r="B188" s="8">
        <v>40283.583333333336</v>
      </c>
      <c r="C188" s="138">
        <v>40283.583333333336</v>
      </c>
      <c r="D188" s="141">
        <v>284</v>
      </c>
      <c r="E188" s="21">
        <f t="shared" si="16"/>
        <v>8.0419854</v>
      </c>
      <c r="F188" s="9">
        <v>70.9</v>
      </c>
      <c r="G188" s="9">
        <v>8.89</v>
      </c>
      <c r="H188" s="12">
        <v>0.15</v>
      </c>
      <c r="I188" s="9">
        <v>13.8</v>
      </c>
      <c r="J188" s="58">
        <v>138.39146614583333</v>
      </c>
      <c r="K188" s="22">
        <f t="shared" si="17"/>
        <v>570.17676486</v>
      </c>
    </row>
    <row r="189" spans="1:11" ht="13.5">
      <c r="A189" s="16" t="s">
        <v>2035</v>
      </c>
      <c r="B189" s="8">
        <v>40296.614583333336</v>
      </c>
      <c r="C189" s="138">
        <v>40296.614583333336</v>
      </c>
      <c r="D189" s="141">
        <v>458</v>
      </c>
      <c r="E189" s="21">
        <f t="shared" si="16"/>
        <v>12.9691173</v>
      </c>
      <c r="F189" s="9">
        <v>52.4</v>
      </c>
      <c r="G189" s="9">
        <v>6.62</v>
      </c>
      <c r="H189" s="12">
        <v>0.09</v>
      </c>
      <c r="I189" s="9">
        <v>11.2</v>
      </c>
      <c r="J189" s="58">
        <v>102.6416614583333</v>
      </c>
      <c r="K189" s="22">
        <f t="shared" si="17"/>
        <v>679.58174652</v>
      </c>
    </row>
    <row r="190" spans="1:11" ht="13.5">
      <c r="A190" s="16" t="s">
        <v>2036</v>
      </c>
      <c r="B190" s="8">
        <v>40303.666666666664</v>
      </c>
      <c r="C190" s="138">
        <v>40303.666666666664</v>
      </c>
      <c r="D190" s="141">
        <v>320</v>
      </c>
      <c r="E190" s="21">
        <f t="shared" si="16"/>
        <v>9.061392</v>
      </c>
      <c r="F190" s="9">
        <v>72.2</v>
      </c>
      <c r="G190" s="9">
        <v>8.87</v>
      </c>
      <c r="H190" s="12">
        <v>0.17</v>
      </c>
      <c r="I190" s="9">
        <v>13.5</v>
      </c>
      <c r="J190" s="58">
        <v>139.6625703125</v>
      </c>
      <c r="K190" s="22">
        <f t="shared" si="17"/>
        <v>654.2325024</v>
      </c>
    </row>
    <row r="191" spans="1:11" ht="13.5">
      <c r="A191" s="16" t="s">
        <v>2037</v>
      </c>
      <c r="B191" s="8">
        <v>40315.5625</v>
      </c>
      <c r="C191" s="138">
        <v>40315.5625</v>
      </c>
      <c r="D191" s="141">
        <v>370</v>
      </c>
      <c r="E191" s="21">
        <f t="shared" si="16"/>
        <v>10.4772345</v>
      </c>
      <c r="F191" s="9">
        <v>49.8</v>
      </c>
      <c r="G191" s="9">
        <v>6.43</v>
      </c>
      <c r="H191" s="12">
        <v>0.1</v>
      </c>
      <c r="I191" s="9">
        <v>9.67</v>
      </c>
      <c r="J191" s="58">
        <v>100.57611718750002</v>
      </c>
      <c r="K191" s="22">
        <f t="shared" si="17"/>
        <v>521.7662780999999</v>
      </c>
    </row>
    <row r="192" spans="1:11" ht="13.5">
      <c r="A192" s="16" t="s">
        <v>2038</v>
      </c>
      <c r="B192" s="8">
        <v>40324.5</v>
      </c>
      <c r="C192" s="138">
        <v>40324.5</v>
      </c>
      <c r="D192" s="141">
        <v>331</v>
      </c>
      <c r="E192" s="21">
        <f t="shared" si="16"/>
        <v>9.37287735</v>
      </c>
      <c r="F192" s="21">
        <v>56.8</v>
      </c>
      <c r="G192" s="21">
        <v>7.23</v>
      </c>
      <c r="H192" s="18">
        <v>0.14</v>
      </c>
      <c r="I192" s="21">
        <v>10.9</v>
      </c>
      <c r="J192" s="58">
        <v>112.33383072916668</v>
      </c>
      <c r="K192" s="22">
        <f t="shared" si="17"/>
        <v>532.37943348</v>
      </c>
    </row>
    <row r="193" spans="1:11" ht="13.5">
      <c r="A193" s="16" t="s">
        <v>2039</v>
      </c>
      <c r="B193" s="8">
        <v>40331.510416666664</v>
      </c>
      <c r="C193" s="138">
        <v>40331.510416666664</v>
      </c>
      <c r="D193" s="141">
        <v>703</v>
      </c>
      <c r="E193" s="21">
        <f>D193*0.02831685</f>
        <v>19.90674555</v>
      </c>
      <c r="F193" s="21">
        <v>35</v>
      </c>
      <c r="G193" s="21">
        <v>4.74</v>
      </c>
      <c r="H193" s="18">
        <v>0.06</v>
      </c>
      <c r="I193" s="21">
        <v>8.27</v>
      </c>
      <c r="J193" s="58">
        <v>74.04181770833334</v>
      </c>
      <c r="K193" s="22">
        <f t="shared" si="17"/>
        <v>696.73609425</v>
      </c>
    </row>
    <row r="194" spans="1:11" ht="13.5">
      <c r="A194" s="75" t="s">
        <v>2040</v>
      </c>
      <c r="B194" s="8">
        <v>40335.552083333336</v>
      </c>
      <c r="C194" s="138">
        <v>40335.552083333336</v>
      </c>
      <c r="D194" s="141">
        <v>940</v>
      </c>
      <c r="E194" s="21">
        <f>D194*0.02831685</f>
        <v>26.617839</v>
      </c>
      <c r="F194" s="21">
        <v>30</v>
      </c>
      <c r="G194" s="21">
        <v>4.03</v>
      </c>
      <c r="H194" s="18">
        <v>0.05</v>
      </c>
      <c r="I194" s="21">
        <v>6.51</v>
      </c>
      <c r="J194" s="58">
        <v>66.73296875</v>
      </c>
      <c r="K194" s="22">
        <f t="shared" si="17"/>
        <v>798.53517</v>
      </c>
    </row>
    <row r="195" spans="1:11" ht="13.5">
      <c r="A195" s="16" t="s">
        <v>2041</v>
      </c>
      <c r="B195" s="8">
        <v>40345.75</v>
      </c>
      <c r="C195" s="138">
        <v>40345.75</v>
      </c>
      <c r="D195" s="141">
        <v>454</v>
      </c>
      <c r="E195" s="21">
        <f>D195*0.02831685</f>
        <v>12.8558499</v>
      </c>
      <c r="F195" s="21">
        <v>61.1</v>
      </c>
      <c r="G195" s="21">
        <v>3.92</v>
      </c>
      <c r="H195" s="18">
        <v>0.18</v>
      </c>
      <c r="I195" s="21">
        <v>2.83</v>
      </c>
      <c r="J195" s="58">
        <v>88.02396354166666</v>
      </c>
      <c r="K195" s="22">
        <f t="shared" si="17"/>
        <v>785.49242889</v>
      </c>
    </row>
    <row r="196" spans="1:11" ht="13.5">
      <c r="A196" s="16" t="s">
        <v>2042</v>
      </c>
      <c r="B196" s="8">
        <v>40351.729166666664</v>
      </c>
      <c r="C196" s="138">
        <v>40351.729166666664</v>
      </c>
      <c r="D196" s="141">
        <v>337</v>
      </c>
      <c r="E196" s="21">
        <f aca="true" t="shared" si="18" ref="E196:E207">D196*0.02831685</f>
        <v>9.54277845</v>
      </c>
      <c r="F196" s="21">
        <v>54</v>
      </c>
      <c r="G196" s="21">
        <v>6.94</v>
      </c>
      <c r="H196" s="18">
        <v>0.14</v>
      </c>
      <c r="I196" s="21">
        <v>10.3</v>
      </c>
      <c r="J196" s="58">
        <v>108.36163020833334</v>
      </c>
      <c r="K196" s="22">
        <f t="shared" si="17"/>
        <v>515.3100363</v>
      </c>
    </row>
    <row r="197" spans="1:11" ht="13.5">
      <c r="A197" s="16" t="s">
        <v>2043</v>
      </c>
      <c r="B197" s="8">
        <v>40358.666666666664</v>
      </c>
      <c r="C197" s="138">
        <v>40358.666666666664</v>
      </c>
      <c r="D197" s="141">
        <v>288</v>
      </c>
      <c r="E197" s="21">
        <f t="shared" si="18"/>
        <v>8.1552528</v>
      </c>
      <c r="F197" s="21">
        <v>61</v>
      </c>
      <c r="G197" s="21">
        <v>7.8</v>
      </c>
      <c r="H197" s="18">
        <v>0.16</v>
      </c>
      <c r="I197" s="21">
        <v>11.2</v>
      </c>
      <c r="J197" s="58">
        <v>123.29710416666667</v>
      </c>
      <c r="K197" s="22">
        <f t="shared" si="17"/>
        <v>497.47042079999994</v>
      </c>
    </row>
    <row r="198" spans="1:11" ht="13.5">
      <c r="A198" s="16" t="s">
        <v>2044</v>
      </c>
      <c r="B198" s="8">
        <v>40365.666666666664</v>
      </c>
      <c r="C198" s="138">
        <v>40365.666666666664</v>
      </c>
      <c r="D198" s="141">
        <v>271</v>
      </c>
      <c r="E198" s="21">
        <f t="shared" si="18"/>
        <v>7.67386635</v>
      </c>
      <c r="F198" s="21">
        <v>65.5</v>
      </c>
      <c r="G198" s="21">
        <v>8.31</v>
      </c>
      <c r="H198" s="18">
        <v>0.16</v>
      </c>
      <c r="I198" s="21">
        <v>12</v>
      </c>
      <c r="J198" s="58">
        <v>131.0826171875</v>
      </c>
      <c r="K198" s="22">
        <f t="shared" si="17"/>
        <v>502.638245925</v>
      </c>
    </row>
    <row r="199" spans="1:11" ht="13.5">
      <c r="A199" s="16" t="s">
        <v>2045</v>
      </c>
      <c r="B199" s="8">
        <v>40372.520833333336</v>
      </c>
      <c r="C199" s="138">
        <v>40372.520833333336</v>
      </c>
      <c r="D199" s="141">
        <v>241</v>
      </c>
      <c r="E199" s="21">
        <f t="shared" si="18"/>
        <v>6.824360850000001</v>
      </c>
      <c r="F199" s="21">
        <v>67.6</v>
      </c>
      <c r="G199" s="21">
        <v>8.61</v>
      </c>
      <c r="H199" s="18">
        <v>0.18</v>
      </c>
      <c r="I199" s="21">
        <v>11.8</v>
      </c>
      <c r="J199" s="58">
        <v>135.37259375</v>
      </c>
      <c r="K199" s="22">
        <f t="shared" si="17"/>
        <v>461.32679346</v>
      </c>
    </row>
    <row r="200" spans="1:11" ht="13.5">
      <c r="A200" s="16" t="s">
        <v>2046</v>
      </c>
      <c r="B200" s="8">
        <v>40378.555555555555</v>
      </c>
      <c r="C200" s="138">
        <v>40378.555555555555</v>
      </c>
      <c r="D200" s="141">
        <v>239</v>
      </c>
      <c r="E200" s="21">
        <f t="shared" si="18"/>
        <v>6.767727150000001</v>
      </c>
      <c r="F200" s="21">
        <v>68.7</v>
      </c>
      <c r="G200" s="21">
        <v>8.74</v>
      </c>
      <c r="H200" s="18">
        <v>0.18</v>
      </c>
      <c r="I200" s="21">
        <v>11.9</v>
      </c>
      <c r="J200" s="58">
        <v>137.12036197916666</v>
      </c>
      <c r="K200" s="22">
        <f t="shared" si="17"/>
        <v>464.94285520500006</v>
      </c>
    </row>
    <row r="201" spans="1:11" ht="13.5">
      <c r="A201" s="16" t="s">
        <v>2047</v>
      </c>
      <c r="B201" s="8">
        <v>40389.65625</v>
      </c>
      <c r="C201" s="138">
        <v>40389.65625</v>
      </c>
      <c r="D201" s="141">
        <v>236</v>
      </c>
      <c r="E201" s="21">
        <f t="shared" si="18"/>
        <v>6.6827766</v>
      </c>
      <c r="F201" s="21">
        <v>70.3</v>
      </c>
      <c r="G201" s="21">
        <v>8.9</v>
      </c>
      <c r="H201" s="18">
        <v>0.19</v>
      </c>
      <c r="I201" s="21">
        <v>11.9</v>
      </c>
      <c r="J201" s="58">
        <v>139.98034635416667</v>
      </c>
      <c r="K201" s="22">
        <f t="shared" si="17"/>
        <v>469.79919498</v>
      </c>
    </row>
    <row r="202" spans="1:11" ht="13.5">
      <c r="A202" s="16" t="s">
        <v>2048</v>
      </c>
      <c r="B202" s="8">
        <v>40393.59375</v>
      </c>
      <c r="C202" s="138">
        <v>40393.59375</v>
      </c>
      <c r="D202" s="141">
        <v>232</v>
      </c>
      <c r="E202" s="21">
        <f t="shared" si="18"/>
        <v>6.569509200000001</v>
      </c>
      <c r="F202" s="21">
        <v>70.6</v>
      </c>
      <c r="G202" s="21">
        <v>8.97</v>
      </c>
      <c r="H202" s="18">
        <v>0.19</v>
      </c>
      <c r="I202" s="21">
        <v>11.9</v>
      </c>
      <c r="J202" s="58">
        <v>141.5692265625</v>
      </c>
      <c r="K202" s="22">
        <f t="shared" si="17"/>
        <v>463.80734952</v>
      </c>
    </row>
    <row r="203" spans="1:11" ht="13.5">
      <c r="A203" s="16" t="s">
        <v>2049</v>
      </c>
      <c r="B203" s="8">
        <v>40402.413194444445</v>
      </c>
      <c r="C203" s="138">
        <v>40402.413194444445</v>
      </c>
      <c r="D203" s="141">
        <v>238</v>
      </c>
      <c r="E203" s="21">
        <f t="shared" si="18"/>
        <v>6.7394103</v>
      </c>
      <c r="F203" s="21">
        <v>71.3</v>
      </c>
      <c r="G203" s="21">
        <v>9</v>
      </c>
      <c r="H203" s="18">
        <v>0.19</v>
      </c>
      <c r="I203" s="21">
        <v>11.9</v>
      </c>
      <c r="J203" s="58">
        <v>142.5225546875</v>
      </c>
      <c r="K203" s="22">
        <f t="shared" si="17"/>
        <v>480.51995439</v>
      </c>
    </row>
    <row r="204" spans="1:11" ht="13.5">
      <c r="A204" s="16" t="s">
        <v>2050</v>
      </c>
      <c r="B204" s="8">
        <v>40409.680555555555</v>
      </c>
      <c r="C204" s="138">
        <v>40409.680555555555</v>
      </c>
      <c r="D204" s="141">
        <v>232</v>
      </c>
      <c r="E204" s="21">
        <f t="shared" si="18"/>
        <v>6.569509200000001</v>
      </c>
      <c r="F204" s="21">
        <v>73.2</v>
      </c>
      <c r="G204" s="21">
        <v>9.23</v>
      </c>
      <c r="H204" s="18">
        <v>0.2</v>
      </c>
      <c r="I204" s="21">
        <v>12.3</v>
      </c>
      <c r="J204" s="58">
        <v>144.905875</v>
      </c>
      <c r="K204" s="22">
        <f t="shared" si="17"/>
        <v>480.8880734400001</v>
      </c>
    </row>
    <row r="205" spans="1:11" ht="13.5">
      <c r="A205" s="16" t="s">
        <v>2051</v>
      </c>
      <c r="B205" s="8">
        <v>40414.506944444445</v>
      </c>
      <c r="C205" s="138">
        <v>40414.506944444445</v>
      </c>
      <c r="D205" s="141">
        <v>235</v>
      </c>
      <c r="E205" s="21">
        <f t="shared" si="18"/>
        <v>6.65445975</v>
      </c>
      <c r="F205" s="21">
        <v>70.4</v>
      </c>
      <c r="G205" s="21">
        <v>8.91</v>
      </c>
      <c r="H205" s="18">
        <v>0.18</v>
      </c>
      <c r="I205" s="21">
        <v>12.1</v>
      </c>
      <c r="J205" s="58">
        <v>141.5692265625</v>
      </c>
      <c r="K205" s="22">
        <f t="shared" si="17"/>
        <v>468.47396640000005</v>
      </c>
    </row>
    <row r="206" spans="1:11" ht="13.5">
      <c r="A206" s="16" t="s">
        <v>2052</v>
      </c>
      <c r="B206" s="8">
        <v>40429.53125</v>
      </c>
      <c r="C206" s="138">
        <v>40429.53125</v>
      </c>
      <c r="D206" s="141">
        <v>239</v>
      </c>
      <c r="E206" s="21">
        <f t="shared" si="18"/>
        <v>6.767727150000001</v>
      </c>
      <c r="F206" s="21">
        <v>72.5</v>
      </c>
      <c r="G206" s="21">
        <v>9.13</v>
      </c>
      <c r="H206" s="18">
        <v>0.19</v>
      </c>
      <c r="I206" s="21">
        <v>12.4</v>
      </c>
      <c r="J206" s="58">
        <v>144.27032291666666</v>
      </c>
      <c r="K206" s="22">
        <f t="shared" si="17"/>
        <v>490.66021837500006</v>
      </c>
    </row>
    <row r="207" spans="1:11" ht="13.5">
      <c r="A207" s="16" t="s">
        <v>2053</v>
      </c>
      <c r="B207" s="8">
        <v>40443.739583333336</v>
      </c>
      <c r="C207" s="138">
        <v>40443.739583333336</v>
      </c>
      <c r="D207" s="141">
        <v>233</v>
      </c>
      <c r="E207" s="21">
        <f t="shared" si="18"/>
        <v>6.59782605</v>
      </c>
      <c r="F207" s="21">
        <v>72.6</v>
      </c>
      <c r="G207" s="21">
        <v>9.17</v>
      </c>
      <c r="H207" s="18">
        <v>0.2</v>
      </c>
      <c r="I207" s="21">
        <v>12.7</v>
      </c>
      <c r="J207" s="58">
        <v>144.74698697916668</v>
      </c>
      <c r="K207" s="22">
        <f t="shared" si="17"/>
        <v>479.00217123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3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14.00390625" style="93" customWidth="1"/>
    <col min="2" max="2" width="9.421875" style="108" customWidth="1"/>
    <col min="3" max="3" width="12.28125" style="86" customWidth="1"/>
    <col min="4" max="5" width="11.421875" style="86" customWidth="1"/>
    <col min="6" max="6" width="9.140625" style="175" customWidth="1"/>
    <col min="7" max="7" width="11.421875" style="110" customWidth="1"/>
    <col min="8" max="8" width="11.421875" style="109" customWidth="1"/>
    <col min="9" max="9" width="11.421875" style="110" customWidth="1"/>
    <col min="10" max="11" width="11.421875" style="86" customWidth="1"/>
  </cols>
  <sheetData>
    <row r="1" spans="1:11" ht="12.75">
      <c r="A1" s="172" t="s">
        <v>55</v>
      </c>
      <c r="B1" s="122"/>
      <c r="C1" s="123"/>
      <c r="D1" s="123"/>
      <c r="E1" s="124"/>
      <c r="F1" s="124"/>
      <c r="G1" s="124"/>
      <c r="H1" s="126"/>
      <c r="I1" s="124"/>
      <c r="J1" s="123"/>
      <c r="K1" s="125"/>
    </row>
    <row r="2" spans="1:11" ht="15.75">
      <c r="A2" s="172" t="s">
        <v>524</v>
      </c>
      <c r="B2" s="129" t="s">
        <v>1644</v>
      </c>
      <c r="C2" s="130" t="s">
        <v>1540</v>
      </c>
      <c r="D2" s="130" t="s">
        <v>970</v>
      </c>
      <c r="E2" s="81" t="s">
        <v>970</v>
      </c>
      <c r="F2" s="81" t="s">
        <v>324</v>
      </c>
      <c r="G2" s="81" t="s">
        <v>325</v>
      </c>
      <c r="H2" s="131" t="s">
        <v>326</v>
      </c>
      <c r="I2" s="81" t="s">
        <v>327</v>
      </c>
      <c r="J2" s="132" t="s">
        <v>971</v>
      </c>
      <c r="K2" s="132" t="s">
        <v>328</v>
      </c>
    </row>
    <row r="3" spans="1:11" ht="14.25">
      <c r="A3" s="173"/>
      <c r="B3" s="122"/>
      <c r="C3" s="123" t="s">
        <v>735</v>
      </c>
      <c r="D3" s="123" t="s">
        <v>968</v>
      </c>
      <c r="E3" s="124" t="s">
        <v>271</v>
      </c>
      <c r="F3" s="124" t="s">
        <v>969</v>
      </c>
      <c r="G3" s="124" t="s">
        <v>969</v>
      </c>
      <c r="H3" s="126" t="s">
        <v>969</v>
      </c>
      <c r="I3" s="124" t="s">
        <v>969</v>
      </c>
      <c r="J3" s="125" t="s">
        <v>969</v>
      </c>
      <c r="K3" s="125" t="s">
        <v>783</v>
      </c>
    </row>
    <row r="4" spans="1:11" ht="12.75">
      <c r="A4" s="172" t="s">
        <v>1268</v>
      </c>
      <c r="B4" s="122"/>
      <c r="C4" s="123"/>
      <c r="D4" s="123"/>
      <c r="E4" s="124"/>
      <c r="F4" s="124"/>
      <c r="G4" s="124"/>
      <c r="H4" s="126"/>
      <c r="I4" s="124"/>
      <c r="J4" s="125"/>
      <c r="K4" s="125"/>
    </row>
    <row r="5" spans="1:11" ht="12.75">
      <c r="A5" s="173" t="s">
        <v>603</v>
      </c>
      <c r="B5" s="122">
        <v>39016.520833333336</v>
      </c>
      <c r="C5" s="127">
        <f>B5</f>
        <v>39016.520833333336</v>
      </c>
      <c r="D5" s="123">
        <v>44</v>
      </c>
      <c r="E5" s="124">
        <f aca="true" t="shared" si="0" ref="E5:E25">D5*0.02831685</f>
        <v>1.2459414</v>
      </c>
      <c r="F5" s="124">
        <v>13.9</v>
      </c>
      <c r="G5" s="124">
        <v>2.61</v>
      </c>
      <c r="H5" s="126">
        <v>0.03</v>
      </c>
      <c r="I5" s="124">
        <v>3.61</v>
      </c>
      <c r="J5" s="125">
        <v>22</v>
      </c>
      <c r="K5" s="125">
        <f>E5*F5</f>
        <v>17.31858546</v>
      </c>
    </row>
    <row r="6" spans="1:11" ht="12.75">
      <c r="A6" s="173" t="s">
        <v>607</v>
      </c>
      <c r="B6" s="122">
        <v>39028.39236111111</v>
      </c>
      <c r="C6" s="127">
        <f aca="true" t="shared" si="1" ref="C6:C25">B6</f>
        <v>39028.39236111111</v>
      </c>
      <c r="D6" s="123">
        <v>62</v>
      </c>
      <c r="E6" s="124">
        <f t="shared" si="0"/>
        <v>1.7556447000000002</v>
      </c>
      <c r="F6" s="124">
        <v>13.5</v>
      </c>
      <c r="G6" s="124">
        <v>2.25</v>
      </c>
      <c r="H6" s="126">
        <v>0.03</v>
      </c>
      <c r="I6" s="124">
        <v>4.01</v>
      </c>
      <c r="J6" s="125">
        <v>27</v>
      </c>
      <c r="K6" s="125">
        <f aca="true" t="shared" si="2" ref="K6:K25">E6*F6</f>
        <v>23.70120345</v>
      </c>
    </row>
    <row r="7" spans="1:11" ht="12.75">
      <c r="A7" s="173" t="s">
        <v>413</v>
      </c>
      <c r="B7" s="122">
        <v>39092.5</v>
      </c>
      <c r="C7" s="127">
        <f t="shared" si="1"/>
        <v>39092.5</v>
      </c>
      <c r="D7" s="123">
        <v>45</v>
      </c>
      <c r="E7" s="124">
        <f t="shared" si="0"/>
        <v>1.2742582500000001</v>
      </c>
      <c r="F7" s="124">
        <v>18.12</v>
      </c>
      <c r="G7" s="124">
        <v>2.68</v>
      </c>
      <c r="H7" s="126">
        <v>0.04</v>
      </c>
      <c r="I7" s="124">
        <v>4.4</v>
      </c>
      <c r="J7" s="125" t="s">
        <v>608</v>
      </c>
      <c r="K7" s="125">
        <f t="shared" si="2"/>
        <v>23.089559490000003</v>
      </c>
    </row>
    <row r="8" spans="1:11" ht="12.75">
      <c r="A8" s="173" t="s">
        <v>413</v>
      </c>
      <c r="B8" s="122">
        <v>39093.65277777778</v>
      </c>
      <c r="C8" s="127">
        <f t="shared" si="1"/>
        <v>39093.65277777778</v>
      </c>
      <c r="D8" s="123">
        <v>45</v>
      </c>
      <c r="E8" s="124">
        <f t="shared" si="0"/>
        <v>1.2742582500000001</v>
      </c>
      <c r="F8" s="124">
        <v>18.3</v>
      </c>
      <c r="G8" s="124">
        <v>2.73</v>
      </c>
      <c r="H8" s="126">
        <v>0.04</v>
      </c>
      <c r="I8" s="124">
        <v>4.26</v>
      </c>
      <c r="J8" s="125">
        <v>47.34863020833334</v>
      </c>
      <c r="K8" s="125">
        <f t="shared" si="2"/>
        <v>23.318925975000003</v>
      </c>
    </row>
    <row r="9" spans="1:11" ht="12.75">
      <c r="A9" s="173" t="s">
        <v>668</v>
      </c>
      <c r="B9" s="122">
        <v>39122.74652777778</v>
      </c>
      <c r="C9" s="127">
        <f t="shared" si="1"/>
        <v>39122.74652777778</v>
      </c>
      <c r="D9" s="123">
        <v>43</v>
      </c>
      <c r="E9" s="124">
        <f t="shared" si="0"/>
        <v>1.21762455</v>
      </c>
      <c r="F9" s="124">
        <v>17.5</v>
      </c>
      <c r="G9" s="124">
        <v>2.82</v>
      </c>
      <c r="H9" s="126">
        <v>0.05</v>
      </c>
      <c r="I9" s="124">
        <v>4.12</v>
      </c>
      <c r="J9" s="125">
        <v>28.282067708333333</v>
      </c>
      <c r="K9" s="125">
        <f t="shared" si="2"/>
        <v>21.308429625000002</v>
      </c>
    </row>
    <row r="10" spans="1:11" ht="12.75">
      <c r="A10" s="173" t="s">
        <v>669</v>
      </c>
      <c r="B10" s="122">
        <v>39150.44583333333</v>
      </c>
      <c r="C10" s="127">
        <f t="shared" si="1"/>
        <v>39150.44583333333</v>
      </c>
      <c r="D10" s="123">
        <v>41</v>
      </c>
      <c r="E10" s="124">
        <f t="shared" si="0"/>
        <v>1.1609908500000001</v>
      </c>
      <c r="F10" s="124">
        <v>18.1</v>
      </c>
      <c r="G10" s="124">
        <v>2.88</v>
      </c>
      <c r="H10" s="126">
        <v>0.05</v>
      </c>
      <c r="I10" s="124">
        <v>4.31</v>
      </c>
      <c r="J10" s="125">
        <v>29.39428385416667</v>
      </c>
      <c r="K10" s="125">
        <f t="shared" si="2"/>
        <v>21.013934385000002</v>
      </c>
    </row>
    <row r="11" spans="1:11" ht="12.75">
      <c r="A11" s="173" t="s">
        <v>670</v>
      </c>
      <c r="B11" s="122">
        <v>39162.510416666664</v>
      </c>
      <c r="C11" s="127">
        <f t="shared" si="1"/>
        <v>39162.510416666664</v>
      </c>
      <c r="D11" s="123">
        <v>46</v>
      </c>
      <c r="E11" s="124">
        <f t="shared" si="0"/>
        <v>1.3025751</v>
      </c>
      <c r="F11" s="124">
        <v>17.4</v>
      </c>
      <c r="G11" s="124">
        <v>2.74</v>
      </c>
      <c r="H11" s="126">
        <v>0.04</v>
      </c>
      <c r="I11" s="124">
        <v>4.33</v>
      </c>
      <c r="J11" s="125">
        <v>27.964291666666664</v>
      </c>
      <c r="K11" s="125">
        <f t="shared" si="2"/>
        <v>22.66480674</v>
      </c>
    </row>
    <row r="12" spans="1:11" ht="12.75">
      <c r="A12" s="173" t="s">
        <v>671</v>
      </c>
      <c r="B12" s="122">
        <v>39184.46597222222</v>
      </c>
      <c r="C12" s="127">
        <f t="shared" si="1"/>
        <v>39184.46597222222</v>
      </c>
      <c r="D12" s="123">
        <v>41</v>
      </c>
      <c r="E12" s="124">
        <f t="shared" si="0"/>
        <v>1.1609908500000001</v>
      </c>
      <c r="F12" s="124">
        <v>17.5</v>
      </c>
      <c r="G12" s="124">
        <v>2.77</v>
      </c>
      <c r="H12" s="126">
        <v>0.04</v>
      </c>
      <c r="I12" s="124">
        <v>4.18</v>
      </c>
      <c r="J12" s="125">
        <v>29.553171875000007</v>
      </c>
      <c r="K12" s="125">
        <f t="shared" si="2"/>
        <v>20.317339875000002</v>
      </c>
    </row>
    <row r="13" spans="1:11" ht="12.75">
      <c r="A13" s="173" t="s">
        <v>672</v>
      </c>
      <c r="B13" s="122">
        <v>39197.635416666664</v>
      </c>
      <c r="C13" s="127">
        <f t="shared" si="1"/>
        <v>39197.635416666664</v>
      </c>
      <c r="D13" s="123">
        <v>54</v>
      </c>
      <c r="E13" s="124">
        <f t="shared" si="0"/>
        <v>1.5291099000000001</v>
      </c>
      <c r="F13" s="124">
        <v>14.8</v>
      </c>
      <c r="G13" s="124">
        <v>2.46</v>
      </c>
      <c r="H13" s="126">
        <v>0.03</v>
      </c>
      <c r="I13" s="124">
        <v>3.86</v>
      </c>
      <c r="J13" s="125">
        <v>25.739859374999998</v>
      </c>
      <c r="K13" s="125">
        <f t="shared" si="2"/>
        <v>22.630826520000003</v>
      </c>
    </row>
    <row r="14" spans="1:11" ht="12.75">
      <c r="A14" s="173" t="s">
        <v>483</v>
      </c>
      <c r="B14" s="122">
        <v>39198.342361111114</v>
      </c>
      <c r="C14" s="127">
        <f t="shared" si="1"/>
        <v>39198.342361111114</v>
      </c>
      <c r="D14" s="125">
        <v>61</v>
      </c>
      <c r="E14" s="124">
        <f t="shared" si="0"/>
        <v>1.72732785</v>
      </c>
      <c r="F14" s="124">
        <v>13.2</v>
      </c>
      <c r="G14" s="124">
        <v>2.25</v>
      </c>
      <c r="H14" s="126">
        <v>0.03</v>
      </c>
      <c r="I14" s="124">
        <v>3.6</v>
      </c>
      <c r="J14" s="125">
        <v>24.468755208333338</v>
      </c>
      <c r="K14" s="125">
        <f t="shared" si="2"/>
        <v>22.80072762</v>
      </c>
    </row>
    <row r="15" spans="1:11" ht="12.75">
      <c r="A15" s="173" t="s">
        <v>484</v>
      </c>
      <c r="B15" s="122">
        <v>39203.493055555555</v>
      </c>
      <c r="C15" s="127">
        <f t="shared" si="1"/>
        <v>39203.493055555555</v>
      </c>
      <c r="D15" s="125">
        <v>104</v>
      </c>
      <c r="E15" s="124">
        <f t="shared" si="0"/>
        <v>2.9449524</v>
      </c>
      <c r="F15" s="124">
        <v>7.86</v>
      </c>
      <c r="G15" s="124">
        <v>1.47</v>
      </c>
      <c r="H15" s="126">
        <v>0.02</v>
      </c>
      <c r="I15" s="124">
        <v>2.55</v>
      </c>
      <c r="J15" s="125">
        <v>16.206578125</v>
      </c>
      <c r="K15" s="125">
        <f t="shared" si="2"/>
        <v>23.147325864000003</v>
      </c>
    </row>
    <row r="16" spans="1:11" ht="12.75">
      <c r="A16" s="173" t="s">
        <v>485</v>
      </c>
      <c r="B16" s="122">
        <v>39210.288194444445</v>
      </c>
      <c r="C16" s="127">
        <f t="shared" si="1"/>
        <v>39210.288194444445</v>
      </c>
      <c r="D16" s="125">
        <v>85</v>
      </c>
      <c r="E16" s="124">
        <f t="shared" si="0"/>
        <v>2.40693225</v>
      </c>
      <c r="F16" s="124">
        <v>8.66</v>
      </c>
      <c r="G16" s="124">
        <v>1.62</v>
      </c>
      <c r="H16" s="126">
        <v>0.02</v>
      </c>
      <c r="I16" s="124">
        <v>2.65</v>
      </c>
      <c r="J16" s="125">
        <v>18.74878645833333</v>
      </c>
      <c r="K16" s="125">
        <f t="shared" si="2"/>
        <v>20.844033285000002</v>
      </c>
    </row>
    <row r="17" spans="1:11" ht="12.75">
      <c r="A17" s="173" t="s">
        <v>486</v>
      </c>
      <c r="B17" s="122">
        <v>39217.802083333336</v>
      </c>
      <c r="C17" s="127">
        <f t="shared" si="1"/>
        <v>39217.802083333336</v>
      </c>
      <c r="D17" s="125">
        <v>114</v>
      </c>
      <c r="E17" s="124">
        <f t="shared" si="0"/>
        <v>3.2281209</v>
      </c>
      <c r="F17" s="124">
        <v>6.32</v>
      </c>
      <c r="G17" s="124">
        <v>1.29</v>
      </c>
      <c r="H17" s="126">
        <v>0.02</v>
      </c>
      <c r="I17" s="124">
        <v>2.03</v>
      </c>
      <c r="J17" s="125">
        <v>13.664369791666667</v>
      </c>
      <c r="K17" s="125">
        <f t="shared" si="2"/>
        <v>20.401724088</v>
      </c>
    </row>
    <row r="18" spans="1:11" ht="12.75">
      <c r="A18" s="173" t="s">
        <v>487</v>
      </c>
      <c r="B18" s="122">
        <v>39224.666666666664</v>
      </c>
      <c r="C18" s="127">
        <f t="shared" si="1"/>
        <v>39224.666666666664</v>
      </c>
      <c r="D18" s="125">
        <v>98</v>
      </c>
      <c r="E18" s="124">
        <f t="shared" si="0"/>
        <v>2.7750513</v>
      </c>
      <c r="F18" s="124">
        <v>7.82</v>
      </c>
      <c r="G18" s="124">
        <v>1.4</v>
      </c>
      <c r="H18" s="126">
        <v>0.02</v>
      </c>
      <c r="I18" s="124">
        <v>2.29</v>
      </c>
      <c r="J18" s="125">
        <v>14.776585937500004</v>
      </c>
      <c r="K18" s="125">
        <f t="shared" si="2"/>
        <v>21.700901166</v>
      </c>
    </row>
    <row r="19" spans="1:11" ht="12.75">
      <c r="A19" s="173" t="s">
        <v>488</v>
      </c>
      <c r="B19" s="122">
        <v>39239.50347222222</v>
      </c>
      <c r="C19" s="127">
        <f t="shared" si="1"/>
        <v>39239.50347222222</v>
      </c>
      <c r="D19" s="125">
        <v>65</v>
      </c>
      <c r="E19" s="124">
        <f t="shared" si="0"/>
        <v>1.84059525</v>
      </c>
      <c r="F19" s="124">
        <v>9.69</v>
      </c>
      <c r="G19" s="124">
        <v>1.82</v>
      </c>
      <c r="H19" s="126">
        <v>0.02</v>
      </c>
      <c r="I19" s="124">
        <v>2.62</v>
      </c>
      <c r="J19" s="125">
        <v>19.702114583333334</v>
      </c>
      <c r="K19" s="125">
        <f t="shared" si="2"/>
        <v>17.8353679725</v>
      </c>
    </row>
    <row r="20" spans="1:11" ht="12.75">
      <c r="A20" s="173" t="s">
        <v>350</v>
      </c>
      <c r="B20" s="122">
        <v>39262.447916666664</v>
      </c>
      <c r="C20" s="127">
        <f t="shared" si="1"/>
        <v>39262.447916666664</v>
      </c>
      <c r="D20" s="123">
        <v>42</v>
      </c>
      <c r="E20" s="124">
        <f t="shared" si="0"/>
        <v>1.1893077</v>
      </c>
      <c r="F20" s="124">
        <v>12.8</v>
      </c>
      <c r="G20" s="124">
        <v>2.45</v>
      </c>
      <c r="H20" s="126">
        <v>0.03</v>
      </c>
      <c r="I20" s="124">
        <v>3.24</v>
      </c>
      <c r="J20" s="125">
        <v>26.693187499999997</v>
      </c>
      <c r="K20" s="125">
        <f t="shared" si="2"/>
        <v>15.223138560000002</v>
      </c>
    </row>
    <row r="21" spans="1:11" ht="12.75">
      <c r="A21" s="173" t="s">
        <v>351</v>
      </c>
      <c r="B21" s="122">
        <v>39279.614583333336</v>
      </c>
      <c r="C21" s="127">
        <f t="shared" si="1"/>
        <v>39279.614583333336</v>
      </c>
      <c r="D21" s="123">
        <v>39</v>
      </c>
      <c r="E21" s="124">
        <f t="shared" si="0"/>
        <v>1.10435715</v>
      </c>
      <c r="F21" s="124">
        <v>12.7</v>
      </c>
      <c r="G21" s="124">
        <v>2.57</v>
      </c>
      <c r="H21" s="126">
        <v>0.03</v>
      </c>
      <c r="I21" s="124">
        <v>3.27</v>
      </c>
      <c r="J21" s="125">
        <v>27.169851562500003</v>
      </c>
      <c r="K21" s="125">
        <f t="shared" si="2"/>
        <v>14.025335805</v>
      </c>
    </row>
    <row r="22" spans="1:11" ht="12.75">
      <c r="A22" s="173" t="s">
        <v>352</v>
      </c>
      <c r="B22" s="122">
        <v>39286.427083333336</v>
      </c>
      <c r="C22" s="127">
        <f t="shared" si="1"/>
        <v>39286.427083333336</v>
      </c>
      <c r="D22" s="123">
        <v>38</v>
      </c>
      <c r="E22" s="124">
        <f t="shared" si="0"/>
        <v>1.0760403</v>
      </c>
      <c r="F22" s="124">
        <v>11.9</v>
      </c>
      <c r="G22" s="124">
        <v>2.55</v>
      </c>
      <c r="H22" s="126">
        <v>0.03</v>
      </c>
      <c r="I22" s="124">
        <v>3.16</v>
      </c>
      <c r="J22" s="125">
        <v>26.693187499999997</v>
      </c>
      <c r="K22" s="125">
        <f t="shared" si="2"/>
        <v>12.80487957</v>
      </c>
    </row>
    <row r="23" spans="1:11" ht="12.75">
      <c r="A23" s="173" t="s">
        <v>353</v>
      </c>
      <c r="B23" s="122">
        <v>39304.489583333336</v>
      </c>
      <c r="C23" s="127">
        <f t="shared" si="1"/>
        <v>39304.489583333336</v>
      </c>
      <c r="D23" s="123">
        <v>37</v>
      </c>
      <c r="E23" s="124">
        <f t="shared" si="0"/>
        <v>1.0477234500000001</v>
      </c>
      <c r="F23" s="124">
        <v>12.6</v>
      </c>
      <c r="G23" s="124">
        <v>2.6</v>
      </c>
      <c r="H23" s="126">
        <v>0.03</v>
      </c>
      <c r="I23" s="124">
        <v>3.5</v>
      </c>
      <c r="J23" s="125">
        <v>28.123179687500002</v>
      </c>
      <c r="K23" s="125">
        <f t="shared" si="2"/>
        <v>13.20131547</v>
      </c>
    </row>
    <row r="24" spans="1:11" ht="12.75">
      <c r="A24" s="173" t="s">
        <v>354</v>
      </c>
      <c r="B24" s="122">
        <v>39316.697916666664</v>
      </c>
      <c r="C24" s="127">
        <f t="shared" si="1"/>
        <v>39316.697916666664</v>
      </c>
      <c r="D24" s="123">
        <v>39</v>
      </c>
      <c r="E24" s="124">
        <f t="shared" si="0"/>
        <v>1.10435715</v>
      </c>
      <c r="F24" s="124">
        <v>14.3</v>
      </c>
      <c r="G24" s="124">
        <v>2.68</v>
      </c>
      <c r="H24" s="126">
        <v>0.03</v>
      </c>
      <c r="I24" s="124">
        <v>3.4</v>
      </c>
      <c r="J24" s="125">
        <v>27.805403645833334</v>
      </c>
      <c r="K24" s="125">
        <f t="shared" si="2"/>
        <v>15.792307245000002</v>
      </c>
    </row>
    <row r="25" spans="1:11" ht="12.75">
      <c r="A25" s="173" t="s">
        <v>355</v>
      </c>
      <c r="B25" s="122">
        <v>39343.6875</v>
      </c>
      <c r="C25" s="127">
        <f t="shared" si="1"/>
        <v>39343.6875</v>
      </c>
      <c r="D25" s="123">
        <v>37</v>
      </c>
      <c r="E25" s="124">
        <f t="shared" si="0"/>
        <v>1.0477234500000001</v>
      </c>
      <c r="F25" s="124">
        <v>14.2</v>
      </c>
      <c r="G25" s="124">
        <v>2.73</v>
      </c>
      <c r="H25" s="126">
        <v>0.03</v>
      </c>
      <c r="I25" s="124">
        <v>3.59</v>
      </c>
      <c r="J25" s="125">
        <v>27.964291666666664</v>
      </c>
      <c r="K25" s="125">
        <f t="shared" si="2"/>
        <v>14.87767299</v>
      </c>
    </row>
    <row r="26" spans="1:6" ht="12.75">
      <c r="A26" s="14" t="s">
        <v>384</v>
      </c>
      <c r="E26" s="128"/>
      <c r="F26" s="133"/>
    </row>
    <row r="27" spans="1:11" ht="12.75">
      <c r="A27" s="93" t="s">
        <v>124</v>
      </c>
      <c r="B27" s="95">
        <v>39373.510416666664</v>
      </c>
      <c r="C27" s="96">
        <f aca="true" t="shared" si="3" ref="C27:C32">B27</f>
        <v>39373.510416666664</v>
      </c>
      <c r="D27" s="100">
        <v>28</v>
      </c>
      <c r="E27" s="99">
        <f>D27*0.02831685</f>
        <v>0.7928718</v>
      </c>
      <c r="F27" s="99">
        <v>16.2</v>
      </c>
      <c r="G27" s="99">
        <v>2.78</v>
      </c>
      <c r="H27" s="98">
        <v>0.04</v>
      </c>
      <c r="I27" s="99">
        <v>3.94</v>
      </c>
      <c r="J27" s="97">
        <v>29</v>
      </c>
      <c r="K27" s="100">
        <f aca="true" t="shared" si="4" ref="K27:K52">E27*F27</f>
        <v>12.84452316</v>
      </c>
    </row>
    <row r="28" spans="1:11" ht="12.75">
      <c r="A28" s="93" t="s">
        <v>125</v>
      </c>
      <c r="B28" s="95">
        <v>39393.54861111111</v>
      </c>
      <c r="C28" s="96">
        <f t="shared" si="3"/>
        <v>39393.54861111111</v>
      </c>
      <c r="D28" s="100">
        <v>46.6</v>
      </c>
      <c r="E28" s="99">
        <f>D28*0.02831685</f>
        <v>1.3195652100000002</v>
      </c>
      <c r="F28" s="99">
        <v>17.1</v>
      </c>
      <c r="G28" s="99">
        <v>2.81</v>
      </c>
      <c r="H28" s="98">
        <v>0.04</v>
      </c>
      <c r="I28" s="99">
        <v>3.91</v>
      </c>
      <c r="J28" s="97">
        <v>29</v>
      </c>
      <c r="K28" s="100">
        <f t="shared" si="4"/>
        <v>22.564565091000006</v>
      </c>
    </row>
    <row r="29" spans="1:11" ht="12.75">
      <c r="A29" s="93" t="s">
        <v>126</v>
      </c>
      <c r="B29" s="95">
        <v>39464.375</v>
      </c>
      <c r="C29" s="96">
        <f t="shared" si="3"/>
        <v>39464.375</v>
      </c>
      <c r="D29" s="100">
        <v>36</v>
      </c>
      <c r="E29" s="99">
        <f>D29*0.02831685</f>
        <v>1.0194066</v>
      </c>
      <c r="F29" s="99">
        <v>20.3</v>
      </c>
      <c r="G29" s="99">
        <v>2.99</v>
      </c>
      <c r="H29" s="98">
        <v>0.05</v>
      </c>
      <c r="I29" s="99">
        <v>4.47</v>
      </c>
      <c r="J29" s="97">
        <v>31</v>
      </c>
      <c r="K29" s="100">
        <f t="shared" si="4"/>
        <v>20.69395398</v>
      </c>
    </row>
    <row r="30" spans="1:11" ht="12.75">
      <c r="A30" s="93" t="s">
        <v>127</v>
      </c>
      <c r="B30" s="95">
        <v>39505.694444444445</v>
      </c>
      <c r="C30" s="96">
        <f t="shared" si="3"/>
        <v>39505.694444444445</v>
      </c>
      <c r="D30" s="97">
        <v>36</v>
      </c>
      <c r="E30" s="99">
        <f aca="true" t="shared" si="5" ref="E30:E52">D30*0.02831685</f>
        <v>1.0194066</v>
      </c>
      <c r="F30" s="99">
        <v>20.6</v>
      </c>
      <c r="G30" s="99">
        <v>3.05</v>
      </c>
      <c r="H30" s="98">
        <v>0.05</v>
      </c>
      <c r="I30" s="99">
        <v>4.67</v>
      </c>
      <c r="J30" s="97">
        <v>32</v>
      </c>
      <c r="K30" s="100">
        <f t="shared" si="4"/>
        <v>20.99977596</v>
      </c>
    </row>
    <row r="31" spans="1:11" ht="12.75">
      <c r="A31" s="93" t="s">
        <v>128</v>
      </c>
      <c r="B31" s="95">
        <v>39526.555555555555</v>
      </c>
      <c r="C31" s="96">
        <f t="shared" si="3"/>
        <v>39526.555555555555</v>
      </c>
      <c r="D31" s="97">
        <v>36</v>
      </c>
      <c r="E31" s="99">
        <f t="shared" si="5"/>
        <v>1.0194066</v>
      </c>
      <c r="F31" s="99">
        <v>22.1</v>
      </c>
      <c r="G31" s="99">
        <v>3.09</v>
      </c>
      <c r="H31" s="98">
        <v>0.06</v>
      </c>
      <c r="I31" s="99">
        <v>4.85</v>
      </c>
      <c r="J31" s="97">
        <v>32</v>
      </c>
      <c r="K31" s="100">
        <f t="shared" si="4"/>
        <v>22.52888586</v>
      </c>
    </row>
    <row r="32" spans="1:11" ht="12.75">
      <c r="A32" s="93" t="s">
        <v>129</v>
      </c>
      <c r="B32" s="95">
        <v>39542.458333333336</v>
      </c>
      <c r="C32" s="96">
        <f t="shared" si="3"/>
        <v>39542.458333333336</v>
      </c>
      <c r="D32" s="97">
        <v>36</v>
      </c>
      <c r="E32" s="99">
        <f t="shared" si="5"/>
        <v>1.0194066</v>
      </c>
      <c r="F32" s="99">
        <v>20.7</v>
      </c>
      <c r="G32" s="99">
        <v>3.05</v>
      </c>
      <c r="H32" s="98">
        <v>0.05</v>
      </c>
      <c r="I32" s="99">
        <v>4.73</v>
      </c>
      <c r="J32" s="97">
        <v>32</v>
      </c>
      <c r="K32" s="100">
        <f t="shared" si="4"/>
        <v>21.101716619999998</v>
      </c>
    </row>
    <row r="33" spans="1:11" ht="12.75">
      <c r="A33" s="93" t="s">
        <v>130</v>
      </c>
      <c r="B33" s="95">
        <v>39547</v>
      </c>
      <c r="C33" s="97" t="s">
        <v>131</v>
      </c>
      <c r="D33" s="97">
        <v>35</v>
      </c>
      <c r="E33" s="99">
        <f t="shared" si="5"/>
        <v>0.99108975</v>
      </c>
      <c r="F33" s="99">
        <v>22</v>
      </c>
      <c r="G33" s="99">
        <v>3.14</v>
      </c>
      <c r="H33" s="98">
        <v>0.05</v>
      </c>
      <c r="I33" s="99">
        <v>4.8</v>
      </c>
      <c r="J33" s="97">
        <v>31</v>
      </c>
      <c r="K33" s="100">
        <f t="shared" si="4"/>
        <v>21.8039745</v>
      </c>
    </row>
    <row r="34" spans="1:11" ht="12.75">
      <c r="A34" s="93" t="s">
        <v>132</v>
      </c>
      <c r="B34" s="95">
        <v>39567.510416666664</v>
      </c>
      <c r="C34" s="96">
        <f aca="true" t="shared" si="6" ref="C34:C52">B34</f>
        <v>39567.510416666664</v>
      </c>
      <c r="D34" s="97">
        <v>49</v>
      </c>
      <c r="E34" s="99">
        <f t="shared" si="5"/>
        <v>1.38752565</v>
      </c>
      <c r="F34" s="99">
        <v>18.9</v>
      </c>
      <c r="G34" s="99">
        <v>2.76</v>
      </c>
      <c r="H34" s="98">
        <v>0.04</v>
      </c>
      <c r="I34" s="99">
        <v>5</v>
      </c>
      <c r="J34" s="97">
        <v>31</v>
      </c>
      <c r="K34" s="100">
        <f t="shared" si="4"/>
        <v>26.224234784999997</v>
      </c>
    </row>
    <row r="35" spans="1:11" ht="12.75">
      <c r="A35" s="93" t="s">
        <v>133</v>
      </c>
      <c r="B35" s="95">
        <v>39574.53125</v>
      </c>
      <c r="C35" s="96">
        <f t="shared" si="6"/>
        <v>39574.53125</v>
      </c>
      <c r="D35" s="97">
        <v>65</v>
      </c>
      <c r="E35" s="99">
        <f t="shared" si="5"/>
        <v>1.84059525</v>
      </c>
      <c r="F35" s="99">
        <v>15.5</v>
      </c>
      <c r="G35" s="99">
        <v>2.35</v>
      </c>
      <c r="H35" s="98">
        <v>0.03</v>
      </c>
      <c r="I35" s="99">
        <v>4.63</v>
      </c>
      <c r="J35" s="97">
        <v>26</v>
      </c>
      <c r="K35" s="100">
        <f t="shared" si="4"/>
        <v>28.529226375</v>
      </c>
    </row>
    <row r="36" spans="1:11" ht="12.75">
      <c r="A36" s="93" t="s">
        <v>134</v>
      </c>
      <c r="B36" s="95">
        <v>39581.489583333336</v>
      </c>
      <c r="C36" s="96">
        <f t="shared" si="6"/>
        <v>39581.489583333336</v>
      </c>
      <c r="D36" s="97">
        <v>56</v>
      </c>
      <c r="E36" s="99">
        <f t="shared" si="5"/>
        <v>1.5857436</v>
      </c>
      <c r="F36" s="99">
        <v>17</v>
      </c>
      <c r="G36" s="99">
        <v>2.41</v>
      </c>
      <c r="H36" s="98">
        <v>0.04</v>
      </c>
      <c r="I36" s="99">
        <v>4.54</v>
      </c>
      <c r="J36" s="97">
        <v>27</v>
      </c>
      <c r="K36" s="100">
        <f t="shared" si="4"/>
        <v>26.9576412</v>
      </c>
    </row>
    <row r="37" spans="1:11" ht="12">
      <c r="A37" s="93" t="s">
        <v>135</v>
      </c>
      <c r="B37" s="95">
        <v>39588.59375</v>
      </c>
      <c r="C37" s="96">
        <f t="shared" si="6"/>
        <v>39588.59375</v>
      </c>
      <c r="D37" s="97">
        <v>185</v>
      </c>
      <c r="E37" s="99">
        <f t="shared" si="5"/>
        <v>5.23861725</v>
      </c>
      <c r="F37" s="99">
        <v>7.37</v>
      </c>
      <c r="G37" s="99">
        <v>1.27</v>
      </c>
      <c r="H37" s="98">
        <v>0.02</v>
      </c>
      <c r="I37" s="99">
        <v>2.89</v>
      </c>
      <c r="J37" s="97">
        <v>15</v>
      </c>
      <c r="K37" s="100">
        <f t="shared" si="4"/>
        <v>38.6086091325</v>
      </c>
    </row>
    <row r="38" spans="1:11" ht="12">
      <c r="A38" s="93" t="s">
        <v>136</v>
      </c>
      <c r="B38" s="95">
        <v>39595.600694444445</v>
      </c>
      <c r="C38" s="96">
        <f t="shared" si="6"/>
        <v>39595.600694444445</v>
      </c>
      <c r="D38" s="97">
        <v>147</v>
      </c>
      <c r="E38" s="99">
        <f t="shared" si="5"/>
        <v>4.16257695</v>
      </c>
      <c r="F38" s="99">
        <v>8.04</v>
      </c>
      <c r="G38" s="99">
        <v>1.34</v>
      </c>
      <c r="H38" s="98">
        <v>0.02</v>
      </c>
      <c r="I38" s="99">
        <v>2.86</v>
      </c>
      <c r="J38" s="97">
        <v>16</v>
      </c>
      <c r="K38" s="100">
        <f t="shared" si="4"/>
        <v>33.467118678</v>
      </c>
    </row>
    <row r="39" spans="1:11" ht="12">
      <c r="A39" s="93" t="s">
        <v>137</v>
      </c>
      <c r="B39" s="95">
        <v>39601.59027777778</v>
      </c>
      <c r="C39" s="96">
        <f t="shared" si="6"/>
        <v>39601.59027777778</v>
      </c>
      <c r="D39" s="97">
        <v>201</v>
      </c>
      <c r="E39" s="99">
        <f t="shared" si="5"/>
        <v>5.69168685</v>
      </c>
      <c r="F39" s="99">
        <v>6.3</v>
      </c>
      <c r="G39" s="99">
        <v>1.09</v>
      </c>
      <c r="H39" s="98">
        <v>0.01</v>
      </c>
      <c r="I39" s="99">
        <v>2.42</v>
      </c>
      <c r="J39" s="97">
        <v>13</v>
      </c>
      <c r="K39" s="100">
        <f t="shared" si="4"/>
        <v>35.857627154999996</v>
      </c>
    </row>
    <row r="40" spans="1:11" ht="12">
      <c r="A40" s="174" t="s">
        <v>138</v>
      </c>
      <c r="B40" s="95">
        <v>39608.520833333336</v>
      </c>
      <c r="C40" s="96">
        <f t="shared" si="6"/>
        <v>39608.520833333336</v>
      </c>
      <c r="D40" s="97">
        <v>125</v>
      </c>
      <c r="E40" s="99">
        <f t="shared" si="5"/>
        <v>3.5396062500000003</v>
      </c>
      <c r="F40" s="99">
        <v>9.16</v>
      </c>
      <c r="G40" s="99">
        <v>1.46</v>
      </c>
      <c r="H40" s="98">
        <v>0.02</v>
      </c>
      <c r="I40" s="99">
        <v>3.18</v>
      </c>
      <c r="J40" s="97">
        <v>18</v>
      </c>
      <c r="K40" s="100">
        <f t="shared" si="4"/>
        <v>32.422793250000005</v>
      </c>
    </row>
    <row r="41" spans="1:11" ht="12">
      <c r="A41" s="174" t="s">
        <v>139</v>
      </c>
      <c r="B41" s="95">
        <v>39616.520833333336</v>
      </c>
      <c r="C41" s="96">
        <f t="shared" si="6"/>
        <v>39616.520833333336</v>
      </c>
      <c r="D41" s="97">
        <v>222</v>
      </c>
      <c r="E41" s="99">
        <f t="shared" si="5"/>
        <v>6.2863407</v>
      </c>
      <c r="F41" s="99">
        <v>4.54</v>
      </c>
      <c r="G41" s="99">
        <v>0.9</v>
      </c>
      <c r="H41" s="98" t="s">
        <v>964</v>
      </c>
      <c r="I41" s="99">
        <v>2.01</v>
      </c>
      <c r="J41" s="97">
        <v>13</v>
      </c>
      <c r="K41" s="100">
        <f t="shared" si="4"/>
        <v>28.539986778000003</v>
      </c>
    </row>
    <row r="42" spans="1:11" ht="12">
      <c r="A42" s="174" t="s">
        <v>140</v>
      </c>
      <c r="B42" s="95">
        <v>39623.666666666664</v>
      </c>
      <c r="C42" s="96">
        <f t="shared" si="6"/>
        <v>39623.666666666664</v>
      </c>
      <c r="D42" s="97">
        <v>238</v>
      </c>
      <c r="E42" s="99">
        <f t="shared" si="5"/>
        <v>6.7394103</v>
      </c>
      <c r="F42" s="99">
        <v>3.4</v>
      </c>
      <c r="G42" s="99">
        <v>0.79</v>
      </c>
      <c r="H42" s="98" t="s">
        <v>964</v>
      </c>
      <c r="I42" s="99">
        <v>1.53</v>
      </c>
      <c r="J42" s="97">
        <v>10</v>
      </c>
      <c r="K42" s="100">
        <f t="shared" si="4"/>
        <v>22.91399502</v>
      </c>
    </row>
    <row r="43" spans="1:11" ht="12">
      <c r="A43" s="174" t="s">
        <v>141</v>
      </c>
      <c r="B43" s="95">
        <v>39630.635416666664</v>
      </c>
      <c r="C43" s="96">
        <f t="shared" si="6"/>
        <v>39630.635416666664</v>
      </c>
      <c r="D43" s="97">
        <v>183</v>
      </c>
      <c r="E43" s="99">
        <f t="shared" si="5"/>
        <v>5.18198355</v>
      </c>
      <c r="F43" s="99">
        <v>4.36</v>
      </c>
      <c r="G43" s="99">
        <v>0.95</v>
      </c>
      <c r="H43" s="98">
        <v>0.01</v>
      </c>
      <c r="I43" s="99">
        <v>1.65</v>
      </c>
      <c r="J43" s="97">
        <v>12</v>
      </c>
      <c r="K43" s="100">
        <f t="shared" si="4"/>
        <v>22.593448278</v>
      </c>
    </row>
    <row r="44" spans="1:11" ht="12">
      <c r="A44" s="174" t="s">
        <v>142</v>
      </c>
      <c r="B44" s="95">
        <v>39637.583333333336</v>
      </c>
      <c r="C44" s="96">
        <f t="shared" si="6"/>
        <v>39637.583333333336</v>
      </c>
      <c r="D44" s="97">
        <v>118</v>
      </c>
      <c r="E44" s="99">
        <f t="shared" si="5"/>
        <v>3.3413883</v>
      </c>
      <c r="F44" s="99">
        <v>5.35</v>
      </c>
      <c r="G44" s="99">
        <v>1.19</v>
      </c>
      <c r="H44" s="98">
        <v>0.01</v>
      </c>
      <c r="I44" s="99">
        <v>1.91</v>
      </c>
      <c r="J44" s="97">
        <v>16</v>
      </c>
      <c r="K44" s="100">
        <f t="shared" si="4"/>
        <v>17.876427405</v>
      </c>
    </row>
    <row r="45" spans="1:11" ht="12">
      <c r="A45" s="174" t="s">
        <v>143</v>
      </c>
      <c r="B45" s="95">
        <v>39644.604166666664</v>
      </c>
      <c r="C45" s="96">
        <f t="shared" si="6"/>
        <v>39644.604166666664</v>
      </c>
      <c r="D45" s="97">
        <v>80</v>
      </c>
      <c r="E45" s="99">
        <f t="shared" si="5"/>
        <v>2.265348</v>
      </c>
      <c r="F45" s="99">
        <v>6.39</v>
      </c>
      <c r="G45" s="99">
        <v>1.57</v>
      </c>
      <c r="H45" s="98">
        <v>0.01</v>
      </c>
      <c r="I45" s="99">
        <v>2.25</v>
      </c>
      <c r="J45" s="97">
        <v>19</v>
      </c>
      <c r="K45" s="100">
        <f t="shared" si="4"/>
        <v>14.475573719999998</v>
      </c>
    </row>
    <row r="46" spans="1:11" ht="12">
      <c r="A46" s="174" t="s">
        <v>144</v>
      </c>
      <c r="B46" s="95">
        <v>39651.583333333336</v>
      </c>
      <c r="C46" s="96">
        <f t="shared" si="6"/>
        <v>39651.583333333336</v>
      </c>
      <c r="D46" s="97">
        <v>69</v>
      </c>
      <c r="E46" s="99">
        <f t="shared" si="5"/>
        <v>1.95386265</v>
      </c>
      <c r="F46" s="99">
        <v>7.83</v>
      </c>
      <c r="G46" s="99">
        <v>1.86</v>
      </c>
      <c r="H46" s="98">
        <v>0.02</v>
      </c>
      <c r="I46" s="99">
        <v>2.43</v>
      </c>
      <c r="J46" s="97">
        <v>21</v>
      </c>
      <c r="K46" s="100">
        <f t="shared" si="4"/>
        <v>15.2987445495</v>
      </c>
    </row>
    <row r="47" spans="1:11" ht="12">
      <c r="A47" s="93" t="s">
        <v>145</v>
      </c>
      <c r="B47" s="95">
        <v>39658.614583333336</v>
      </c>
      <c r="C47" s="96">
        <f t="shared" si="6"/>
        <v>39658.614583333336</v>
      </c>
      <c r="D47" s="97">
        <v>64</v>
      </c>
      <c r="E47" s="99">
        <f t="shared" si="5"/>
        <v>1.8122784</v>
      </c>
      <c r="F47" s="99">
        <v>7.7</v>
      </c>
      <c r="G47" s="99">
        <v>1.99</v>
      </c>
      <c r="H47" s="98">
        <v>0.02</v>
      </c>
      <c r="I47" s="99">
        <v>2.51</v>
      </c>
      <c r="J47" s="97">
        <v>22</v>
      </c>
      <c r="K47" s="100">
        <f t="shared" si="4"/>
        <v>13.95454368</v>
      </c>
    </row>
    <row r="48" spans="1:11" ht="12">
      <c r="A48" s="93" t="s">
        <v>146</v>
      </c>
      <c r="B48" s="95">
        <v>39665.666666666664</v>
      </c>
      <c r="C48" s="96">
        <f t="shared" si="6"/>
        <v>39665.666666666664</v>
      </c>
      <c r="D48" s="97">
        <v>59</v>
      </c>
      <c r="E48" s="99">
        <f t="shared" si="5"/>
        <v>1.67069415</v>
      </c>
      <c r="F48" s="99">
        <v>7.88</v>
      </c>
      <c r="G48" s="99">
        <v>2.08</v>
      </c>
      <c r="H48" s="98">
        <v>0.02</v>
      </c>
      <c r="I48" s="99">
        <v>2.55</v>
      </c>
      <c r="J48" s="97">
        <v>22</v>
      </c>
      <c r="K48" s="100">
        <f t="shared" si="4"/>
        <v>13.165069902</v>
      </c>
    </row>
    <row r="49" spans="1:11" ht="12">
      <c r="A49" s="93" t="s">
        <v>147</v>
      </c>
      <c r="B49" s="95">
        <v>39679.635416666664</v>
      </c>
      <c r="C49" s="96">
        <f t="shared" si="6"/>
        <v>39679.635416666664</v>
      </c>
      <c r="D49" s="97">
        <v>56</v>
      </c>
      <c r="E49" s="99">
        <f t="shared" si="5"/>
        <v>1.5857436</v>
      </c>
      <c r="F49" s="99">
        <v>8</v>
      </c>
      <c r="G49" s="99">
        <v>2.14</v>
      </c>
      <c r="H49" s="98">
        <v>0.02</v>
      </c>
      <c r="I49" s="99">
        <v>2.69</v>
      </c>
      <c r="J49" s="97">
        <v>21</v>
      </c>
      <c r="K49" s="100">
        <f t="shared" si="4"/>
        <v>12.6859488</v>
      </c>
    </row>
    <row r="50" spans="1:11" ht="12">
      <c r="A50" s="93" t="s">
        <v>148</v>
      </c>
      <c r="B50" s="95">
        <v>39694.510416666664</v>
      </c>
      <c r="C50" s="96">
        <f t="shared" si="6"/>
        <v>39694.510416666664</v>
      </c>
      <c r="D50" s="97">
        <v>55</v>
      </c>
      <c r="E50" s="99">
        <f t="shared" si="5"/>
        <v>1.55742675</v>
      </c>
      <c r="F50" s="99">
        <v>9.41</v>
      </c>
      <c r="G50" s="99">
        <v>2.22</v>
      </c>
      <c r="H50" s="98">
        <v>0.02</v>
      </c>
      <c r="I50" s="99">
        <v>2.89</v>
      </c>
      <c r="J50" s="97">
        <v>23</v>
      </c>
      <c r="K50" s="100">
        <f t="shared" si="4"/>
        <v>14.655385717500002</v>
      </c>
    </row>
    <row r="51" spans="1:11" ht="12">
      <c r="A51" s="93" t="s">
        <v>149</v>
      </c>
      <c r="B51" s="95">
        <v>39707.479166666664</v>
      </c>
      <c r="C51" s="96">
        <f t="shared" si="6"/>
        <v>39707.479166666664</v>
      </c>
      <c r="D51" s="97">
        <v>52</v>
      </c>
      <c r="E51" s="99">
        <f t="shared" si="5"/>
        <v>1.4724762</v>
      </c>
      <c r="F51" s="99">
        <v>9.92</v>
      </c>
      <c r="G51" s="99">
        <v>2.29</v>
      </c>
      <c r="H51" s="98">
        <v>0.03</v>
      </c>
      <c r="I51" s="99">
        <v>2.97</v>
      </c>
      <c r="J51" s="97">
        <v>24</v>
      </c>
      <c r="K51" s="100">
        <f t="shared" si="4"/>
        <v>14.606963904</v>
      </c>
    </row>
    <row r="52" spans="1:11" ht="12">
      <c r="A52" s="93" t="s">
        <v>150</v>
      </c>
      <c r="B52" s="95">
        <v>39721.489583333336</v>
      </c>
      <c r="C52" s="96">
        <f t="shared" si="6"/>
        <v>39721.489583333336</v>
      </c>
      <c r="D52" s="97">
        <v>50</v>
      </c>
      <c r="E52" s="99">
        <f t="shared" si="5"/>
        <v>1.4158425000000001</v>
      </c>
      <c r="F52" s="99">
        <v>9.79</v>
      </c>
      <c r="G52" s="99">
        <v>2.32</v>
      </c>
      <c r="H52" s="98">
        <v>0.02</v>
      </c>
      <c r="I52" s="99">
        <v>3.01</v>
      </c>
      <c r="J52" s="97">
        <v>24</v>
      </c>
      <c r="K52" s="100">
        <f t="shared" si="4"/>
        <v>13.861098075</v>
      </c>
    </row>
    <row r="53" spans="1:11" ht="12">
      <c r="A53" s="14" t="s">
        <v>1685</v>
      </c>
      <c r="B53" s="8"/>
      <c r="C53" s="1"/>
      <c r="D53" s="1"/>
      <c r="E53" s="9"/>
      <c r="F53" s="9"/>
      <c r="G53" s="9"/>
      <c r="H53" s="12"/>
      <c r="I53" s="9"/>
      <c r="J53" s="2"/>
      <c r="K53" s="2"/>
    </row>
    <row r="54" spans="1:11" ht="13.5">
      <c r="A54" s="16" t="s">
        <v>2054</v>
      </c>
      <c r="B54" s="8">
        <v>39734.677083333336</v>
      </c>
      <c r="C54" s="138">
        <v>39734.677083333336</v>
      </c>
      <c r="D54" s="141">
        <v>52</v>
      </c>
      <c r="E54" s="21">
        <f aca="true" t="shared" si="7" ref="E54:E81">D54*0.02831685</f>
        <v>1.4724762</v>
      </c>
      <c r="F54" s="9">
        <v>12.5</v>
      </c>
      <c r="G54" s="9">
        <v>2.35</v>
      </c>
      <c r="H54" s="12">
        <v>0.03</v>
      </c>
      <c r="I54" s="9">
        <v>3.55</v>
      </c>
      <c r="J54" s="57">
        <v>24</v>
      </c>
      <c r="K54" s="22">
        <f>E54*F54</f>
        <v>18.4059525</v>
      </c>
    </row>
    <row r="55" spans="1:11" ht="13.5">
      <c r="A55" s="75" t="s">
        <v>2055</v>
      </c>
      <c r="B55" s="8">
        <v>39756.604166666664</v>
      </c>
      <c r="C55" s="138">
        <v>39756.604166666664</v>
      </c>
      <c r="D55" s="141">
        <v>56</v>
      </c>
      <c r="E55" s="21">
        <f t="shared" si="7"/>
        <v>1.5857436</v>
      </c>
      <c r="F55" s="9">
        <v>17</v>
      </c>
      <c r="G55" s="9">
        <v>2.38</v>
      </c>
      <c r="H55" s="12">
        <v>0.03</v>
      </c>
      <c r="I55" s="9">
        <v>4.53</v>
      </c>
      <c r="J55" s="57">
        <v>23</v>
      </c>
      <c r="K55" s="22">
        <f aca="true" t="shared" si="8" ref="K55:K81">E55*F55</f>
        <v>26.9576412</v>
      </c>
    </row>
    <row r="56" spans="1:11" ht="13.5">
      <c r="A56" s="16" t="s">
        <v>2056</v>
      </c>
      <c r="B56" s="8">
        <v>39784.625</v>
      </c>
      <c r="C56" s="138">
        <v>39784.625</v>
      </c>
      <c r="D56" s="141">
        <v>47</v>
      </c>
      <c r="E56" s="21">
        <f t="shared" si="7"/>
        <v>1.33089195</v>
      </c>
      <c r="F56" s="9">
        <v>14</v>
      </c>
      <c r="G56" s="9">
        <v>2.52</v>
      </c>
      <c r="H56" s="12">
        <v>0.03</v>
      </c>
      <c r="I56" s="9">
        <v>3.6</v>
      </c>
      <c r="J56" s="57">
        <v>26</v>
      </c>
      <c r="K56" s="22">
        <f t="shared" si="8"/>
        <v>18.6324873</v>
      </c>
    </row>
    <row r="57" spans="1:11" ht="13.5">
      <c r="A57" s="16" t="s">
        <v>2057</v>
      </c>
      <c r="B57" s="8">
        <v>39822.520833333336</v>
      </c>
      <c r="C57" s="138">
        <v>39822.520833333336</v>
      </c>
      <c r="D57" s="141">
        <v>44</v>
      </c>
      <c r="E57" s="21">
        <f t="shared" si="7"/>
        <v>1.2459414</v>
      </c>
      <c r="F57" s="9">
        <v>16.4</v>
      </c>
      <c r="G57" s="9">
        <v>2.66</v>
      </c>
      <c r="H57" s="12">
        <v>0.04</v>
      </c>
      <c r="I57" s="9">
        <v>4.19</v>
      </c>
      <c r="J57" s="57">
        <v>27</v>
      </c>
      <c r="K57" s="22">
        <f t="shared" si="8"/>
        <v>20.433438959999997</v>
      </c>
    </row>
    <row r="58" spans="1:11" ht="13.5">
      <c r="A58" s="16" t="s">
        <v>2058</v>
      </c>
      <c r="B58" s="8">
        <v>39849.59027777778</v>
      </c>
      <c r="C58" s="138">
        <v>39849.59027777778</v>
      </c>
      <c r="D58" s="141">
        <v>42</v>
      </c>
      <c r="E58" s="21">
        <f t="shared" si="7"/>
        <v>1.1893077</v>
      </c>
      <c r="F58" s="9">
        <v>16.7</v>
      </c>
      <c r="G58" s="9">
        <v>2.73</v>
      </c>
      <c r="H58" s="12">
        <v>0.04</v>
      </c>
      <c r="I58" s="9">
        <v>3.95</v>
      </c>
      <c r="J58" s="57">
        <v>29</v>
      </c>
      <c r="K58" s="22">
        <f t="shared" si="8"/>
        <v>19.86143859</v>
      </c>
    </row>
    <row r="59" spans="1:11" ht="13.5">
      <c r="A59" s="16" t="s">
        <v>2059</v>
      </c>
      <c r="B59" s="8">
        <v>39873.552083333336</v>
      </c>
      <c r="C59" s="138">
        <f aca="true" t="shared" si="9" ref="C59:C74">B59</f>
        <v>39873.552083333336</v>
      </c>
      <c r="D59" s="141">
        <v>41</v>
      </c>
      <c r="E59" s="21">
        <f t="shared" si="7"/>
        <v>1.1609908500000001</v>
      </c>
      <c r="F59" s="9">
        <v>17.7</v>
      </c>
      <c r="G59" s="9">
        <v>2.79</v>
      </c>
      <c r="H59" s="12">
        <v>0.04</v>
      </c>
      <c r="I59" s="9">
        <v>4.24</v>
      </c>
      <c r="J59" s="22">
        <v>28.440955729166667</v>
      </c>
      <c r="K59" s="22">
        <f t="shared" si="8"/>
        <v>20.549538045000002</v>
      </c>
    </row>
    <row r="60" spans="1:11" ht="13.5">
      <c r="A60" s="16" t="s">
        <v>2060</v>
      </c>
      <c r="B60" s="8">
        <v>39892.625</v>
      </c>
      <c r="C60" s="138">
        <f t="shared" si="9"/>
        <v>39892.625</v>
      </c>
      <c r="D60" s="141">
        <v>42</v>
      </c>
      <c r="E60" s="21">
        <f t="shared" si="7"/>
        <v>1.1893077</v>
      </c>
      <c r="F60" s="9">
        <v>18.1</v>
      </c>
      <c r="G60" s="9">
        <v>2.82</v>
      </c>
      <c r="H60" s="12">
        <v>0.04</v>
      </c>
      <c r="I60" s="9">
        <v>7.3</v>
      </c>
      <c r="J60" s="22">
        <v>28.758731770833332</v>
      </c>
      <c r="K60" s="22">
        <f t="shared" si="8"/>
        <v>21.526469370000004</v>
      </c>
    </row>
    <row r="61" spans="1:11" ht="13.5">
      <c r="A61" s="16" t="s">
        <v>2061</v>
      </c>
      <c r="B61" s="8">
        <v>39905.47222222222</v>
      </c>
      <c r="C61" s="138">
        <f t="shared" si="9"/>
        <v>39905.47222222222</v>
      </c>
      <c r="D61" s="141">
        <v>40</v>
      </c>
      <c r="E61" s="21">
        <f t="shared" si="7"/>
        <v>1.132674</v>
      </c>
      <c r="F61" s="9">
        <v>18.1</v>
      </c>
      <c r="G61" s="9">
        <v>2.8</v>
      </c>
      <c r="H61" s="12">
        <v>0.03</v>
      </c>
      <c r="I61" s="9">
        <v>4.39</v>
      </c>
      <c r="J61" s="22">
        <v>30.18872395833333</v>
      </c>
      <c r="K61" s="22">
        <f t="shared" si="8"/>
        <v>20.5013994</v>
      </c>
    </row>
    <row r="62" spans="1:11" ht="13.5">
      <c r="A62" s="16" t="s">
        <v>2062</v>
      </c>
      <c r="B62" s="8">
        <v>39919.604166666664</v>
      </c>
      <c r="C62" s="138">
        <f t="shared" si="9"/>
        <v>39919.604166666664</v>
      </c>
      <c r="D62" s="141">
        <v>43</v>
      </c>
      <c r="E62" s="21">
        <f t="shared" si="7"/>
        <v>1.21762455</v>
      </c>
      <c r="F62" s="9">
        <v>18.8</v>
      </c>
      <c r="G62" s="9">
        <v>2.79</v>
      </c>
      <c r="H62" s="12">
        <v>0.04</v>
      </c>
      <c r="I62" s="9">
        <v>4.63</v>
      </c>
      <c r="J62" s="22">
        <v>29.87094791666667</v>
      </c>
      <c r="K62" s="22">
        <f t="shared" si="8"/>
        <v>22.891341540000003</v>
      </c>
    </row>
    <row r="63" spans="1:11" ht="13.5">
      <c r="A63" s="16" t="s">
        <v>2063</v>
      </c>
      <c r="B63" s="8">
        <v>39933.53125</v>
      </c>
      <c r="C63" s="138">
        <f t="shared" si="9"/>
        <v>39933.53125</v>
      </c>
      <c r="D63" s="141">
        <v>46</v>
      </c>
      <c r="E63" s="21">
        <f t="shared" si="7"/>
        <v>1.3025751</v>
      </c>
      <c r="F63" s="9">
        <v>18</v>
      </c>
      <c r="G63" s="9">
        <v>2.62</v>
      </c>
      <c r="H63" s="12">
        <v>0.03</v>
      </c>
      <c r="I63" s="9">
        <v>4.41</v>
      </c>
      <c r="J63" s="22">
        <v>29.87094791666667</v>
      </c>
      <c r="K63" s="22">
        <f t="shared" si="8"/>
        <v>23.446351800000002</v>
      </c>
    </row>
    <row r="64" spans="1:11" ht="13.5">
      <c r="A64" s="16" t="s">
        <v>2064</v>
      </c>
      <c r="B64" s="8">
        <v>39938.57986111111</v>
      </c>
      <c r="C64" s="138">
        <f t="shared" si="9"/>
        <v>39938.57986111111</v>
      </c>
      <c r="D64" s="141">
        <v>64</v>
      </c>
      <c r="E64" s="21">
        <f t="shared" si="7"/>
        <v>1.8122784</v>
      </c>
      <c r="F64" s="9">
        <v>15.9</v>
      </c>
      <c r="G64" s="9">
        <v>2.35</v>
      </c>
      <c r="H64" s="12">
        <v>0.03</v>
      </c>
      <c r="I64" s="9">
        <v>4.21</v>
      </c>
      <c r="J64" s="22">
        <v>26.057635416666663</v>
      </c>
      <c r="K64" s="22">
        <f t="shared" si="8"/>
        <v>28.815226560000003</v>
      </c>
    </row>
    <row r="65" spans="1:11" ht="13.5">
      <c r="A65" s="16" t="s">
        <v>2065</v>
      </c>
      <c r="B65" s="8">
        <v>39947.739583333336</v>
      </c>
      <c r="C65" s="138">
        <f t="shared" si="9"/>
        <v>39947.739583333336</v>
      </c>
      <c r="D65" s="141">
        <v>80</v>
      </c>
      <c r="E65" s="21">
        <f t="shared" si="7"/>
        <v>2.265348</v>
      </c>
      <c r="F65" s="9">
        <v>11.5</v>
      </c>
      <c r="G65" s="9">
        <v>1.92</v>
      </c>
      <c r="H65" s="12">
        <v>0.02</v>
      </c>
      <c r="I65" s="9">
        <v>3.5</v>
      </c>
      <c r="J65" s="22">
        <v>22.720986979166668</v>
      </c>
      <c r="K65" s="22">
        <f t="shared" si="8"/>
        <v>26.051502</v>
      </c>
    </row>
    <row r="66" spans="1:11" ht="13.5">
      <c r="A66" s="16" t="s">
        <v>2066</v>
      </c>
      <c r="B66" s="8">
        <v>39952.56597222222</v>
      </c>
      <c r="C66" s="138">
        <f t="shared" si="9"/>
        <v>39952.56597222222</v>
      </c>
      <c r="D66" s="141">
        <v>210</v>
      </c>
      <c r="E66" s="21">
        <f t="shared" si="7"/>
        <v>5.9465385</v>
      </c>
      <c r="F66" s="9">
        <v>6.14</v>
      </c>
      <c r="G66" s="9">
        <v>1.15</v>
      </c>
      <c r="H66" s="12">
        <v>0.01</v>
      </c>
      <c r="I66" s="9">
        <v>2.43</v>
      </c>
      <c r="J66" s="22">
        <v>14.776585937500004</v>
      </c>
      <c r="K66" s="22">
        <f t="shared" si="8"/>
        <v>36.51174639</v>
      </c>
    </row>
    <row r="67" spans="1:11" ht="13.5">
      <c r="A67" s="16" t="s">
        <v>2067</v>
      </c>
      <c r="B67" s="8">
        <v>39961.572916666664</v>
      </c>
      <c r="C67" s="138">
        <f t="shared" si="9"/>
        <v>39961.572916666664</v>
      </c>
      <c r="D67" s="141">
        <v>223</v>
      </c>
      <c r="E67" s="21">
        <f t="shared" si="7"/>
        <v>6.314657550000001</v>
      </c>
      <c r="F67" s="9">
        <v>4.74</v>
      </c>
      <c r="G67" s="9">
        <v>0.92</v>
      </c>
      <c r="H67" s="12" t="s">
        <v>964</v>
      </c>
      <c r="I67" s="9">
        <v>2.01</v>
      </c>
      <c r="J67" s="22">
        <v>11.598825520833332</v>
      </c>
      <c r="K67" s="22">
        <f t="shared" si="8"/>
        <v>29.931476787000005</v>
      </c>
    </row>
    <row r="68" spans="1:11" ht="13.5">
      <c r="A68" s="16" t="s">
        <v>2068</v>
      </c>
      <c r="B68" s="8">
        <v>39967.614583333336</v>
      </c>
      <c r="C68" s="138">
        <f t="shared" si="9"/>
        <v>39967.614583333336</v>
      </c>
      <c r="D68" s="141">
        <v>205</v>
      </c>
      <c r="E68" s="21">
        <f t="shared" si="7"/>
        <v>5.804954250000001</v>
      </c>
      <c r="F68" s="9">
        <v>5.1</v>
      </c>
      <c r="G68" s="9">
        <v>0.95</v>
      </c>
      <c r="H68" s="12" t="s">
        <v>964</v>
      </c>
      <c r="I68" s="9">
        <v>1.92</v>
      </c>
      <c r="J68" s="22">
        <v>10.645497395833335</v>
      </c>
      <c r="K68" s="22">
        <f t="shared" si="8"/>
        <v>29.605266675000003</v>
      </c>
    </row>
    <row r="69" spans="1:11" ht="13.5">
      <c r="A69" s="16" t="s">
        <v>2069</v>
      </c>
      <c r="B69" s="8">
        <v>39974.635416666664</v>
      </c>
      <c r="C69" s="138">
        <f t="shared" si="9"/>
        <v>39974.635416666664</v>
      </c>
      <c r="D69" s="141">
        <v>172</v>
      </c>
      <c r="E69" s="21">
        <f t="shared" si="7"/>
        <v>4.8704982</v>
      </c>
      <c r="F69" s="9">
        <v>6.23</v>
      </c>
      <c r="G69" s="9">
        <v>1.14</v>
      </c>
      <c r="H69" s="12">
        <v>0.01</v>
      </c>
      <c r="I69" s="9">
        <v>2.12</v>
      </c>
      <c r="J69" s="22">
        <v>14.458809895833333</v>
      </c>
      <c r="K69" s="22">
        <f t="shared" si="8"/>
        <v>30.343203786000004</v>
      </c>
    </row>
    <row r="70" spans="1:11" ht="13.5">
      <c r="A70" s="16" t="s">
        <v>2070</v>
      </c>
      <c r="B70" s="8">
        <v>39981.635416666664</v>
      </c>
      <c r="C70" s="138">
        <f t="shared" si="9"/>
        <v>39981.635416666664</v>
      </c>
      <c r="D70" s="141">
        <v>185</v>
      </c>
      <c r="E70" s="21">
        <f t="shared" si="7"/>
        <v>5.23861725</v>
      </c>
      <c r="F70" s="9">
        <v>4.37</v>
      </c>
      <c r="G70" s="9">
        <v>0.98</v>
      </c>
      <c r="H70" s="12" t="s">
        <v>964</v>
      </c>
      <c r="I70" s="9">
        <v>1.67</v>
      </c>
      <c r="J70" s="22">
        <v>12.552153645833334</v>
      </c>
      <c r="K70" s="22">
        <f t="shared" si="8"/>
        <v>22.8927573825</v>
      </c>
    </row>
    <row r="71" spans="1:11" ht="13.5">
      <c r="A71" s="16" t="s">
        <v>2071</v>
      </c>
      <c r="B71" s="8">
        <v>39988.604166666664</v>
      </c>
      <c r="C71" s="138">
        <f t="shared" si="9"/>
        <v>39988.604166666664</v>
      </c>
      <c r="D71" s="141">
        <v>143</v>
      </c>
      <c r="E71" s="21">
        <f t="shared" si="7"/>
        <v>4.04930955</v>
      </c>
      <c r="F71" s="9">
        <v>5.36</v>
      </c>
      <c r="G71" s="9">
        <v>1.14</v>
      </c>
      <c r="H71" s="12" t="s">
        <v>964</v>
      </c>
      <c r="I71" s="9">
        <v>1.9</v>
      </c>
      <c r="J71" s="22">
        <v>14.458809895833333</v>
      </c>
      <c r="K71" s="22">
        <f t="shared" si="8"/>
        <v>21.704299188000004</v>
      </c>
    </row>
    <row r="72" spans="1:11" ht="13.5">
      <c r="A72" s="16" t="s">
        <v>2072</v>
      </c>
      <c r="B72" s="8">
        <v>39995.645833333336</v>
      </c>
      <c r="C72" s="138">
        <f t="shared" si="9"/>
        <v>39995.645833333336</v>
      </c>
      <c r="D72" s="141">
        <v>116</v>
      </c>
      <c r="E72" s="21">
        <f t="shared" si="7"/>
        <v>3.2847546000000003</v>
      </c>
      <c r="F72" s="9">
        <v>5.34</v>
      </c>
      <c r="G72" s="9">
        <v>1.24</v>
      </c>
      <c r="H72" s="12" t="s">
        <v>964</v>
      </c>
      <c r="I72" s="9">
        <v>1.88</v>
      </c>
      <c r="J72" s="22">
        <v>15.253250000000003</v>
      </c>
      <c r="K72" s="22">
        <f t="shared" si="8"/>
        <v>17.540589564</v>
      </c>
    </row>
    <row r="73" spans="1:11" ht="13.5">
      <c r="A73" s="16" t="s">
        <v>2073</v>
      </c>
      <c r="B73" s="8">
        <v>40002.645833333336</v>
      </c>
      <c r="C73" s="138">
        <f t="shared" si="9"/>
        <v>40002.645833333336</v>
      </c>
      <c r="D73" s="141">
        <v>79</v>
      </c>
      <c r="E73" s="21">
        <f t="shared" si="7"/>
        <v>2.23703115</v>
      </c>
      <c r="F73" s="9">
        <v>6.94</v>
      </c>
      <c r="G73" s="9">
        <v>1.67</v>
      </c>
      <c r="H73" s="12">
        <v>0.01</v>
      </c>
      <c r="I73" s="9">
        <v>2.34</v>
      </c>
      <c r="J73" s="22">
        <v>19.0665625</v>
      </c>
      <c r="K73" s="22">
        <f t="shared" si="8"/>
        <v>15.524996181</v>
      </c>
    </row>
    <row r="74" spans="1:11" ht="13.5">
      <c r="A74" s="16" t="s">
        <v>2074</v>
      </c>
      <c r="B74" s="8">
        <v>40009.614583333336</v>
      </c>
      <c r="C74" s="138">
        <f t="shared" si="9"/>
        <v>40009.614583333336</v>
      </c>
      <c r="D74" s="141">
        <v>71</v>
      </c>
      <c r="E74" s="21">
        <f t="shared" si="7"/>
        <v>2.01049635</v>
      </c>
      <c r="F74" s="9">
        <v>8.07</v>
      </c>
      <c r="G74" s="9">
        <v>1.86</v>
      </c>
      <c r="H74" s="12">
        <v>0.01</v>
      </c>
      <c r="I74" s="9">
        <v>2.5</v>
      </c>
      <c r="J74" s="22">
        <v>21.29099479166667</v>
      </c>
      <c r="K74" s="22">
        <f t="shared" si="8"/>
        <v>16.2247055445</v>
      </c>
    </row>
    <row r="75" spans="1:11" ht="13.5">
      <c r="A75" s="16" t="s">
        <v>2075</v>
      </c>
      <c r="B75" s="8">
        <v>40016.614583333336</v>
      </c>
      <c r="C75" s="138">
        <v>40016.614583333336</v>
      </c>
      <c r="D75" s="141">
        <v>64</v>
      </c>
      <c r="E75" s="21">
        <f t="shared" si="7"/>
        <v>1.8122784</v>
      </c>
      <c r="F75" s="135">
        <v>7.81</v>
      </c>
      <c r="G75" s="135">
        <v>2.04</v>
      </c>
      <c r="H75" s="139">
        <v>0.02</v>
      </c>
      <c r="I75" s="135">
        <v>2.5</v>
      </c>
      <c r="J75" s="22">
        <v>22.879875</v>
      </c>
      <c r="K75" s="22">
        <f t="shared" si="8"/>
        <v>14.153894304</v>
      </c>
    </row>
    <row r="76" spans="1:11" ht="13.5">
      <c r="A76" s="16" t="s">
        <v>2076</v>
      </c>
      <c r="B76" s="8">
        <v>40023.666666666664</v>
      </c>
      <c r="C76" s="138">
        <v>40023.666666666664</v>
      </c>
      <c r="D76" s="141">
        <v>64</v>
      </c>
      <c r="E76" s="21">
        <f t="shared" si="7"/>
        <v>1.8122784</v>
      </c>
      <c r="F76" s="9">
        <v>7.95</v>
      </c>
      <c r="G76" s="9">
        <v>2.08</v>
      </c>
      <c r="H76" s="12">
        <v>0.02</v>
      </c>
      <c r="I76" s="9">
        <v>2.53</v>
      </c>
      <c r="J76" s="22">
        <v>23.3565390625</v>
      </c>
      <c r="K76" s="22">
        <f t="shared" si="8"/>
        <v>14.407613280000001</v>
      </c>
    </row>
    <row r="77" spans="1:11" ht="13.5">
      <c r="A77" s="16" t="s">
        <v>2077</v>
      </c>
      <c r="B77" s="8">
        <v>40030.6875</v>
      </c>
      <c r="C77" s="138">
        <v>40030.6875</v>
      </c>
      <c r="D77" s="141">
        <v>60</v>
      </c>
      <c r="E77" s="21">
        <f t="shared" si="7"/>
        <v>1.699011</v>
      </c>
      <c r="F77" s="9">
        <v>7.82</v>
      </c>
      <c r="G77" s="9">
        <v>2.13</v>
      </c>
      <c r="H77" s="12">
        <v>0.02</v>
      </c>
      <c r="I77" s="9">
        <v>2.56</v>
      </c>
      <c r="J77" s="22">
        <v>23.515427083333336</v>
      </c>
      <c r="K77" s="22">
        <f t="shared" si="8"/>
        <v>13.286266020000001</v>
      </c>
    </row>
    <row r="78" spans="1:11" ht="13.5">
      <c r="A78" s="16" t="s">
        <v>2078</v>
      </c>
      <c r="B78" s="8">
        <v>40044.614583333336</v>
      </c>
      <c r="C78" s="138">
        <v>40044.614583333336</v>
      </c>
      <c r="D78" s="141">
        <v>57</v>
      </c>
      <c r="E78" s="21">
        <f t="shared" si="7"/>
        <v>1.61406045</v>
      </c>
      <c r="F78" s="135">
        <v>8.99</v>
      </c>
      <c r="G78" s="135">
        <v>2.2</v>
      </c>
      <c r="H78" s="139">
        <v>0.02</v>
      </c>
      <c r="I78" s="135">
        <v>2.72</v>
      </c>
      <c r="J78" s="22">
        <v>24.78653125</v>
      </c>
      <c r="K78" s="22">
        <f t="shared" si="8"/>
        <v>14.5104034455</v>
      </c>
    </row>
    <row r="79" spans="1:11" ht="13.5">
      <c r="A79" s="16" t="s">
        <v>2079</v>
      </c>
      <c r="B79" s="8">
        <v>40058.6875</v>
      </c>
      <c r="C79" s="138">
        <v>40058.6875</v>
      </c>
      <c r="D79" s="141">
        <v>54</v>
      </c>
      <c r="E79" s="21">
        <f t="shared" si="7"/>
        <v>1.5291099000000001</v>
      </c>
      <c r="F79" s="135">
        <v>9</v>
      </c>
      <c r="G79" s="135">
        <v>2.26</v>
      </c>
      <c r="H79" s="139">
        <v>0.02</v>
      </c>
      <c r="I79" s="135">
        <v>2.75</v>
      </c>
      <c r="J79" s="22">
        <v>24.468755208333338</v>
      </c>
      <c r="K79" s="22">
        <f t="shared" si="8"/>
        <v>13.761989100000001</v>
      </c>
    </row>
    <row r="80" spans="1:11" ht="13.5">
      <c r="A80" s="75" t="s">
        <v>2080</v>
      </c>
      <c r="B80" s="8">
        <v>40072.625</v>
      </c>
      <c r="C80" s="138">
        <v>40072.625</v>
      </c>
      <c r="D80" s="141">
        <v>52</v>
      </c>
      <c r="E80" s="21">
        <f t="shared" si="7"/>
        <v>1.4724762</v>
      </c>
      <c r="F80" s="9">
        <v>9.77</v>
      </c>
      <c r="G80" s="9">
        <v>2.31</v>
      </c>
      <c r="H80" s="12">
        <v>0.02</v>
      </c>
      <c r="I80" s="9">
        <v>2.86</v>
      </c>
      <c r="J80" s="22">
        <v>25.104307291666668</v>
      </c>
      <c r="K80" s="22">
        <f t="shared" si="8"/>
        <v>14.386092474</v>
      </c>
    </row>
    <row r="81" spans="1:11" ht="13.5">
      <c r="A81" s="16" t="s">
        <v>2081</v>
      </c>
      <c r="B81" s="8">
        <v>40086.604166666664</v>
      </c>
      <c r="C81" s="138">
        <v>40086.604166666664</v>
      </c>
      <c r="D81" s="141">
        <v>51</v>
      </c>
      <c r="E81" s="21">
        <f t="shared" si="7"/>
        <v>1.44415935</v>
      </c>
      <c r="F81" s="135">
        <v>10.2</v>
      </c>
      <c r="G81" s="135">
        <v>2.36</v>
      </c>
      <c r="H81" s="139">
        <v>0.03</v>
      </c>
      <c r="I81" s="135">
        <v>2.99</v>
      </c>
      <c r="J81" s="22">
        <v>26.693187499999997</v>
      </c>
      <c r="K81" s="22">
        <f t="shared" si="8"/>
        <v>14.730425369999999</v>
      </c>
    </row>
    <row r="82" spans="1:11" ht="12">
      <c r="A82" s="14" t="s">
        <v>1713</v>
      </c>
      <c r="B82" s="8"/>
      <c r="C82" s="1"/>
      <c r="D82" s="1"/>
      <c r="E82" s="9"/>
      <c r="F82" s="9"/>
      <c r="G82" s="9"/>
      <c r="H82" s="12"/>
      <c r="I82" s="9"/>
      <c r="J82" s="2"/>
      <c r="K82" s="2"/>
    </row>
    <row r="83" spans="1:11" ht="13.5">
      <c r="A83" s="16" t="s">
        <v>2082</v>
      </c>
      <c r="B83" s="8">
        <v>40127.541666666664</v>
      </c>
      <c r="C83" s="138">
        <v>40127.541666666664</v>
      </c>
      <c r="D83" s="141">
        <v>49</v>
      </c>
      <c r="E83" s="21">
        <f aca="true" t="shared" si="10" ref="E83:E107">D83*0.02831685</f>
        <v>1.38752565</v>
      </c>
      <c r="F83" s="9">
        <v>12.5</v>
      </c>
      <c r="G83" s="9">
        <v>2.52</v>
      </c>
      <c r="H83" s="12">
        <v>0.03</v>
      </c>
      <c r="I83" s="9">
        <v>3.36</v>
      </c>
      <c r="J83" s="58">
        <v>26.057635416666663</v>
      </c>
      <c r="K83" s="22">
        <f aca="true" t="shared" si="11" ref="K83:K107">E83*F83</f>
        <v>17.344070625</v>
      </c>
    </row>
    <row r="84" spans="1:11" ht="13.5">
      <c r="A84" s="16" t="s">
        <v>2083</v>
      </c>
      <c r="B84" s="8">
        <v>40149.5</v>
      </c>
      <c r="C84" s="138">
        <v>40149.5</v>
      </c>
      <c r="D84" s="141">
        <v>43</v>
      </c>
      <c r="E84" s="21">
        <f t="shared" si="10"/>
        <v>1.21762455</v>
      </c>
      <c r="F84" s="9">
        <v>14.4</v>
      </c>
      <c r="G84" s="9">
        <v>2.71</v>
      </c>
      <c r="H84" s="12">
        <v>0.03</v>
      </c>
      <c r="I84" s="9">
        <v>3.74</v>
      </c>
      <c r="J84" s="58">
        <v>28.440955729166667</v>
      </c>
      <c r="K84" s="22">
        <f t="shared" si="11"/>
        <v>17.53379352</v>
      </c>
    </row>
    <row r="85" spans="1:11" ht="13.5">
      <c r="A85" s="16" t="s">
        <v>2084</v>
      </c>
      <c r="B85" s="8">
        <v>40198.572916666664</v>
      </c>
      <c r="C85" s="138">
        <v>40198.572916666664</v>
      </c>
      <c r="D85" s="141">
        <v>44</v>
      </c>
      <c r="E85" s="21">
        <f t="shared" si="10"/>
        <v>1.2459414</v>
      </c>
      <c r="F85" s="9">
        <v>16.5</v>
      </c>
      <c r="G85" s="9">
        <v>2.77</v>
      </c>
      <c r="H85" s="12">
        <v>0.05</v>
      </c>
      <c r="I85" s="9">
        <v>3.93</v>
      </c>
      <c r="J85" s="58">
        <v>28.282067708333333</v>
      </c>
      <c r="K85" s="22">
        <f t="shared" si="11"/>
        <v>20.5580331</v>
      </c>
    </row>
    <row r="86" spans="1:11" ht="13.5">
      <c r="A86" s="16" t="s">
        <v>2085</v>
      </c>
      <c r="B86" s="8">
        <v>40239.583333333336</v>
      </c>
      <c r="C86" s="138">
        <v>40239.583333333336</v>
      </c>
      <c r="D86" s="141">
        <v>41</v>
      </c>
      <c r="E86" s="21">
        <f t="shared" si="10"/>
        <v>1.1609908500000001</v>
      </c>
      <c r="F86" s="9">
        <v>16.4</v>
      </c>
      <c r="G86" s="9">
        <v>2.82</v>
      </c>
      <c r="H86" s="12">
        <v>0.04</v>
      </c>
      <c r="I86" s="9">
        <v>3.7</v>
      </c>
      <c r="J86" s="58">
        <v>29.39428385416667</v>
      </c>
      <c r="K86" s="22">
        <f t="shared" si="11"/>
        <v>19.04024994</v>
      </c>
    </row>
    <row r="87" spans="1:11" ht="13.5">
      <c r="A87" s="16" t="s">
        <v>2086</v>
      </c>
      <c r="B87" s="8">
        <v>40260.71875</v>
      </c>
      <c r="C87" s="138">
        <v>40260.71875</v>
      </c>
      <c r="D87" s="141">
        <v>40</v>
      </c>
      <c r="E87" s="21">
        <f>D87*0.02831685</f>
        <v>1.132674</v>
      </c>
      <c r="F87" s="9">
        <v>17.5</v>
      </c>
      <c r="G87" s="9">
        <v>2.9</v>
      </c>
      <c r="H87" s="12">
        <v>0.04</v>
      </c>
      <c r="I87" s="9">
        <v>4</v>
      </c>
      <c r="J87" s="58">
        <v>30.18872395833333</v>
      </c>
      <c r="K87" s="22">
        <f>E87*F87</f>
        <v>19.821794999999998</v>
      </c>
    </row>
    <row r="88" spans="1:11" ht="13.5">
      <c r="A88" s="16" t="s">
        <v>2087</v>
      </c>
      <c r="B88" s="8">
        <v>40283.489583333336</v>
      </c>
      <c r="C88" s="138">
        <v>40283.489583333336</v>
      </c>
      <c r="D88" s="141">
        <v>43</v>
      </c>
      <c r="E88" s="21">
        <f>D88*0.02831685</f>
        <v>1.21762455</v>
      </c>
      <c r="F88" s="9">
        <v>17.4</v>
      </c>
      <c r="G88" s="9">
        <v>2.83</v>
      </c>
      <c r="H88" s="12">
        <v>0.04</v>
      </c>
      <c r="I88" s="9">
        <v>4.2</v>
      </c>
      <c r="J88" s="58">
        <v>29.712059895833338</v>
      </c>
      <c r="K88" s="22">
        <f>E88*F88</f>
        <v>21.18666717</v>
      </c>
    </row>
    <row r="89" spans="1:11" ht="13.5">
      <c r="A89" s="16" t="s">
        <v>2088</v>
      </c>
      <c r="B89" s="8">
        <v>40296.520833333336</v>
      </c>
      <c r="C89" s="138">
        <v>40296.520833333336</v>
      </c>
      <c r="D89" s="141">
        <v>71</v>
      </c>
      <c r="E89" s="21">
        <f>D89*0.02831685</f>
        <v>2.01049635</v>
      </c>
      <c r="F89" s="9">
        <v>13.9</v>
      </c>
      <c r="G89" s="9">
        <v>2.11</v>
      </c>
      <c r="H89" s="12">
        <v>0.03</v>
      </c>
      <c r="I89" s="9">
        <v>3.86</v>
      </c>
      <c r="J89" s="58">
        <v>22.879875</v>
      </c>
      <c r="K89" s="22">
        <f>E89*F89</f>
        <v>27.945899265</v>
      </c>
    </row>
    <row r="90" spans="1:11" ht="13.5">
      <c r="A90" s="16" t="s">
        <v>2089</v>
      </c>
      <c r="B90" s="8">
        <v>40303.572916666664</v>
      </c>
      <c r="C90" s="138">
        <v>40303.572916666664</v>
      </c>
      <c r="D90" s="141">
        <v>45</v>
      </c>
      <c r="E90" s="21">
        <f t="shared" si="10"/>
        <v>1.2742582500000001</v>
      </c>
      <c r="F90" s="21">
        <v>16.8</v>
      </c>
      <c r="G90" s="21">
        <v>2.68</v>
      </c>
      <c r="H90" s="18">
        <v>0.04</v>
      </c>
      <c r="I90" s="21">
        <v>4.13</v>
      </c>
      <c r="J90" s="58">
        <v>30.18872395833333</v>
      </c>
      <c r="K90" s="22">
        <f t="shared" si="11"/>
        <v>21.407538600000002</v>
      </c>
    </row>
    <row r="91" spans="1:11" ht="13.5">
      <c r="A91" s="16" t="s">
        <v>2090</v>
      </c>
      <c r="B91" s="8">
        <v>40315.604166666664</v>
      </c>
      <c r="C91" s="138">
        <v>40315.604166666664</v>
      </c>
      <c r="D91" s="141">
        <v>76</v>
      </c>
      <c r="E91" s="21">
        <f t="shared" si="10"/>
        <v>2.1520806</v>
      </c>
      <c r="F91" s="21">
        <v>11</v>
      </c>
      <c r="G91" s="21">
        <v>1.95</v>
      </c>
      <c r="H91" s="18">
        <v>0.02</v>
      </c>
      <c r="I91" s="21">
        <v>3.07</v>
      </c>
      <c r="J91" s="58">
        <v>22.720986979166668</v>
      </c>
      <c r="K91" s="22">
        <f t="shared" si="11"/>
        <v>23.672886600000002</v>
      </c>
    </row>
    <row r="92" spans="1:11" ht="13.5">
      <c r="A92" s="16" t="s">
        <v>2091</v>
      </c>
      <c r="B92" s="8">
        <v>40324.697916666664</v>
      </c>
      <c r="C92" s="138">
        <v>40324.697916666664</v>
      </c>
      <c r="D92" s="141">
        <v>59</v>
      </c>
      <c r="E92" s="21">
        <f t="shared" si="10"/>
        <v>1.67069415</v>
      </c>
      <c r="F92" s="21">
        <v>13.1</v>
      </c>
      <c r="G92" s="21">
        <v>2.21</v>
      </c>
      <c r="H92" s="18">
        <v>0.03</v>
      </c>
      <c r="I92" s="21">
        <v>3.54</v>
      </c>
      <c r="J92" s="58">
        <v>25.739859374999998</v>
      </c>
      <c r="K92" s="22">
        <f t="shared" si="11"/>
        <v>21.886093365</v>
      </c>
    </row>
    <row r="93" spans="1:11" ht="13.5">
      <c r="A93" s="16" t="s">
        <v>2092</v>
      </c>
      <c r="B93" s="8">
        <v>40331.635416666664</v>
      </c>
      <c r="C93" s="138">
        <v>40331.635416666664</v>
      </c>
      <c r="D93" s="141">
        <v>140</v>
      </c>
      <c r="E93" s="21">
        <f t="shared" si="10"/>
        <v>3.964359</v>
      </c>
      <c r="F93" s="21">
        <v>7.32</v>
      </c>
      <c r="G93" s="21">
        <v>1.35</v>
      </c>
      <c r="H93" s="18">
        <v>0.01</v>
      </c>
      <c r="I93" s="21">
        <v>2.3</v>
      </c>
      <c r="J93" s="58">
        <v>16.365466145833334</v>
      </c>
      <c r="K93" s="22">
        <f t="shared" si="11"/>
        <v>29.01910788</v>
      </c>
    </row>
    <row r="94" spans="1:11" ht="13.5">
      <c r="A94" s="16" t="s">
        <v>2093</v>
      </c>
      <c r="B94" s="8">
        <v>40336.614583333336</v>
      </c>
      <c r="C94" s="138">
        <v>40336.614583333336</v>
      </c>
      <c r="D94" s="141">
        <v>327</v>
      </c>
      <c r="E94" s="21">
        <f t="shared" si="10"/>
        <v>9.25960995</v>
      </c>
      <c r="F94" s="21">
        <v>3.74</v>
      </c>
      <c r="G94" s="21">
        <v>0.76</v>
      </c>
      <c r="H94" s="18" t="s">
        <v>964</v>
      </c>
      <c r="I94" s="21">
        <v>1.5</v>
      </c>
      <c r="J94" s="58">
        <v>10.009945312500001</v>
      </c>
      <c r="K94" s="22">
        <f t="shared" si="11"/>
        <v>34.630941213</v>
      </c>
    </row>
    <row r="95" spans="1:11" ht="13.5">
      <c r="A95" s="16" t="s">
        <v>2094</v>
      </c>
      <c r="B95" s="8">
        <v>40345.708333333336</v>
      </c>
      <c r="C95" s="138">
        <v>40345.708333333336</v>
      </c>
      <c r="D95" s="141">
        <v>166</v>
      </c>
      <c r="E95" s="21">
        <f t="shared" si="10"/>
        <v>4.7005971</v>
      </c>
      <c r="F95" s="21">
        <v>5.38</v>
      </c>
      <c r="G95" s="21">
        <v>1.06</v>
      </c>
      <c r="H95" s="18">
        <v>0.01</v>
      </c>
      <c r="I95" s="21">
        <v>1.79</v>
      </c>
      <c r="J95" s="58">
        <v>13.505481770833336</v>
      </c>
      <c r="K95" s="22">
        <f t="shared" si="11"/>
        <v>25.289212398</v>
      </c>
    </row>
    <row r="96" spans="1:11" ht="13.5">
      <c r="A96" s="16" t="s">
        <v>2095</v>
      </c>
      <c r="B96" s="8">
        <v>40351.65277777778</v>
      </c>
      <c r="C96" s="138">
        <v>40351.65277777778</v>
      </c>
      <c r="D96" s="141">
        <v>87</v>
      </c>
      <c r="E96" s="21">
        <f t="shared" si="10"/>
        <v>2.46356595</v>
      </c>
      <c r="F96" s="21">
        <v>7.95</v>
      </c>
      <c r="G96" s="21">
        <v>1.47</v>
      </c>
      <c r="H96" s="18">
        <v>0.02</v>
      </c>
      <c r="I96" s="21">
        <v>2.39</v>
      </c>
      <c r="J96" s="58">
        <v>17.159906250000002</v>
      </c>
      <c r="K96" s="22">
        <f t="shared" si="11"/>
        <v>19.5853493025</v>
      </c>
    </row>
    <row r="97" spans="1:11" ht="13.5">
      <c r="A97" s="16" t="s">
        <v>2096</v>
      </c>
      <c r="B97" s="8">
        <v>40358.555555555555</v>
      </c>
      <c r="C97" s="138">
        <v>40358.555555555555</v>
      </c>
      <c r="D97" s="141">
        <v>64</v>
      </c>
      <c r="E97" s="21">
        <f t="shared" si="10"/>
        <v>1.8122784</v>
      </c>
      <c r="F97" s="21">
        <v>8.86</v>
      </c>
      <c r="G97" s="21">
        <v>1.79</v>
      </c>
      <c r="H97" s="18">
        <v>0.02</v>
      </c>
      <c r="I97" s="21">
        <v>2.64</v>
      </c>
      <c r="J97" s="58">
        <v>20.337666666666667</v>
      </c>
      <c r="K97" s="22">
        <f t="shared" si="11"/>
        <v>16.056786624</v>
      </c>
    </row>
    <row r="98" spans="1:11" ht="13.5">
      <c r="A98" s="16" t="s">
        <v>2097</v>
      </c>
      <c r="B98" s="8">
        <v>40365.729166666664</v>
      </c>
      <c r="C98" s="138">
        <v>40365.729166666664</v>
      </c>
      <c r="D98" s="141">
        <v>52</v>
      </c>
      <c r="E98" s="21">
        <f t="shared" si="10"/>
        <v>1.4724762</v>
      </c>
      <c r="F98" s="21">
        <v>10.1</v>
      </c>
      <c r="G98" s="21">
        <v>2.12</v>
      </c>
      <c r="H98" s="18">
        <v>0.03</v>
      </c>
      <c r="I98" s="21">
        <v>3.06</v>
      </c>
      <c r="J98" s="58">
        <v>23.038763020833333</v>
      </c>
      <c r="K98" s="22">
        <f t="shared" si="11"/>
        <v>14.87200962</v>
      </c>
    </row>
    <row r="99" spans="1:11" ht="13.5">
      <c r="A99" s="16" t="s">
        <v>2098</v>
      </c>
      <c r="B99" s="8">
        <v>40372.604166666664</v>
      </c>
      <c r="C99" s="138">
        <v>40372.604166666664</v>
      </c>
      <c r="D99" s="141">
        <v>47</v>
      </c>
      <c r="E99" s="21">
        <f t="shared" si="10"/>
        <v>1.33089195</v>
      </c>
      <c r="F99" s="21">
        <v>11.3</v>
      </c>
      <c r="G99" s="21">
        <v>2.29</v>
      </c>
      <c r="H99" s="18">
        <v>0.03</v>
      </c>
      <c r="I99" s="21">
        <v>3.17</v>
      </c>
      <c r="J99" s="58">
        <v>23.67431510416667</v>
      </c>
      <c r="K99" s="22">
        <f t="shared" si="11"/>
        <v>15.039079035000002</v>
      </c>
    </row>
    <row r="100" spans="1:11" ht="13.5">
      <c r="A100" s="16" t="s">
        <v>2099</v>
      </c>
      <c r="B100" s="8">
        <v>40378.614583333336</v>
      </c>
      <c r="C100" s="138">
        <v>40378.614583333336</v>
      </c>
      <c r="D100" s="141">
        <v>45</v>
      </c>
      <c r="E100" s="21">
        <f t="shared" si="10"/>
        <v>1.2742582500000001</v>
      </c>
      <c r="F100" s="21">
        <v>11.6</v>
      </c>
      <c r="G100" s="21">
        <v>2.38</v>
      </c>
      <c r="H100" s="18">
        <v>0.03</v>
      </c>
      <c r="I100" s="21">
        <v>3.22</v>
      </c>
      <c r="J100" s="58">
        <v>24.3098671875</v>
      </c>
      <c r="K100" s="22">
        <f t="shared" si="11"/>
        <v>14.781395700000001</v>
      </c>
    </row>
    <row r="101" spans="1:11" ht="13.5">
      <c r="A101" s="16" t="s">
        <v>2100</v>
      </c>
      <c r="B101" s="8">
        <v>40386.649305555555</v>
      </c>
      <c r="C101" s="138">
        <v>40386.649305555555</v>
      </c>
      <c r="D101" s="141">
        <v>44</v>
      </c>
      <c r="E101" s="21">
        <f t="shared" si="10"/>
        <v>1.2459414</v>
      </c>
      <c r="F101" s="21">
        <v>10.8</v>
      </c>
      <c r="G101" s="21">
        <v>2.41</v>
      </c>
      <c r="H101" s="18">
        <v>0.03</v>
      </c>
      <c r="I101" s="21">
        <v>3.18</v>
      </c>
      <c r="J101" s="58">
        <v>24.62764322916667</v>
      </c>
      <c r="K101" s="22">
        <f t="shared" si="11"/>
        <v>13.45616712</v>
      </c>
    </row>
    <row r="102" spans="1:11" ht="13.5">
      <c r="A102" s="16" t="s">
        <v>2101</v>
      </c>
      <c r="B102" s="8">
        <v>40393.541666666664</v>
      </c>
      <c r="C102" s="138">
        <v>40393.541666666664</v>
      </c>
      <c r="D102" s="141">
        <v>43</v>
      </c>
      <c r="E102" s="21">
        <f t="shared" si="10"/>
        <v>1.21762455</v>
      </c>
      <c r="F102" s="21">
        <v>11.6</v>
      </c>
      <c r="G102" s="21">
        <v>2.45</v>
      </c>
      <c r="H102" s="18">
        <v>0.03</v>
      </c>
      <c r="I102" s="21">
        <v>3.25</v>
      </c>
      <c r="J102" s="58">
        <v>25.739859374999998</v>
      </c>
      <c r="K102" s="22">
        <f t="shared" si="11"/>
        <v>14.12444478</v>
      </c>
    </row>
    <row r="103" spans="1:11" ht="13.5">
      <c r="A103" s="16" t="s">
        <v>2102</v>
      </c>
      <c r="B103" s="8">
        <v>40402.447916666664</v>
      </c>
      <c r="C103" s="138">
        <v>40402.447916666664</v>
      </c>
      <c r="D103" s="141">
        <v>43</v>
      </c>
      <c r="E103" s="21">
        <f t="shared" si="10"/>
        <v>1.21762455</v>
      </c>
      <c r="F103" s="21">
        <v>11.9</v>
      </c>
      <c r="G103" s="21">
        <v>2.45</v>
      </c>
      <c r="H103" s="18">
        <v>0.03</v>
      </c>
      <c r="I103" s="21">
        <v>3.26</v>
      </c>
      <c r="J103" s="58">
        <v>26.375411458333335</v>
      </c>
      <c r="K103" s="22">
        <f t="shared" si="11"/>
        <v>14.489732145000001</v>
      </c>
    </row>
    <row r="104" spans="1:11" ht="13.5">
      <c r="A104" s="16" t="s">
        <v>2103</v>
      </c>
      <c r="B104" s="8">
        <v>40409.645833333336</v>
      </c>
      <c r="C104" s="138">
        <v>40409.645833333336</v>
      </c>
      <c r="D104" s="141">
        <v>41</v>
      </c>
      <c r="E104" s="21">
        <f t="shared" si="10"/>
        <v>1.1609908500000001</v>
      </c>
      <c r="F104" s="21">
        <v>12.2</v>
      </c>
      <c r="G104" s="21">
        <v>2.53</v>
      </c>
      <c r="H104" s="18">
        <v>0.03</v>
      </c>
      <c r="I104" s="21">
        <v>3.32</v>
      </c>
      <c r="J104" s="58">
        <v>25.898747395833333</v>
      </c>
      <c r="K104" s="22">
        <f t="shared" si="11"/>
        <v>14.16408837</v>
      </c>
    </row>
    <row r="105" spans="1:11" ht="13.5">
      <c r="A105" s="16" t="s">
        <v>2104</v>
      </c>
      <c r="B105" s="8">
        <v>40414.54861111111</v>
      </c>
      <c r="C105" s="138">
        <v>40414.54861111111</v>
      </c>
      <c r="D105" s="141">
        <v>42</v>
      </c>
      <c r="E105" s="21">
        <f t="shared" si="10"/>
        <v>1.1893077</v>
      </c>
      <c r="F105" s="21">
        <v>11.5</v>
      </c>
      <c r="G105" s="21">
        <v>2.47</v>
      </c>
      <c r="H105" s="18">
        <v>0.03</v>
      </c>
      <c r="I105" s="21">
        <v>3.28</v>
      </c>
      <c r="J105" s="58">
        <v>25.739859374999998</v>
      </c>
      <c r="K105" s="22">
        <f t="shared" si="11"/>
        <v>13.67703855</v>
      </c>
    </row>
    <row r="106" spans="1:11" ht="13.5">
      <c r="A106" s="16" t="s">
        <v>2105</v>
      </c>
      <c r="B106" s="8">
        <v>40429.489583333336</v>
      </c>
      <c r="C106" s="138">
        <v>40429.489583333336</v>
      </c>
      <c r="D106" s="141">
        <v>42</v>
      </c>
      <c r="E106" s="21">
        <f t="shared" si="10"/>
        <v>1.1893077</v>
      </c>
      <c r="F106" s="21">
        <v>12.7</v>
      </c>
      <c r="G106" s="21">
        <v>2.56</v>
      </c>
      <c r="H106" s="18">
        <v>0.03</v>
      </c>
      <c r="I106" s="21">
        <v>3.41</v>
      </c>
      <c r="J106" s="58">
        <v>26.693187499999997</v>
      </c>
      <c r="K106" s="22">
        <f t="shared" si="11"/>
        <v>15.10420779</v>
      </c>
    </row>
    <row r="107" spans="1:11" ht="13.5">
      <c r="A107" s="16" t="s">
        <v>2106</v>
      </c>
      <c r="B107" s="8">
        <v>40443.70138888889</v>
      </c>
      <c r="C107" s="138">
        <v>40443.70138888889</v>
      </c>
      <c r="D107" s="141">
        <v>40</v>
      </c>
      <c r="E107" s="21">
        <f t="shared" si="10"/>
        <v>1.132674</v>
      </c>
      <c r="F107" s="21">
        <v>13.3</v>
      </c>
      <c r="G107" s="21">
        <v>2.68</v>
      </c>
      <c r="H107" s="18">
        <v>0.03</v>
      </c>
      <c r="I107" s="21">
        <v>3.55</v>
      </c>
      <c r="J107" s="58">
        <v>27.805403645833334</v>
      </c>
      <c r="K107" s="22">
        <f t="shared" si="11"/>
        <v>15.0645642</v>
      </c>
    </row>
    <row r="108" spans="5:6" ht="12">
      <c r="E108" s="128"/>
      <c r="F108" s="133"/>
    </row>
    <row r="109" spans="5:6" ht="12">
      <c r="E109" s="128"/>
      <c r="F109" s="133"/>
    </row>
    <row r="110" spans="5:6" ht="12">
      <c r="E110" s="128"/>
      <c r="F110" s="133"/>
    </row>
    <row r="111" spans="5:6" ht="12">
      <c r="E111" s="128"/>
      <c r="F111" s="133"/>
    </row>
    <row r="112" spans="5:6" ht="12">
      <c r="E112" s="128"/>
      <c r="F112" s="133"/>
    </row>
    <row r="113" spans="5:6" ht="12">
      <c r="E113" s="128"/>
      <c r="F113" s="133"/>
    </row>
    <row r="114" spans="5:6" ht="12">
      <c r="E114" s="128"/>
      <c r="F114" s="133"/>
    </row>
    <row r="115" spans="5:6" ht="12">
      <c r="E115" s="128"/>
      <c r="F115" s="133"/>
    </row>
    <row r="116" spans="5:6" ht="12">
      <c r="E116" s="128"/>
      <c r="F116" s="133"/>
    </row>
    <row r="117" spans="5:6" ht="12">
      <c r="E117" s="128"/>
      <c r="F117" s="133"/>
    </row>
    <row r="118" spans="5:6" ht="12">
      <c r="E118" s="128"/>
      <c r="F118" s="133"/>
    </row>
    <row r="119" spans="5:6" ht="12">
      <c r="E119" s="128"/>
      <c r="F119" s="133"/>
    </row>
    <row r="120" spans="5:6" ht="12">
      <c r="E120" s="128"/>
      <c r="F120" s="133"/>
    </row>
    <row r="121" spans="5:6" ht="12">
      <c r="E121" s="128"/>
      <c r="F121" s="133"/>
    </row>
    <row r="122" spans="5:6" ht="12">
      <c r="E122" s="128"/>
      <c r="F122" s="133"/>
    </row>
    <row r="123" spans="5:6" ht="12">
      <c r="E123" s="128"/>
      <c r="F123" s="133"/>
    </row>
    <row r="124" spans="5:6" ht="12">
      <c r="E124" s="128"/>
      <c r="F124" s="133"/>
    </row>
    <row r="125" spans="5:6" ht="12">
      <c r="E125" s="128"/>
      <c r="F125" s="133"/>
    </row>
    <row r="126" spans="5:6" ht="12">
      <c r="E126" s="128"/>
      <c r="F126" s="133"/>
    </row>
    <row r="127" spans="5:6" ht="12">
      <c r="E127" s="128"/>
      <c r="F127" s="133"/>
    </row>
    <row r="128" spans="5:6" ht="12">
      <c r="E128" s="128"/>
      <c r="F128" s="133"/>
    </row>
    <row r="129" spans="5:6" ht="12">
      <c r="E129" s="128"/>
      <c r="F129" s="133"/>
    </row>
    <row r="130" spans="5:6" ht="12">
      <c r="E130" s="128"/>
      <c r="F130" s="133"/>
    </row>
    <row r="131" spans="5:6" ht="12">
      <c r="E131" s="128"/>
      <c r="F131" s="133"/>
    </row>
    <row r="132" spans="5:6" ht="12">
      <c r="E132" s="128"/>
      <c r="F132" s="133"/>
    </row>
    <row r="133" spans="5:6" ht="12">
      <c r="E133" s="128"/>
      <c r="F133" s="133"/>
    </row>
    <row r="134" spans="5:6" ht="12">
      <c r="E134" s="128"/>
      <c r="F134" s="133"/>
    </row>
    <row r="135" spans="5:6" ht="12">
      <c r="E135" s="128"/>
      <c r="F135" s="133"/>
    </row>
    <row r="136" spans="5:6" ht="12">
      <c r="E136" s="128"/>
      <c r="F136" s="133"/>
    </row>
    <row r="137" spans="5:6" ht="12">
      <c r="E137" s="128"/>
      <c r="F137" s="133"/>
    </row>
    <row r="138" spans="5:6" ht="12">
      <c r="E138" s="128"/>
      <c r="F138" s="133"/>
    </row>
    <row r="139" spans="5:6" ht="12">
      <c r="E139" s="128"/>
      <c r="F139" s="133"/>
    </row>
    <row r="140" spans="5:6" ht="12">
      <c r="E140" s="128"/>
      <c r="F140" s="133"/>
    </row>
    <row r="141" spans="5:6" ht="12">
      <c r="E141" s="128"/>
      <c r="F141" s="133"/>
    </row>
    <row r="142" spans="5:6" ht="12">
      <c r="E142" s="128"/>
      <c r="F142" s="133"/>
    </row>
    <row r="143" spans="5:6" ht="12">
      <c r="E143" s="128"/>
      <c r="F143" s="133"/>
    </row>
    <row r="144" spans="5:6" ht="12">
      <c r="E144" s="128"/>
      <c r="F144" s="133"/>
    </row>
    <row r="145" spans="5:6" ht="12">
      <c r="E145" s="128"/>
      <c r="F145" s="133"/>
    </row>
    <row r="146" spans="5:6" ht="12">
      <c r="E146" s="128"/>
      <c r="F146" s="133"/>
    </row>
    <row r="147" spans="5:6" ht="12">
      <c r="E147" s="128"/>
      <c r="F147" s="133"/>
    </row>
    <row r="148" spans="5:6" ht="12">
      <c r="E148" s="128"/>
      <c r="F148" s="133"/>
    </row>
    <row r="149" spans="5:6" ht="12">
      <c r="E149" s="128"/>
      <c r="F149" s="133"/>
    </row>
    <row r="150" spans="5:6" ht="12">
      <c r="E150" s="128"/>
      <c r="F150" s="133"/>
    </row>
    <row r="151" spans="5:6" ht="12">
      <c r="E151" s="128"/>
      <c r="F151" s="133"/>
    </row>
    <row r="152" spans="5:6" ht="12">
      <c r="E152" s="128"/>
      <c r="F152" s="133"/>
    </row>
    <row r="153" spans="5:6" ht="12">
      <c r="E153" s="128"/>
      <c r="F153" s="133"/>
    </row>
    <row r="154" spans="5:6" ht="12">
      <c r="E154" s="128"/>
      <c r="F154" s="133"/>
    </row>
    <row r="155" spans="5:6" ht="12">
      <c r="E155" s="128"/>
      <c r="F155" s="133"/>
    </row>
    <row r="156" spans="5:6" ht="12">
      <c r="E156" s="128"/>
      <c r="F156" s="133"/>
    </row>
    <row r="157" spans="5:6" ht="12">
      <c r="E157" s="128"/>
      <c r="F157" s="133"/>
    </row>
    <row r="158" spans="5:6" ht="12">
      <c r="E158" s="128"/>
      <c r="F158" s="133"/>
    </row>
    <row r="159" spans="5:6" ht="12">
      <c r="E159" s="128"/>
      <c r="F159" s="133"/>
    </row>
    <row r="160" spans="5:6" ht="12">
      <c r="E160" s="128"/>
      <c r="F160" s="133"/>
    </row>
    <row r="161" spans="5:6" ht="12">
      <c r="E161" s="128"/>
      <c r="F161" s="133"/>
    </row>
    <row r="162" spans="5:6" ht="12">
      <c r="E162" s="128"/>
      <c r="F162" s="133"/>
    </row>
    <row r="163" spans="5:6" ht="12">
      <c r="E163" s="128"/>
      <c r="F163" s="133"/>
    </row>
    <row r="164" spans="5:6" ht="12">
      <c r="E164" s="128"/>
      <c r="F164" s="133"/>
    </row>
    <row r="165" spans="5:6" ht="12">
      <c r="E165" s="128"/>
      <c r="F165" s="133"/>
    </row>
    <row r="166" spans="5:6" ht="12">
      <c r="E166" s="128"/>
      <c r="F166" s="133"/>
    </row>
    <row r="167" spans="5:6" ht="12">
      <c r="E167" s="128"/>
      <c r="F167" s="133"/>
    </row>
    <row r="168" spans="5:6" ht="12">
      <c r="E168" s="128"/>
      <c r="F168" s="133"/>
    </row>
    <row r="169" spans="5:6" ht="12">
      <c r="E169" s="128"/>
      <c r="F169" s="133"/>
    </row>
    <row r="170" spans="5:6" ht="12">
      <c r="E170" s="128"/>
      <c r="F170" s="133"/>
    </row>
    <row r="171" spans="5:6" ht="12">
      <c r="E171" s="128"/>
      <c r="F171" s="133"/>
    </row>
    <row r="172" spans="5:6" ht="12">
      <c r="E172" s="128"/>
      <c r="F172" s="133"/>
    </row>
    <row r="173" spans="5:6" ht="12">
      <c r="E173" s="128"/>
      <c r="F173" s="133"/>
    </row>
    <row r="174" spans="5:6" ht="12">
      <c r="E174" s="128"/>
      <c r="F174" s="133"/>
    </row>
    <row r="175" spans="5:6" ht="12">
      <c r="E175" s="128"/>
      <c r="F175" s="133"/>
    </row>
    <row r="176" spans="5:6" ht="12">
      <c r="E176" s="128"/>
      <c r="F176" s="133"/>
    </row>
    <row r="177" spans="5:6" ht="12">
      <c r="E177" s="128"/>
      <c r="F177" s="133"/>
    </row>
    <row r="178" spans="5:6" ht="12">
      <c r="E178" s="128"/>
      <c r="F178" s="133"/>
    </row>
    <row r="179" spans="5:6" ht="12">
      <c r="E179" s="128"/>
      <c r="F179" s="133"/>
    </row>
    <row r="180" spans="5:6" ht="12">
      <c r="E180" s="128"/>
      <c r="F180" s="133"/>
    </row>
    <row r="181" spans="5:6" ht="12">
      <c r="E181" s="128"/>
      <c r="F181" s="133"/>
    </row>
    <row r="182" spans="5:6" ht="12">
      <c r="E182" s="128"/>
      <c r="F182" s="133"/>
    </row>
    <row r="183" spans="5:6" ht="12">
      <c r="E183" s="128"/>
      <c r="F183" s="133"/>
    </row>
    <row r="184" spans="5:6" ht="12">
      <c r="E184" s="128"/>
      <c r="F184" s="133"/>
    </row>
    <row r="185" spans="5:6" ht="12">
      <c r="E185" s="128"/>
      <c r="F185" s="133"/>
    </row>
    <row r="186" spans="5:6" ht="12">
      <c r="E186" s="128"/>
      <c r="F186" s="133"/>
    </row>
    <row r="187" spans="5:6" ht="12">
      <c r="E187" s="128"/>
      <c r="F187" s="133"/>
    </row>
    <row r="188" spans="5:6" ht="12">
      <c r="E188" s="128"/>
      <c r="F188" s="133"/>
    </row>
    <row r="189" spans="5:6" ht="12">
      <c r="E189" s="128"/>
      <c r="F189" s="133"/>
    </row>
    <row r="190" spans="5:6" ht="12">
      <c r="E190" s="128"/>
      <c r="F190" s="133"/>
    </row>
    <row r="191" spans="5:6" ht="12">
      <c r="E191" s="128"/>
      <c r="F191" s="133"/>
    </row>
    <row r="192" spans="5:6" ht="12">
      <c r="E192" s="128"/>
      <c r="F192" s="133"/>
    </row>
    <row r="193" spans="5:6" ht="12">
      <c r="E193" s="128"/>
      <c r="F193" s="133"/>
    </row>
    <row r="194" spans="5:6" ht="12">
      <c r="E194" s="128"/>
      <c r="F194" s="133"/>
    </row>
    <row r="195" spans="5:6" ht="12">
      <c r="E195" s="128"/>
      <c r="F195" s="133"/>
    </row>
    <row r="196" spans="5:6" ht="12">
      <c r="E196" s="128"/>
      <c r="F196" s="133"/>
    </row>
    <row r="197" spans="5:6" ht="12">
      <c r="E197" s="128"/>
      <c r="F197" s="133"/>
    </row>
    <row r="198" spans="5:6" ht="12">
      <c r="E198" s="128"/>
      <c r="F198" s="133"/>
    </row>
    <row r="199" spans="5:6" ht="12">
      <c r="E199" s="128"/>
      <c r="F199" s="133"/>
    </row>
    <row r="200" spans="5:6" ht="12">
      <c r="E200" s="128"/>
      <c r="F200" s="133"/>
    </row>
    <row r="201" spans="5:6" ht="12">
      <c r="E201" s="128"/>
      <c r="F201" s="133"/>
    </row>
    <row r="202" spans="5:6" ht="12">
      <c r="E202" s="128"/>
      <c r="F202" s="133"/>
    </row>
    <row r="203" spans="5:6" ht="12">
      <c r="E203" s="128"/>
      <c r="F203" s="133"/>
    </row>
    <row r="204" spans="5:6" ht="12">
      <c r="E204" s="128"/>
      <c r="F204" s="133"/>
    </row>
    <row r="205" spans="5:6" ht="12">
      <c r="E205" s="128"/>
      <c r="F205" s="133"/>
    </row>
    <row r="206" spans="5:6" ht="12">
      <c r="E206" s="128"/>
      <c r="F206" s="133"/>
    </row>
    <row r="207" spans="5:6" ht="12">
      <c r="E207" s="128"/>
      <c r="F207" s="133"/>
    </row>
    <row r="208" spans="5:6" ht="12">
      <c r="E208" s="128"/>
      <c r="F208" s="133"/>
    </row>
    <row r="209" spans="5:6" ht="12">
      <c r="E209" s="128"/>
      <c r="F209" s="133"/>
    </row>
    <row r="210" spans="5:6" ht="12">
      <c r="E210" s="128"/>
      <c r="F210" s="133"/>
    </row>
    <row r="211" spans="5:6" ht="12">
      <c r="E211" s="128"/>
      <c r="F211" s="133"/>
    </row>
    <row r="212" spans="5:6" ht="12">
      <c r="E212" s="128"/>
      <c r="F212" s="133"/>
    </row>
    <row r="213" spans="5:6" ht="12">
      <c r="E213" s="128"/>
      <c r="F213" s="133"/>
    </row>
    <row r="214" spans="5:6" ht="12">
      <c r="E214" s="128"/>
      <c r="F214" s="133"/>
    </row>
    <row r="215" spans="5:6" ht="12">
      <c r="E215" s="128"/>
      <c r="F215" s="133"/>
    </row>
    <row r="216" spans="5:6" ht="12">
      <c r="E216" s="128"/>
      <c r="F216" s="133"/>
    </row>
    <row r="217" spans="5:6" ht="12">
      <c r="E217" s="128"/>
      <c r="F217" s="133"/>
    </row>
    <row r="218" spans="5:6" ht="12">
      <c r="E218" s="128"/>
      <c r="F218" s="133"/>
    </row>
    <row r="219" spans="5:6" ht="12">
      <c r="E219" s="128"/>
      <c r="F219" s="133"/>
    </row>
    <row r="220" spans="5:6" ht="12">
      <c r="E220" s="128"/>
      <c r="F220" s="133"/>
    </row>
    <row r="221" spans="5:6" ht="12">
      <c r="E221" s="128"/>
      <c r="F221" s="133"/>
    </row>
    <row r="222" spans="5:6" ht="12">
      <c r="E222" s="128"/>
      <c r="F222" s="133"/>
    </row>
    <row r="223" spans="5:6" ht="12">
      <c r="E223" s="128"/>
      <c r="F223" s="133"/>
    </row>
    <row r="224" spans="5:6" ht="12">
      <c r="E224" s="128"/>
      <c r="F224" s="133"/>
    </row>
    <row r="225" spans="5:6" ht="12">
      <c r="E225" s="128"/>
      <c r="F225" s="133"/>
    </row>
    <row r="226" spans="5:6" ht="12">
      <c r="E226" s="128"/>
      <c r="F226" s="133"/>
    </row>
    <row r="227" spans="5:6" ht="12">
      <c r="E227" s="128"/>
      <c r="F227" s="133"/>
    </row>
    <row r="228" spans="5:6" ht="12">
      <c r="E228" s="128"/>
      <c r="F228" s="133"/>
    </row>
    <row r="229" spans="5:6" ht="12">
      <c r="E229" s="128"/>
      <c r="F229" s="133"/>
    </row>
    <row r="230" spans="5:6" ht="12">
      <c r="E230" s="128"/>
      <c r="F230" s="133"/>
    </row>
    <row r="231" spans="5:6" ht="12">
      <c r="E231" s="128"/>
      <c r="F231" s="133"/>
    </row>
    <row r="232" spans="5:6" ht="12">
      <c r="E232" s="128"/>
      <c r="F232" s="133"/>
    </row>
    <row r="233" spans="5:6" ht="12">
      <c r="E233" s="128"/>
      <c r="F233" s="133"/>
    </row>
    <row r="234" spans="5:6" ht="12">
      <c r="E234" s="128"/>
      <c r="F234" s="133"/>
    </row>
    <row r="235" spans="5:6" ht="12">
      <c r="E235" s="128"/>
      <c r="F235" s="133"/>
    </row>
    <row r="236" spans="5:6" ht="12">
      <c r="E236" s="128"/>
      <c r="F236" s="133"/>
    </row>
    <row r="237" spans="5:6" ht="12">
      <c r="E237" s="128"/>
      <c r="F237" s="133"/>
    </row>
    <row r="238" spans="5:6" ht="12">
      <c r="E238" s="128"/>
      <c r="F238" s="133"/>
    </row>
    <row r="239" spans="5:6" ht="12">
      <c r="E239" s="128"/>
      <c r="F239" s="133"/>
    </row>
    <row r="240" spans="5:6" ht="12">
      <c r="E240" s="128"/>
      <c r="F240" s="133"/>
    </row>
    <row r="241" spans="5:6" ht="12">
      <c r="E241" s="128"/>
      <c r="F241" s="133"/>
    </row>
    <row r="242" spans="5:6" ht="12">
      <c r="E242" s="128"/>
      <c r="F242" s="133"/>
    </row>
    <row r="243" spans="5:6" ht="12">
      <c r="E243" s="128"/>
      <c r="F243" s="133"/>
    </row>
    <row r="244" spans="5:6" ht="12">
      <c r="E244" s="128"/>
      <c r="F244" s="133"/>
    </row>
    <row r="245" spans="5:6" ht="12">
      <c r="E245" s="128"/>
      <c r="F245" s="133"/>
    </row>
    <row r="246" spans="5:6" ht="12">
      <c r="E246" s="128"/>
      <c r="F246" s="133"/>
    </row>
    <row r="247" spans="5:6" ht="12">
      <c r="E247" s="128"/>
      <c r="F247" s="133"/>
    </row>
    <row r="248" spans="5:6" ht="12">
      <c r="E248" s="128"/>
      <c r="F248" s="133"/>
    </row>
    <row r="249" spans="5:6" ht="12">
      <c r="E249" s="128"/>
      <c r="F249" s="133"/>
    </row>
    <row r="250" spans="5:6" ht="12">
      <c r="E250" s="128"/>
      <c r="F250" s="133"/>
    </row>
    <row r="251" spans="5:6" ht="12">
      <c r="E251" s="128"/>
      <c r="F251" s="133"/>
    </row>
    <row r="252" spans="5:6" ht="12">
      <c r="E252" s="128"/>
      <c r="F252" s="133"/>
    </row>
    <row r="253" spans="5:6" ht="12">
      <c r="E253" s="128"/>
      <c r="F253" s="133"/>
    </row>
    <row r="254" spans="5:6" ht="12">
      <c r="E254" s="128"/>
      <c r="F254" s="133"/>
    </row>
    <row r="255" spans="5:6" ht="12">
      <c r="E255" s="128"/>
      <c r="F255" s="133"/>
    </row>
    <row r="256" spans="5:6" ht="12">
      <c r="E256" s="128"/>
      <c r="F256" s="133"/>
    </row>
    <row r="257" spans="5:6" ht="12">
      <c r="E257" s="128"/>
      <c r="F257" s="133"/>
    </row>
    <row r="258" spans="5:6" ht="12">
      <c r="E258" s="128"/>
      <c r="F258" s="133"/>
    </row>
    <row r="259" spans="5:6" ht="12">
      <c r="E259" s="128"/>
      <c r="F259" s="133"/>
    </row>
    <row r="260" spans="5:6" ht="12">
      <c r="E260" s="128"/>
      <c r="F260" s="133"/>
    </row>
    <row r="261" spans="5:6" ht="12">
      <c r="E261" s="128"/>
      <c r="F261" s="133"/>
    </row>
    <row r="262" spans="5:6" ht="12">
      <c r="E262" s="128"/>
      <c r="F262" s="133"/>
    </row>
    <row r="263" spans="5:6" ht="12">
      <c r="E263" s="128"/>
      <c r="F263" s="133"/>
    </row>
    <row r="264" spans="5:6" ht="12">
      <c r="E264" s="128"/>
      <c r="F264" s="133"/>
    </row>
    <row r="265" spans="5:6" ht="12">
      <c r="E265" s="128"/>
      <c r="F265" s="133"/>
    </row>
    <row r="266" spans="5:6" ht="12">
      <c r="E266" s="128"/>
      <c r="F266" s="133"/>
    </row>
    <row r="267" spans="5:6" ht="12">
      <c r="E267" s="128"/>
      <c r="F267" s="133"/>
    </row>
    <row r="268" spans="5:6" ht="12">
      <c r="E268" s="128"/>
      <c r="F268" s="133"/>
    </row>
    <row r="269" spans="5:6" ht="12">
      <c r="E269" s="128"/>
      <c r="F269" s="133"/>
    </row>
    <row r="270" spans="5:6" ht="12">
      <c r="E270" s="128"/>
      <c r="F270" s="133"/>
    </row>
    <row r="271" spans="5:6" ht="12">
      <c r="E271" s="128"/>
      <c r="F271" s="133"/>
    </row>
    <row r="272" spans="5:6" ht="12">
      <c r="E272" s="128"/>
      <c r="F272" s="133"/>
    </row>
    <row r="273" spans="5:6" ht="12">
      <c r="E273" s="128"/>
      <c r="F273" s="133"/>
    </row>
    <row r="274" spans="5:6" ht="12">
      <c r="E274" s="128"/>
      <c r="F274" s="133"/>
    </row>
    <row r="275" spans="5:6" ht="12">
      <c r="E275" s="128"/>
      <c r="F275" s="133"/>
    </row>
    <row r="276" spans="5:6" ht="12">
      <c r="E276" s="128"/>
      <c r="F276" s="133"/>
    </row>
    <row r="277" spans="5:6" ht="12">
      <c r="E277" s="128"/>
      <c r="F277" s="133"/>
    </row>
    <row r="278" spans="5:6" ht="12">
      <c r="E278" s="128"/>
      <c r="F278" s="133"/>
    </row>
    <row r="279" spans="5:6" ht="12">
      <c r="E279" s="128"/>
      <c r="F279" s="133"/>
    </row>
    <row r="280" spans="5:6" ht="12">
      <c r="E280" s="128"/>
      <c r="F280" s="133"/>
    </row>
    <row r="281" spans="5:6" ht="12">
      <c r="E281" s="128"/>
      <c r="F281" s="133"/>
    </row>
    <row r="282" spans="5:6" ht="12">
      <c r="E282" s="128"/>
      <c r="F282" s="133"/>
    </row>
    <row r="283" spans="5:6" ht="12">
      <c r="E283" s="128"/>
      <c r="F283" s="133"/>
    </row>
    <row r="284" spans="5:6" ht="12">
      <c r="E284" s="128"/>
      <c r="F284" s="133"/>
    </row>
    <row r="285" spans="5:6" ht="12">
      <c r="E285" s="128"/>
      <c r="F285" s="133"/>
    </row>
    <row r="286" spans="5:6" ht="12">
      <c r="E286" s="128"/>
      <c r="F286" s="133"/>
    </row>
    <row r="287" spans="5:6" ht="12">
      <c r="E287" s="128"/>
      <c r="F287" s="133"/>
    </row>
    <row r="288" spans="5:6" ht="12">
      <c r="E288" s="128"/>
      <c r="F288" s="133"/>
    </row>
    <row r="289" spans="5:6" ht="12">
      <c r="E289" s="128"/>
      <c r="F289" s="133"/>
    </row>
    <row r="290" spans="5:6" ht="12">
      <c r="E290" s="128"/>
      <c r="F290" s="133"/>
    </row>
    <row r="291" spans="5:6" ht="12">
      <c r="E291" s="128"/>
      <c r="F291" s="133"/>
    </row>
    <row r="292" spans="5:6" ht="12">
      <c r="E292" s="128"/>
      <c r="F292" s="133"/>
    </row>
    <row r="293" spans="5:6" ht="12">
      <c r="E293" s="128"/>
      <c r="F293" s="133"/>
    </row>
    <row r="294" spans="5:6" ht="12">
      <c r="E294" s="128"/>
      <c r="F294" s="133"/>
    </row>
    <row r="295" spans="5:6" ht="12">
      <c r="E295" s="128"/>
      <c r="F295" s="133"/>
    </row>
    <row r="296" spans="5:6" ht="12">
      <c r="E296" s="128"/>
      <c r="F296" s="133"/>
    </row>
    <row r="297" spans="5:6" ht="12">
      <c r="E297" s="128"/>
      <c r="F297" s="133"/>
    </row>
    <row r="298" spans="5:6" ht="12">
      <c r="E298" s="128"/>
      <c r="F298" s="133"/>
    </row>
    <row r="299" spans="5:6" ht="12">
      <c r="E299" s="128"/>
      <c r="F299" s="133"/>
    </row>
    <row r="300" spans="5:6" ht="12">
      <c r="E300" s="128"/>
      <c r="F300" s="133"/>
    </row>
    <row r="301" spans="5:6" ht="12">
      <c r="E301" s="128"/>
      <c r="F301" s="133"/>
    </row>
    <row r="302" spans="5:6" ht="12">
      <c r="E302" s="128"/>
      <c r="F302" s="133"/>
    </row>
    <row r="303" spans="5:6" ht="12">
      <c r="E303" s="128"/>
      <c r="F303" s="133"/>
    </row>
    <row r="304" spans="5:6" ht="12">
      <c r="E304" s="128"/>
      <c r="F304" s="133"/>
    </row>
    <row r="305" spans="5:6" ht="12">
      <c r="E305" s="128"/>
      <c r="F305" s="133"/>
    </row>
    <row r="306" spans="5:6" ht="12">
      <c r="E306" s="128"/>
      <c r="F306" s="133"/>
    </row>
    <row r="307" spans="5:6" ht="12">
      <c r="E307" s="128"/>
      <c r="F307" s="133"/>
    </row>
    <row r="308" spans="5:6" ht="12">
      <c r="E308" s="128"/>
      <c r="F308" s="133"/>
    </row>
    <row r="309" spans="5:6" ht="12">
      <c r="E309" s="128"/>
      <c r="F309" s="133"/>
    </row>
    <row r="310" spans="5:6" ht="12">
      <c r="E310" s="128"/>
      <c r="F310" s="133"/>
    </row>
    <row r="311" spans="5:6" ht="12">
      <c r="E311" s="128"/>
      <c r="F311" s="133"/>
    </row>
    <row r="312" spans="5:6" ht="12">
      <c r="E312" s="128"/>
      <c r="F312" s="133"/>
    </row>
    <row r="313" spans="5:6" ht="12">
      <c r="E313" s="128"/>
      <c r="F313" s="133"/>
    </row>
    <row r="314" spans="5:6" ht="12">
      <c r="E314" s="128"/>
      <c r="F314" s="133"/>
    </row>
    <row r="315" spans="5:6" ht="12">
      <c r="E315" s="128"/>
      <c r="F315" s="133"/>
    </row>
    <row r="316" spans="5:6" ht="12">
      <c r="E316" s="128"/>
      <c r="F316" s="133"/>
    </row>
    <row r="317" spans="5:6" ht="12">
      <c r="E317" s="128"/>
      <c r="F317" s="133"/>
    </row>
    <row r="318" spans="5:6" ht="12">
      <c r="E318" s="128"/>
      <c r="F318" s="133"/>
    </row>
    <row r="319" spans="5:6" ht="12">
      <c r="E319" s="128"/>
      <c r="F319" s="133"/>
    </row>
    <row r="320" spans="5:6" ht="12">
      <c r="E320" s="128"/>
      <c r="F320" s="133"/>
    </row>
    <row r="321" spans="5:6" ht="12">
      <c r="E321" s="128"/>
      <c r="F321" s="133"/>
    </row>
    <row r="322" spans="5:6" ht="12">
      <c r="E322" s="128"/>
      <c r="F322" s="133"/>
    </row>
    <row r="323" spans="5:6" ht="12">
      <c r="E323" s="128"/>
      <c r="F323" s="133"/>
    </row>
    <row r="324" spans="5:6" ht="12">
      <c r="E324" s="128"/>
      <c r="F324" s="133"/>
    </row>
    <row r="325" spans="5:6" ht="12">
      <c r="E325" s="128"/>
      <c r="F325" s="133"/>
    </row>
    <row r="326" spans="5:6" ht="12">
      <c r="E326" s="128"/>
      <c r="F326" s="133"/>
    </row>
    <row r="327" spans="5:6" ht="12">
      <c r="E327" s="128"/>
      <c r="F327" s="133"/>
    </row>
    <row r="328" spans="5:6" ht="12">
      <c r="E328" s="128"/>
      <c r="F328" s="133"/>
    </row>
    <row r="329" spans="5:6" ht="12">
      <c r="E329" s="128"/>
      <c r="F329" s="133"/>
    </row>
    <row r="330" spans="5:6" ht="12">
      <c r="E330" s="128"/>
      <c r="F330" s="133"/>
    </row>
    <row r="331" spans="5:6" ht="12">
      <c r="E331" s="128"/>
      <c r="F331" s="133"/>
    </row>
    <row r="332" spans="5:6" ht="12">
      <c r="E332" s="128"/>
      <c r="F332" s="133"/>
    </row>
    <row r="333" spans="5:6" ht="12">
      <c r="E333" s="128"/>
      <c r="F333" s="133"/>
    </row>
    <row r="334" spans="5:6" ht="12">
      <c r="E334" s="128"/>
      <c r="F334" s="133"/>
    </row>
    <row r="335" spans="5:6" ht="12">
      <c r="E335" s="128"/>
      <c r="F335" s="133"/>
    </row>
    <row r="336" spans="5:6" ht="12">
      <c r="E336" s="128"/>
      <c r="F336" s="133"/>
    </row>
    <row r="337" spans="5:6" ht="12">
      <c r="E337" s="128"/>
      <c r="F337" s="133"/>
    </row>
    <row r="338" spans="5:6" ht="12">
      <c r="E338" s="128"/>
      <c r="F338" s="133"/>
    </row>
    <row r="339" spans="5:6" ht="12">
      <c r="E339" s="128"/>
      <c r="F339" s="133"/>
    </row>
    <row r="340" spans="5:6" ht="12">
      <c r="E340" s="128"/>
      <c r="F340" s="133"/>
    </row>
    <row r="341" spans="5:6" ht="12">
      <c r="E341" s="128"/>
      <c r="F341" s="133"/>
    </row>
    <row r="342" spans="5:6" ht="12">
      <c r="E342" s="128"/>
      <c r="F342" s="133"/>
    </row>
    <row r="343" spans="5:6" ht="12">
      <c r="E343" s="128"/>
      <c r="F343" s="133"/>
    </row>
    <row r="344" spans="5:6" ht="12">
      <c r="E344" s="128"/>
      <c r="F344" s="133"/>
    </row>
    <row r="345" spans="5:6" ht="12">
      <c r="E345" s="128"/>
      <c r="F345" s="133"/>
    </row>
    <row r="346" spans="5:6" ht="12">
      <c r="E346" s="128"/>
      <c r="F346" s="133"/>
    </row>
    <row r="347" spans="5:6" ht="12">
      <c r="E347" s="128"/>
      <c r="F347" s="133"/>
    </row>
    <row r="348" spans="5:6" ht="12">
      <c r="E348" s="128"/>
      <c r="F348" s="133"/>
    </row>
    <row r="349" spans="5:6" ht="12">
      <c r="E349" s="128"/>
      <c r="F349" s="133"/>
    </row>
    <row r="350" spans="5:6" ht="12">
      <c r="E350" s="128"/>
      <c r="F350" s="133"/>
    </row>
    <row r="351" spans="5:6" ht="12">
      <c r="E351" s="128"/>
      <c r="F351" s="133"/>
    </row>
    <row r="352" spans="5:6" ht="12">
      <c r="E352" s="128"/>
      <c r="F352" s="133"/>
    </row>
    <row r="353" spans="5:6" ht="12">
      <c r="E353" s="128"/>
      <c r="F353" s="133"/>
    </row>
    <row r="354" spans="5:6" ht="12">
      <c r="E354" s="128"/>
      <c r="F354" s="133"/>
    </row>
    <row r="355" spans="5:6" ht="12">
      <c r="E355" s="128"/>
      <c r="F355" s="133"/>
    </row>
    <row r="356" spans="5:6" ht="12">
      <c r="E356" s="128"/>
      <c r="F356" s="133"/>
    </row>
    <row r="357" spans="5:6" ht="12">
      <c r="E357" s="128"/>
      <c r="F357" s="133"/>
    </row>
    <row r="358" spans="5:6" ht="12">
      <c r="E358" s="128"/>
      <c r="F358" s="133"/>
    </row>
    <row r="359" spans="5:6" ht="12">
      <c r="E359" s="128"/>
      <c r="F359" s="133"/>
    </row>
    <row r="360" spans="5:6" ht="12">
      <c r="E360" s="128"/>
      <c r="F360" s="133"/>
    </row>
    <row r="361" spans="5:6" ht="12">
      <c r="E361" s="128"/>
      <c r="F361" s="133"/>
    </row>
    <row r="362" spans="5:6" ht="12">
      <c r="E362" s="128"/>
      <c r="F362" s="133"/>
    </row>
    <row r="363" spans="5:6" ht="12">
      <c r="E363" s="128"/>
      <c r="F363" s="133"/>
    </row>
    <row r="364" spans="5:6" ht="12">
      <c r="E364" s="128"/>
      <c r="F364" s="133"/>
    </row>
    <row r="365" spans="5:6" ht="12">
      <c r="E365" s="128"/>
      <c r="F365" s="133"/>
    </row>
    <row r="366" spans="5:6" ht="12">
      <c r="E366" s="128"/>
      <c r="F366" s="133"/>
    </row>
    <row r="367" spans="5:6" ht="12">
      <c r="E367" s="128"/>
      <c r="F367" s="133"/>
    </row>
    <row r="368" spans="5:6" ht="12">
      <c r="E368" s="128"/>
      <c r="F368" s="133"/>
    </row>
    <row r="369" spans="5:6" ht="12">
      <c r="E369" s="128"/>
      <c r="F369" s="133"/>
    </row>
    <row r="370" spans="5:6" ht="12">
      <c r="E370" s="128"/>
      <c r="F370" s="133"/>
    </row>
    <row r="371" spans="5:6" ht="12">
      <c r="E371" s="128"/>
      <c r="F371" s="133"/>
    </row>
    <row r="372" spans="5:6" ht="12">
      <c r="E372" s="128"/>
      <c r="F372" s="133"/>
    </row>
    <row r="373" spans="5:6" ht="12">
      <c r="E373" s="128"/>
      <c r="F373" s="133"/>
    </row>
    <row r="374" spans="5:6" ht="12">
      <c r="E374" s="128"/>
      <c r="F374" s="133"/>
    </row>
    <row r="375" spans="5:6" ht="12">
      <c r="E375" s="128"/>
      <c r="F375" s="133"/>
    </row>
    <row r="376" spans="5:6" ht="12">
      <c r="E376" s="128"/>
      <c r="F376" s="133"/>
    </row>
    <row r="377" spans="5:6" ht="12">
      <c r="E377" s="128"/>
      <c r="F377" s="133"/>
    </row>
    <row r="378" spans="5:6" ht="12">
      <c r="E378" s="128"/>
      <c r="F378" s="133"/>
    </row>
    <row r="379" spans="5:6" ht="12">
      <c r="E379" s="128"/>
      <c r="F379" s="133"/>
    </row>
    <row r="380" spans="5:6" ht="12">
      <c r="E380" s="128"/>
      <c r="F380" s="133"/>
    </row>
    <row r="381" spans="5:6" ht="12">
      <c r="E381" s="128"/>
      <c r="F381" s="133"/>
    </row>
    <row r="382" spans="5:6" ht="12">
      <c r="E382" s="128"/>
      <c r="F382" s="133"/>
    </row>
    <row r="383" spans="5:6" ht="12">
      <c r="E383" s="128"/>
      <c r="F383" s="133"/>
    </row>
    <row r="384" spans="5:6" ht="12">
      <c r="E384" s="128"/>
      <c r="F384" s="133"/>
    </row>
    <row r="385" spans="5:6" ht="12">
      <c r="E385" s="128"/>
      <c r="F385" s="133"/>
    </row>
    <row r="386" spans="5:6" ht="12">
      <c r="E386" s="128"/>
      <c r="F386" s="133"/>
    </row>
    <row r="387" spans="5:6" ht="12">
      <c r="E387" s="128"/>
      <c r="F387" s="133"/>
    </row>
    <row r="388" spans="5:6" ht="12">
      <c r="E388" s="128"/>
      <c r="F388" s="133"/>
    </row>
    <row r="389" spans="5:6" ht="12">
      <c r="E389" s="128"/>
      <c r="F389" s="133"/>
    </row>
    <row r="390" spans="5:6" ht="12">
      <c r="E390" s="128"/>
      <c r="F390" s="133"/>
    </row>
    <row r="391" spans="5:6" ht="12">
      <c r="E391" s="128"/>
      <c r="F391" s="133"/>
    </row>
    <row r="392" spans="5:6" ht="12">
      <c r="E392" s="128"/>
      <c r="F392" s="133"/>
    </row>
    <row r="393" spans="5:6" ht="12">
      <c r="E393" s="128"/>
      <c r="F393" s="133"/>
    </row>
    <row r="394" spans="5:6" ht="12">
      <c r="E394" s="128"/>
      <c r="F394" s="133"/>
    </row>
    <row r="395" spans="5:6" ht="12">
      <c r="E395" s="128"/>
      <c r="F395" s="133"/>
    </row>
    <row r="396" spans="5:6" ht="12">
      <c r="E396" s="128"/>
      <c r="F396" s="133"/>
    </row>
    <row r="397" spans="5:6" ht="12">
      <c r="E397" s="128"/>
      <c r="F397" s="133"/>
    </row>
    <row r="398" spans="5:6" ht="12">
      <c r="E398" s="128"/>
      <c r="F398" s="133"/>
    </row>
    <row r="399" spans="5:6" ht="12">
      <c r="E399" s="128"/>
      <c r="F399" s="133"/>
    </row>
    <row r="400" spans="5:6" ht="12">
      <c r="E400" s="128"/>
      <c r="F400" s="133"/>
    </row>
    <row r="401" spans="5:6" ht="12">
      <c r="E401" s="128"/>
      <c r="F401" s="133"/>
    </row>
    <row r="402" spans="5:6" ht="12">
      <c r="E402" s="128"/>
      <c r="F402" s="133"/>
    </row>
    <row r="403" spans="5:6" ht="12">
      <c r="E403" s="128"/>
      <c r="F403" s="133"/>
    </row>
    <row r="404" spans="5:6" ht="12">
      <c r="E404" s="128"/>
      <c r="F404" s="133"/>
    </row>
    <row r="405" spans="5:6" ht="12">
      <c r="E405" s="128"/>
      <c r="F405" s="133"/>
    </row>
    <row r="406" spans="5:6" ht="12">
      <c r="E406" s="128"/>
      <c r="F406" s="133"/>
    </row>
    <row r="407" spans="5:6" ht="12">
      <c r="E407" s="128"/>
      <c r="F407" s="133"/>
    </row>
    <row r="408" spans="5:6" ht="12">
      <c r="E408" s="128"/>
      <c r="F408" s="133"/>
    </row>
    <row r="409" spans="5:6" ht="12">
      <c r="E409" s="128"/>
      <c r="F409" s="133"/>
    </row>
    <row r="410" spans="5:6" ht="12">
      <c r="E410" s="128"/>
      <c r="F410" s="133"/>
    </row>
    <row r="411" spans="5:6" ht="12">
      <c r="E411" s="128"/>
      <c r="F411" s="133"/>
    </row>
    <row r="412" spans="5:6" ht="12">
      <c r="E412" s="128"/>
      <c r="F412" s="133"/>
    </row>
    <row r="413" spans="5:6" ht="12">
      <c r="E413" s="128"/>
      <c r="F413" s="133"/>
    </row>
    <row r="414" spans="5:6" ht="12">
      <c r="E414" s="128"/>
      <c r="F414" s="133"/>
    </row>
    <row r="415" spans="5:6" ht="12">
      <c r="E415" s="128"/>
      <c r="F415" s="133"/>
    </row>
    <row r="416" spans="5:6" ht="12">
      <c r="E416" s="128"/>
      <c r="F416" s="133"/>
    </row>
    <row r="417" spans="5:6" ht="12">
      <c r="E417" s="128"/>
      <c r="F417" s="133"/>
    </row>
    <row r="418" spans="5:6" ht="12">
      <c r="E418" s="128"/>
      <c r="F418" s="133"/>
    </row>
    <row r="419" spans="5:6" ht="12">
      <c r="E419" s="128"/>
      <c r="F419" s="133"/>
    </row>
    <row r="420" spans="5:6" ht="12">
      <c r="E420" s="128"/>
      <c r="F420" s="133"/>
    </row>
    <row r="421" spans="5:6" ht="12">
      <c r="E421" s="128"/>
      <c r="F421" s="133"/>
    </row>
    <row r="422" spans="5:6" ht="12">
      <c r="E422" s="128"/>
      <c r="F422" s="133"/>
    </row>
    <row r="423" spans="5:6" ht="12">
      <c r="E423" s="128"/>
      <c r="F423" s="133"/>
    </row>
    <row r="424" spans="5:6" ht="12">
      <c r="E424" s="128"/>
      <c r="F424" s="133"/>
    </row>
    <row r="425" spans="5:6" ht="12">
      <c r="E425" s="128"/>
      <c r="F425" s="133"/>
    </row>
    <row r="426" spans="5:6" ht="12">
      <c r="E426" s="128"/>
      <c r="F426" s="133"/>
    </row>
    <row r="427" spans="5:6" ht="12">
      <c r="E427" s="128"/>
      <c r="F427" s="133"/>
    </row>
    <row r="428" spans="5:6" ht="12">
      <c r="E428" s="128"/>
      <c r="F428" s="133"/>
    </row>
    <row r="429" spans="5:6" ht="12">
      <c r="E429" s="128"/>
      <c r="F429" s="133"/>
    </row>
    <row r="430" spans="5:6" ht="12">
      <c r="E430" s="128"/>
      <c r="F430" s="133"/>
    </row>
    <row r="431" spans="5:6" ht="12">
      <c r="E431" s="128"/>
      <c r="F431" s="133"/>
    </row>
    <row r="432" spans="5:6" ht="12">
      <c r="E432" s="128"/>
      <c r="F432" s="133"/>
    </row>
    <row r="433" spans="5:6" ht="12">
      <c r="E433" s="128"/>
      <c r="F433" s="133"/>
    </row>
    <row r="434" spans="5:6" ht="12">
      <c r="E434" s="128"/>
      <c r="F434" s="133"/>
    </row>
    <row r="435" spans="5:6" ht="12">
      <c r="E435" s="128"/>
      <c r="F435" s="133"/>
    </row>
    <row r="436" spans="5:6" ht="12">
      <c r="E436" s="128"/>
      <c r="F436" s="133"/>
    </row>
    <row r="437" spans="5:6" ht="12">
      <c r="E437" s="128"/>
      <c r="F437" s="133"/>
    </row>
    <row r="438" spans="5:6" ht="12">
      <c r="E438" s="128"/>
      <c r="F438" s="133"/>
    </row>
    <row r="439" spans="5:6" ht="12">
      <c r="E439" s="128"/>
      <c r="F439" s="133"/>
    </row>
    <row r="440" spans="5:6" ht="12">
      <c r="E440" s="128"/>
      <c r="F440" s="133"/>
    </row>
    <row r="441" spans="5:6" ht="12">
      <c r="E441" s="128"/>
      <c r="F441" s="133"/>
    </row>
    <row r="442" spans="5:6" ht="12">
      <c r="E442" s="128"/>
      <c r="F442" s="133"/>
    </row>
    <row r="443" spans="5:6" ht="12">
      <c r="E443" s="128"/>
      <c r="F443" s="133"/>
    </row>
    <row r="444" spans="5:6" ht="12">
      <c r="E444" s="128"/>
      <c r="F444" s="133"/>
    </row>
    <row r="445" spans="5:6" ht="12">
      <c r="E445" s="128"/>
      <c r="F445" s="133"/>
    </row>
    <row r="446" spans="5:6" ht="12">
      <c r="E446" s="128"/>
      <c r="F446" s="133"/>
    </row>
    <row r="447" spans="5:6" ht="12">
      <c r="E447" s="128"/>
      <c r="F447" s="133"/>
    </row>
    <row r="448" spans="5:6" ht="12">
      <c r="E448" s="128"/>
      <c r="F448" s="133"/>
    </row>
    <row r="449" spans="5:6" ht="12">
      <c r="E449" s="128"/>
      <c r="F449" s="133"/>
    </row>
    <row r="450" spans="5:6" ht="12">
      <c r="E450" s="128"/>
      <c r="F450" s="133"/>
    </row>
    <row r="451" spans="5:6" ht="12">
      <c r="E451" s="128"/>
      <c r="F451" s="133"/>
    </row>
    <row r="452" spans="5:6" ht="12">
      <c r="E452" s="128"/>
      <c r="F452" s="133"/>
    </row>
    <row r="453" spans="5:6" ht="12">
      <c r="E453" s="128"/>
      <c r="F453" s="133"/>
    </row>
    <row r="454" spans="5:6" ht="12">
      <c r="E454" s="128"/>
      <c r="F454" s="133"/>
    </row>
    <row r="455" spans="5:6" ht="12">
      <c r="E455" s="128"/>
      <c r="F455" s="133"/>
    </row>
    <row r="456" spans="5:6" ht="12">
      <c r="E456" s="128"/>
      <c r="F456" s="133"/>
    </row>
    <row r="457" spans="5:6" ht="12">
      <c r="E457" s="128"/>
      <c r="F457" s="133"/>
    </row>
    <row r="458" spans="5:6" ht="12">
      <c r="E458" s="128"/>
      <c r="F458" s="133"/>
    </row>
    <row r="459" spans="5:6" ht="12">
      <c r="E459" s="128"/>
      <c r="F459" s="133"/>
    </row>
    <row r="460" spans="5:6" ht="12">
      <c r="E460" s="128"/>
      <c r="F460" s="133"/>
    </row>
    <row r="461" spans="5:6" ht="12">
      <c r="E461" s="128"/>
      <c r="F461" s="133"/>
    </row>
    <row r="462" spans="5:6" ht="12">
      <c r="E462" s="128"/>
      <c r="F462" s="133"/>
    </row>
    <row r="463" spans="5:6" ht="12">
      <c r="E463" s="128"/>
      <c r="F463" s="133"/>
    </row>
    <row r="464" spans="5:6" ht="12">
      <c r="E464" s="128"/>
      <c r="F464" s="133"/>
    </row>
    <row r="465" spans="5:6" ht="12">
      <c r="E465" s="128"/>
      <c r="F465" s="133"/>
    </row>
    <row r="466" spans="5:6" ht="12">
      <c r="E466" s="128"/>
      <c r="F466" s="133"/>
    </row>
    <row r="467" spans="5:6" ht="12">
      <c r="E467" s="128"/>
      <c r="F467" s="133"/>
    </row>
    <row r="468" spans="5:6" ht="12">
      <c r="E468" s="128"/>
      <c r="F468" s="133"/>
    </row>
    <row r="469" spans="5:6" ht="12">
      <c r="E469" s="128"/>
      <c r="F469" s="133"/>
    </row>
    <row r="470" spans="5:6" ht="12">
      <c r="E470" s="128"/>
      <c r="F470" s="133"/>
    </row>
    <row r="471" spans="5:6" ht="12">
      <c r="E471" s="128"/>
      <c r="F471" s="133"/>
    </row>
    <row r="472" spans="5:6" ht="12">
      <c r="E472" s="128"/>
      <c r="F472" s="133"/>
    </row>
    <row r="473" spans="5:6" ht="12">
      <c r="E473" s="128"/>
      <c r="F473" s="133"/>
    </row>
    <row r="474" spans="5:6" ht="12">
      <c r="E474" s="128"/>
      <c r="F474" s="133"/>
    </row>
    <row r="475" spans="5:6" ht="12">
      <c r="E475" s="128"/>
      <c r="F475" s="133"/>
    </row>
    <row r="476" spans="5:6" ht="12">
      <c r="E476" s="128"/>
      <c r="F476" s="133"/>
    </row>
    <row r="477" spans="5:6" ht="12">
      <c r="E477" s="128"/>
      <c r="F477" s="133"/>
    </row>
    <row r="478" spans="5:6" ht="12">
      <c r="E478" s="128"/>
      <c r="F478" s="133"/>
    </row>
    <row r="479" spans="5:6" ht="12">
      <c r="E479" s="128"/>
      <c r="F479" s="133"/>
    </row>
    <row r="480" spans="5:6" ht="12">
      <c r="E480" s="128"/>
      <c r="F480" s="133"/>
    </row>
    <row r="481" spans="5:6" ht="12">
      <c r="E481" s="128"/>
      <c r="F481" s="133"/>
    </row>
    <row r="482" spans="5:6" ht="12">
      <c r="E482" s="128"/>
      <c r="F482" s="133"/>
    </row>
    <row r="483" spans="5:6" ht="12">
      <c r="E483" s="128"/>
      <c r="F483" s="133"/>
    </row>
    <row r="484" spans="5:6" ht="12">
      <c r="E484" s="128"/>
      <c r="F484" s="133"/>
    </row>
    <row r="485" spans="5:6" ht="12">
      <c r="E485" s="128"/>
      <c r="F485" s="133"/>
    </row>
    <row r="486" spans="5:6" ht="12">
      <c r="E486" s="128"/>
      <c r="F486" s="133"/>
    </row>
    <row r="487" spans="5:6" ht="12">
      <c r="E487" s="128"/>
      <c r="F487" s="133"/>
    </row>
    <row r="488" spans="5:6" ht="12">
      <c r="E488" s="128"/>
      <c r="F488" s="133"/>
    </row>
    <row r="489" spans="5:6" ht="12">
      <c r="E489" s="128"/>
      <c r="F489" s="133"/>
    </row>
    <row r="490" spans="5:6" ht="12">
      <c r="E490" s="128"/>
      <c r="F490" s="133"/>
    </row>
    <row r="491" spans="5:6" ht="12">
      <c r="E491" s="128"/>
      <c r="F491" s="133"/>
    </row>
    <row r="492" spans="5:6" ht="12">
      <c r="E492" s="128"/>
      <c r="F492" s="133"/>
    </row>
    <row r="493" spans="5:6" ht="12">
      <c r="E493" s="128"/>
      <c r="F493" s="133"/>
    </row>
    <row r="494" spans="5:6" ht="12">
      <c r="E494" s="128"/>
      <c r="F494" s="133"/>
    </row>
    <row r="495" spans="5:6" ht="12">
      <c r="E495" s="128"/>
      <c r="F495" s="133"/>
    </row>
    <row r="496" spans="5:6" ht="12">
      <c r="E496" s="128"/>
      <c r="F496" s="133"/>
    </row>
    <row r="497" spans="5:6" ht="12">
      <c r="E497" s="128"/>
      <c r="F497" s="133"/>
    </row>
    <row r="498" spans="5:6" ht="12">
      <c r="E498" s="128"/>
      <c r="F498" s="133"/>
    </row>
    <row r="499" spans="5:6" ht="12">
      <c r="E499" s="128"/>
      <c r="F499" s="133"/>
    </row>
    <row r="500" spans="5:6" ht="12">
      <c r="E500" s="128"/>
      <c r="F500" s="133"/>
    </row>
    <row r="501" spans="5:6" ht="12">
      <c r="E501" s="128"/>
      <c r="F501" s="133"/>
    </row>
    <row r="502" spans="5:6" ht="12">
      <c r="E502" s="128"/>
      <c r="F502" s="133"/>
    </row>
    <row r="503" spans="5:6" ht="12">
      <c r="E503" s="128"/>
      <c r="F503" s="133"/>
    </row>
    <row r="504" spans="5:6" ht="12">
      <c r="E504" s="128"/>
      <c r="F504" s="133"/>
    </row>
    <row r="505" spans="5:6" ht="12">
      <c r="E505" s="128"/>
      <c r="F505" s="133"/>
    </row>
    <row r="506" spans="5:6" ht="12">
      <c r="E506" s="128"/>
      <c r="F506" s="133"/>
    </row>
    <row r="507" spans="5:6" ht="12">
      <c r="E507" s="128"/>
      <c r="F507" s="133"/>
    </row>
    <row r="508" spans="5:6" ht="12">
      <c r="E508" s="128"/>
      <c r="F508" s="133"/>
    </row>
    <row r="509" spans="5:6" ht="12">
      <c r="E509" s="128"/>
      <c r="F509" s="133"/>
    </row>
    <row r="510" spans="5:6" ht="12">
      <c r="E510" s="128"/>
      <c r="F510" s="133"/>
    </row>
    <row r="511" spans="5:6" ht="12">
      <c r="E511" s="128"/>
      <c r="F511" s="133"/>
    </row>
    <row r="512" spans="5:6" ht="12">
      <c r="E512" s="128"/>
      <c r="F512" s="133"/>
    </row>
    <row r="513" spans="5:6" ht="12">
      <c r="E513" s="128"/>
      <c r="F513" s="133"/>
    </row>
    <row r="514" spans="5:6" ht="12">
      <c r="E514" s="128"/>
      <c r="F514" s="133"/>
    </row>
    <row r="515" spans="5:6" ht="12">
      <c r="E515" s="128"/>
      <c r="F515" s="133"/>
    </row>
    <row r="516" spans="5:6" ht="12">
      <c r="E516" s="128"/>
      <c r="F516" s="133"/>
    </row>
    <row r="517" spans="5:6" ht="12">
      <c r="E517" s="128"/>
      <c r="F517" s="133"/>
    </row>
    <row r="518" spans="5:6" ht="12">
      <c r="E518" s="128"/>
      <c r="F518" s="133"/>
    </row>
    <row r="519" spans="5:6" ht="12">
      <c r="E519" s="128"/>
      <c r="F519" s="133"/>
    </row>
    <row r="520" spans="5:6" ht="12">
      <c r="E520" s="128"/>
      <c r="F520" s="133"/>
    </row>
    <row r="521" spans="5:6" ht="12">
      <c r="E521" s="128"/>
      <c r="F521" s="133"/>
    </row>
    <row r="522" spans="5:6" ht="12">
      <c r="E522" s="128"/>
      <c r="F522" s="133"/>
    </row>
    <row r="523" spans="5:6" ht="12">
      <c r="E523" s="128"/>
      <c r="F523" s="133"/>
    </row>
    <row r="524" spans="5:6" ht="12">
      <c r="E524" s="128"/>
      <c r="F524" s="133"/>
    </row>
    <row r="525" spans="5:6" ht="12">
      <c r="E525" s="128"/>
      <c r="F525" s="133"/>
    </row>
    <row r="526" spans="5:6" ht="12">
      <c r="E526" s="128"/>
      <c r="F526" s="133"/>
    </row>
    <row r="527" spans="5:6" ht="12">
      <c r="E527" s="128"/>
      <c r="F527" s="133"/>
    </row>
    <row r="528" spans="5:6" ht="12">
      <c r="E528" s="128"/>
      <c r="F528" s="133"/>
    </row>
    <row r="529" spans="5:6" ht="12">
      <c r="E529" s="128"/>
      <c r="F529" s="133"/>
    </row>
    <row r="530" spans="5:6" ht="12">
      <c r="E530" s="128"/>
      <c r="F530" s="133"/>
    </row>
    <row r="531" spans="5:6" ht="12">
      <c r="E531" s="128"/>
      <c r="F531" s="133"/>
    </row>
    <row r="532" spans="5:6" ht="12">
      <c r="E532" s="128"/>
      <c r="F532" s="133"/>
    </row>
    <row r="533" spans="5:6" ht="12">
      <c r="E533" s="128"/>
      <c r="F533" s="133"/>
    </row>
    <row r="534" spans="5:6" ht="12">
      <c r="E534" s="128"/>
      <c r="F534" s="133"/>
    </row>
    <row r="535" spans="5:6" ht="12">
      <c r="E535" s="128"/>
      <c r="F535" s="133"/>
    </row>
    <row r="536" spans="5:6" ht="12">
      <c r="E536" s="128"/>
      <c r="F536" s="133"/>
    </row>
    <row r="537" spans="5:6" ht="12">
      <c r="E537" s="128"/>
      <c r="F537" s="133"/>
    </row>
    <row r="538" spans="5:6" ht="12">
      <c r="E538" s="128"/>
      <c r="F538" s="133"/>
    </row>
    <row r="539" spans="5:6" ht="12">
      <c r="E539" s="128"/>
      <c r="F539" s="133"/>
    </row>
    <row r="540" spans="5:6" ht="12">
      <c r="E540" s="128"/>
      <c r="F540" s="133"/>
    </row>
    <row r="541" spans="5:6" ht="12">
      <c r="E541" s="128"/>
      <c r="F541" s="133"/>
    </row>
    <row r="542" spans="5:6" ht="12">
      <c r="E542" s="128"/>
      <c r="F542" s="133"/>
    </row>
    <row r="543" spans="5:6" ht="12">
      <c r="E543" s="128"/>
      <c r="F543" s="133"/>
    </row>
    <row r="544" spans="5:6" ht="12">
      <c r="E544" s="128"/>
      <c r="F544" s="133"/>
    </row>
    <row r="545" spans="5:6" ht="12">
      <c r="E545" s="128"/>
      <c r="F545" s="133"/>
    </row>
    <row r="546" spans="5:6" ht="12">
      <c r="E546" s="128"/>
      <c r="F546" s="133"/>
    </row>
    <row r="547" spans="5:6" ht="12">
      <c r="E547" s="128"/>
      <c r="F547" s="133"/>
    </row>
    <row r="548" spans="5:6" ht="12">
      <c r="E548" s="128"/>
      <c r="F548" s="133"/>
    </row>
    <row r="549" spans="5:6" ht="12">
      <c r="E549" s="128"/>
      <c r="F549" s="133"/>
    </row>
    <row r="550" spans="5:6" ht="12">
      <c r="E550" s="128"/>
      <c r="F550" s="133"/>
    </row>
    <row r="551" spans="5:6" ht="12">
      <c r="E551" s="128"/>
      <c r="F551" s="133"/>
    </row>
    <row r="552" spans="5:6" ht="12">
      <c r="E552" s="128"/>
      <c r="F552" s="133"/>
    </row>
    <row r="553" spans="5:6" ht="12">
      <c r="E553" s="128"/>
      <c r="F553" s="133"/>
    </row>
    <row r="554" spans="5:6" ht="12">
      <c r="E554" s="128"/>
      <c r="F554" s="133"/>
    </row>
    <row r="555" spans="5:6" ht="12">
      <c r="E555" s="128"/>
      <c r="F555" s="133"/>
    </row>
    <row r="556" spans="5:6" ht="12">
      <c r="E556" s="128"/>
      <c r="F556" s="133"/>
    </row>
    <row r="557" spans="5:6" ht="12">
      <c r="E557" s="128"/>
      <c r="F557" s="133"/>
    </row>
    <row r="558" spans="5:6" ht="12">
      <c r="E558" s="128"/>
      <c r="F558" s="133"/>
    </row>
    <row r="559" spans="5:6" ht="12">
      <c r="E559" s="128"/>
      <c r="F559" s="133"/>
    </row>
    <row r="560" spans="5:6" ht="12">
      <c r="E560" s="128"/>
      <c r="F560" s="133"/>
    </row>
    <row r="561" spans="5:6" ht="12">
      <c r="E561" s="128"/>
      <c r="F561" s="133"/>
    </row>
    <row r="562" spans="5:6" ht="12">
      <c r="E562" s="128"/>
      <c r="F562" s="133"/>
    </row>
    <row r="563" spans="5:6" ht="12">
      <c r="E563" s="128"/>
      <c r="F563" s="133"/>
    </row>
    <row r="564" spans="5:6" ht="12">
      <c r="E564" s="128"/>
      <c r="F564" s="133"/>
    </row>
    <row r="565" spans="5:6" ht="12">
      <c r="E565" s="128"/>
      <c r="F565" s="133"/>
    </row>
    <row r="566" spans="5:6" ht="12">
      <c r="E566" s="128"/>
      <c r="F566" s="133"/>
    </row>
    <row r="567" spans="5:6" ht="12">
      <c r="E567" s="128"/>
      <c r="F567" s="133"/>
    </row>
    <row r="568" spans="5:6" ht="12">
      <c r="E568" s="128"/>
      <c r="F568" s="133"/>
    </row>
    <row r="569" spans="5:6" ht="12">
      <c r="E569" s="128"/>
      <c r="F569" s="133"/>
    </row>
    <row r="570" spans="5:6" ht="12">
      <c r="E570" s="128"/>
      <c r="F570" s="133"/>
    </row>
    <row r="571" spans="5:6" ht="12">
      <c r="E571" s="128"/>
      <c r="F571" s="133"/>
    </row>
    <row r="572" spans="5:6" ht="12">
      <c r="E572" s="128"/>
      <c r="F572" s="133"/>
    </row>
    <row r="573" spans="5:6" ht="12">
      <c r="E573" s="128"/>
      <c r="F573" s="133"/>
    </row>
  </sheetData>
  <sheetProtection/>
  <printOptions/>
  <pageMargins left="0.7" right="0.7" top="0.75" bottom="0.75" header="0.3" footer="0.3"/>
  <pageSetup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6"/>
  <sheetViews>
    <sheetView zoomScale="125" zoomScaleNormal="125" workbookViewId="0" topLeftCell="A1">
      <pane ySplit="3" topLeftCell="BM197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6.28125" style="93" customWidth="1"/>
    <col min="2" max="2" width="17.421875" style="108" customWidth="1"/>
    <col min="3" max="3" width="15.421875" style="107" bestFit="1" customWidth="1"/>
    <col min="4" max="4" width="9.140625" style="97" customWidth="1"/>
    <col min="5" max="7" width="9.140625" style="110" customWidth="1"/>
    <col min="8" max="8" width="11.421875" style="109" customWidth="1"/>
    <col min="9" max="9" width="9.140625" style="110" customWidth="1"/>
    <col min="10" max="11" width="11.421875" style="86" customWidth="1"/>
  </cols>
  <sheetData>
    <row r="1" spans="1:11" ht="12.75">
      <c r="A1" s="14" t="s">
        <v>56</v>
      </c>
      <c r="B1" s="95"/>
      <c r="C1" s="96"/>
      <c r="E1" s="99"/>
      <c r="F1" s="99"/>
      <c r="G1" s="99" t="s">
        <v>784</v>
      </c>
      <c r="H1" s="171" t="s">
        <v>784</v>
      </c>
      <c r="I1" s="99"/>
      <c r="J1" s="100"/>
      <c r="K1" s="97"/>
    </row>
    <row r="2" spans="1:11" ht="15.75">
      <c r="A2" s="14" t="s">
        <v>524</v>
      </c>
      <c r="B2" s="84" t="s">
        <v>1644</v>
      </c>
      <c r="C2" s="112" t="s">
        <v>1540</v>
      </c>
      <c r="D2" s="78" t="s">
        <v>970</v>
      </c>
      <c r="E2" s="79" t="s">
        <v>970</v>
      </c>
      <c r="F2" s="79" t="s">
        <v>324</v>
      </c>
      <c r="G2" s="79" t="s">
        <v>325</v>
      </c>
      <c r="H2" s="80" t="s">
        <v>326</v>
      </c>
      <c r="I2" s="79" t="s">
        <v>327</v>
      </c>
      <c r="J2" s="58" t="s">
        <v>971</v>
      </c>
      <c r="K2" s="79" t="s">
        <v>328</v>
      </c>
    </row>
    <row r="3" spans="2:11" ht="14.25">
      <c r="B3" s="95"/>
      <c r="C3" s="96"/>
      <c r="D3" s="97" t="s">
        <v>968</v>
      </c>
      <c r="E3" s="99" t="s">
        <v>271</v>
      </c>
      <c r="F3" s="99" t="s">
        <v>969</v>
      </c>
      <c r="G3" s="99" t="s">
        <v>969</v>
      </c>
      <c r="H3" s="98" t="s">
        <v>969</v>
      </c>
      <c r="I3" s="99" t="s">
        <v>969</v>
      </c>
      <c r="J3" s="100" t="s">
        <v>969</v>
      </c>
      <c r="K3" s="99" t="s">
        <v>783</v>
      </c>
    </row>
    <row r="4" spans="1:11" ht="12.75">
      <c r="A4" s="14" t="s">
        <v>960</v>
      </c>
      <c r="B4" s="95"/>
      <c r="C4" s="96"/>
      <c r="E4" s="99"/>
      <c r="F4" s="99"/>
      <c r="G4" s="99"/>
      <c r="H4" s="98"/>
      <c r="I4" s="99"/>
      <c r="J4" s="100"/>
      <c r="K4" s="97"/>
    </row>
    <row r="5" spans="1:11" ht="12.75">
      <c r="A5" s="93" t="s">
        <v>1671</v>
      </c>
      <c r="B5" s="95">
        <v>37238</v>
      </c>
      <c r="C5" s="96">
        <v>0.6840277777777778</v>
      </c>
      <c r="D5" s="97">
        <v>315</v>
      </c>
      <c r="E5" s="99">
        <v>8.91980775</v>
      </c>
      <c r="F5" s="99">
        <v>21</v>
      </c>
      <c r="G5" s="99">
        <v>2.6</v>
      </c>
      <c r="H5" s="98">
        <v>0.085</v>
      </c>
      <c r="I5" s="99">
        <v>32</v>
      </c>
      <c r="J5" s="100">
        <v>89.1361796875</v>
      </c>
      <c r="K5" s="100">
        <f>E5*F5</f>
        <v>187.31596275</v>
      </c>
    </row>
    <row r="6" spans="1:11" ht="12.75">
      <c r="A6" s="93" t="s">
        <v>1672</v>
      </c>
      <c r="B6" s="95">
        <v>37274</v>
      </c>
      <c r="C6" s="96">
        <v>0.7083333333333334</v>
      </c>
      <c r="D6" s="97">
        <v>264</v>
      </c>
      <c r="E6" s="99">
        <v>7.4756484</v>
      </c>
      <c r="F6" s="99">
        <v>23</v>
      </c>
      <c r="G6" s="99">
        <v>2.7</v>
      </c>
      <c r="H6" s="98">
        <v>0.066</v>
      </c>
      <c r="I6" s="99">
        <v>35</v>
      </c>
      <c r="J6" s="100">
        <v>95.01503645833334</v>
      </c>
      <c r="K6" s="100">
        <f aca="true" t="shared" si="0" ref="K6:K69">E6*F6</f>
        <v>171.9399132</v>
      </c>
    </row>
    <row r="7" spans="1:11" ht="12.75">
      <c r="A7" s="93" t="s">
        <v>1673</v>
      </c>
      <c r="B7" s="95">
        <v>37300</v>
      </c>
      <c r="C7" s="96">
        <v>0.6458333333333334</v>
      </c>
      <c r="D7" s="97">
        <v>328</v>
      </c>
      <c r="E7" s="99">
        <v>9.287926800000001</v>
      </c>
      <c r="F7" s="99">
        <v>22</v>
      </c>
      <c r="G7" s="99">
        <v>2.8</v>
      </c>
      <c r="H7" s="98">
        <v>0.073</v>
      </c>
      <c r="I7" s="99">
        <v>32</v>
      </c>
      <c r="J7" s="100">
        <v>92.15505208333333</v>
      </c>
      <c r="K7" s="100">
        <f t="shared" si="0"/>
        <v>204.3343896</v>
      </c>
    </row>
    <row r="8" spans="1:11" ht="12.75">
      <c r="A8" s="93" t="s">
        <v>1674</v>
      </c>
      <c r="B8" s="95">
        <v>37322</v>
      </c>
      <c r="C8" s="96">
        <v>0.4444444444444444</v>
      </c>
      <c r="D8" s="97">
        <v>281</v>
      </c>
      <c r="E8" s="99">
        <v>7.95703485</v>
      </c>
      <c r="F8" s="99">
        <v>22</v>
      </c>
      <c r="G8" s="99">
        <v>2.9</v>
      </c>
      <c r="H8" s="98">
        <v>0.068</v>
      </c>
      <c r="I8" s="99">
        <v>31</v>
      </c>
      <c r="J8" s="100">
        <v>92.63171614583334</v>
      </c>
      <c r="K8" s="100">
        <f t="shared" si="0"/>
        <v>175.05476670000002</v>
      </c>
    </row>
    <row r="9" spans="1:11" ht="12.75">
      <c r="A9" s="93" t="s">
        <v>1675</v>
      </c>
      <c r="B9" s="95">
        <v>37336</v>
      </c>
      <c r="C9" s="96">
        <v>0.6666666666666666</v>
      </c>
      <c r="D9" s="97">
        <v>351</v>
      </c>
      <c r="E9" s="99">
        <v>9.93921435</v>
      </c>
      <c r="F9" s="99">
        <v>20</v>
      </c>
      <c r="G9" s="99">
        <v>2.7</v>
      </c>
      <c r="H9" s="98">
        <v>0.059</v>
      </c>
      <c r="I9" s="99">
        <v>30</v>
      </c>
      <c r="J9" s="100">
        <v>87.00708020833335</v>
      </c>
      <c r="K9" s="100">
        <f t="shared" si="0"/>
        <v>198.784287</v>
      </c>
    </row>
    <row r="10" spans="1:11" ht="12.75">
      <c r="A10" s="93" t="s">
        <v>1676</v>
      </c>
      <c r="B10" s="95">
        <v>37355</v>
      </c>
      <c r="C10" s="96">
        <v>0.625</v>
      </c>
      <c r="D10" s="97">
        <v>473</v>
      </c>
      <c r="E10" s="99">
        <v>13.39387005</v>
      </c>
      <c r="F10" s="99">
        <v>15</v>
      </c>
      <c r="G10" s="99">
        <v>1.9</v>
      </c>
      <c r="H10" s="98">
        <v>0.053</v>
      </c>
      <c r="I10" s="99">
        <v>28</v>
      </c>
      <c r="J10" s="100">
        <v>91.20172395833333</v>
      </c>
      <c r="K10" s="100">
        <f t="shared" si="0"/>
        <v>200.90805075</v>
      </c>
    </row>
    <row r="11" spans="1:11" ht="12.75">
      <c r="A11" s="93" t="s">
        <v>1677</v>
      </c>
      <c r="B11" s="95">
        <v>37365</v>
      </c>
      <c r="C11" s="96">
        <v>0.375</v>
      </c>
      <c r="D11" s="97">
        <v>621</v>
      </c>
      <c r="E11" s="99">
        <v>17.58476385</v>
      </c>
      <c r="F11" s="99">
        <v>13</v>
      </c>
      <c r="G11" s="99">
        <v>1.9</v>
      </c>
      <c r="H11" s="98">
        <v>0.041</v>
      </c>
      <c r="I11" s="99">
        <v>22</v>
      </c>
      <c r="J11" s="100">
        <v>78.33179427083334</v>
      </c>
      <c r="K11" s="100">
        <f t="shared" si="0"/>
        <v>228.60193005000002</v>
      </c>
    </row>
    <row r="12" spans="1:11" ht="12.75">
      <c r="A12" s="93" t="s">
        <v>1678</v>
      </c>
      <c r="B12" s="95">
        <v>37371</v>
      </c>
      <c r="C12" s="96">
        <v>0.7291666666666666</v>
      </c>
      <c r="D12" s="97">
        <v>666</v>
      </c>
      <c r="E12" s="99">
        <v>18.8590221</v>
      </c>
      <c r="F12" s="99">
        <v>9.2</v>
      </c>
      <c r="G12" s="99">
        <v>1.3</v>
      </c>
      <c r="H12" s="98">
        <v>0.024</v>
      </c>
      <c r="I12" s="99">
        <v>18</v>
      </c>
      <c r="J12" s="100">
        <v>73.72404166666668</v>
      </c>
      <c r="K12" s="100">
        <f t="shared" si="0"/>
        <v>173.50300332</v>
      </c>
    </row>
    <row r="13" spans="1:11" ht="12.75">
      <c r="A13" s="93" t="s">
        <v>1679</v>
      </c>
      <c r="B13" s="95">
        <v>37377</v>
      </c>
      <c r="C13" s="96">
        <v>0.8090277777777778</v>
      </c>
      <c r="D13" s="97">
        <v>1570</v>
      </c>
      <c r="E13" s="99">
        <v>44.457454500000004</v>
      </c>
      <c r="F13" s="99">
        <v>6.9</v>
      </c>
      <c r="G13" s="99">
        <v>1</v>
      </c>
      <c r="H13" s="98" t="s">
        <v>381</v>
      </c>
      <c r="I13" s="99">
        <v>14</v>
      </c>
      <c r="J13" s="100">
        <v>68.00407291666667</v>
      </c>
      <c r="K13" s="100">
        <f t="shared" si="0"/>
        <v>306.75643605000005</v>
      </c>
    </row>
    <row r="14" spans="1:11" ht="12.75">
      <c r="A14" s="93" t="s">
        <v>1680</v>
      </c>
      <c r="B14" s="95">
        <v>37384</v>
      </c>
      <c r="C14" s="96">
        <v>0.6666666666666666</v>
      </c>
      <c r="D14" s="97">
        <v>1440</v>
      </c>
      <c r="E14" s="99">
        <v>40.776264000000005</v>
      </c>
      <c r="F14" s="99">
        <v>7.4</v>
      </c>
      <c r="G14" s="99">
        <v>1.1</v>
      </c>
      <c r="H14" s="98" t="s">
        <v>381</v>
      </c>
      <c r="I14" s="99">
        <v>14</v>
      </c>
      <c r="J14" s="100">
        <v>63.396320312499995</v>
      </c>
      <c r="K14" s="100">
        <f t="shared" si="0"/>
        <v>301.74435360000007</v>
      </c>
    </row>
    <row r="15" spans="1:11" ht="12.75">
      <c r="A15" s="93" t="s">
        <v>1681</v>
      </c>
      <c r="B15" s="95">
        <v>37392</v>
      </c>
      <c r="C15" s="96">
        <v>0.7222222222222222</v>
      </c>
      <c r="D15" s="97">
        <v>3530</v>
      </c>
      <c r="E15" s="99">
        <v>99.95848050000001</v>
      </c>
      <c r="F15" s="99">
        <v>3.8</v>
      </c>
      <c r="G15" s="99">
        <v>0.77</v>
      </c>
      <c r="H15" s="98">
        <v>0.105</v>
      </c>
      <c r="I15" s="99">
        <v>8.2</v>
      </c>
      <c r="J15" s="100">
        <v>54.49859114583333</v>
      </c>
      <c r="K15" s="100">
        <f t="shared" si="0"/>
        <v>379.8422259</v>
      </c>
    </row>
    <row r="16" spans="1:11" ht="12.75">
      <c r="A16" s="93" t="s">
        <v>1682</v>
      </c>
      <c r="B16" s="95">
        <v>37398</v>
      </c>
      <c r="C16" s="96">
        <v>0.6319444444444444</v>
      </c>
      <c r="D16" s="97">
        <v>3650</v>
      </c>
      <c r="E16" s="99">
        <v>103.3565025</v>
      </c>
      <c r="F16" s="99">
        <v>3.7</v>
      </c>
      <c r="G16" s="99">
        <v>0.7</v>
      </c>
      <c r="H16" s="98" t="s">
        <v>381</v>
      </c>
      <c r="I16" s="99">
        <v>8.2</v>
      </c>
      <c r="J16" s="100">
        <v>51.95638281250001</v>
      </c>
      <c r="K16" s="100">
        <f t="shared" si="0"/>
        <v>382.41905925000003</v>
      </c>
    </row>
    <row r="17" spans="1:11" ht="12.75">
      <c r="A17" s="93" t="s">
        <v>1683</v>
      </c>
      <c r="B17" s="95">
        <v>37404</v>
      </c>
      <c r="C17" s="96">
        <v>0.625</v>
      </c>
      <c r="D17" s="97">
        <v>3500</v>
      </c>
      <c r="E17" s="99">
        <v>99.108975</v>
      </c>
      <c r="F17" s="99">
        <v>3.3</v>
      </c>
      <c r="G17" s="99">
        <v>0.58</v>
      </c>
      <c r="H17" s="98" t="s">
        <v>381</v>
      </c>
      <c r="I17" s="99">
        <v>7.2</v>
      </c>
      <c r="J17" s="100">
        <v>48.46084635416666</v>
      </c>
      <c r="K17" s="100">
        <f t="shared" si="0"/>
        <v>327.0596175</v>
      </c>
    </row>
    <row r="18" spans="1:11" ht="12.75">
      <c r="A18" s="93" t="s">
        <v>1684</v>
      </c>
      <c r="B18" s="95">
        <v>37412</v>
      </c>
      <c r="C18" s="96">
        <v>0.8784722222222222</v>
      </c>
      <c r="D18" s="97">
        <v>4650</v>
      </c>
      <c r="E18" s="99">
        <v>131.6733525</v>
      </c>
      <c r="F18" s="99">
        <v>3.2</v>
      </c>
      <c r="G18" s="99">
        <v>0.6</v>
      </c>
      <c r="H18" s="98" t="s">
        <v>381</v>
      </c>
      <c r="I18" s="99">
        <v>5.9</v>
      </c>
      <c r="J18" s="100">
        <v>42.899765625</v>
      </c>
      <c r="K18" s="100">
        <f t="shared" si="0"/>
        <v>421.354728</v>
      </c>
    </row>
    <row r="19" spans="1:11" ht="12.75">
      <c r="A19" s="93" t="s">
        <v>1434</v>
      </c>
      <c r="B19" s="95">
        <v>37420</v>
      </c>
      <c r="C19" s="96">
        <v>0.7152777777777778</v>
      </c>
      <c r="D19" s="97">
        <v>2100</v>
      </c>
      <c r="E19" s="99">
        <v>59.465385000000005</v>
      </c>
      <c r="F19" s="99">
        <v>6</v>
      </c>
      <c r="G19" s="99">
        <v>1</v>
      </c>
      <c r="H19" s="98" t="s">
        <v>381</v>
      </c>
      <c r="I19" s="99">
        <v>11</v>
      </c>
      <c r="J19" s="100">
        <v>58.31190364583333</v>
      </c>
      <c r="K19" s="100">
        <f t="shared" si="0"/>
        <v>356.79231000000004</v>
      </c>
    </row>
    <row r="20" spans="1:11" ht="12.75">
      <c r="A20" s="93" t="s">
        <v>1435</v>
      </c>
      <c r="B20" s="95">
        <v>37435</v>
      </c>
      <c r="C20" s="96">
        <v>0.3861111111111111</v>
      </c>
      <c r="D20" s="97">
        <v>1470</v>
      </c>
      <c r="E20" s="99">
        <v>41.625769500000004</v>
      </c>
      <c r="F20" s="99">
        <v>6.2</v>
      </c>
      <c r="G20" s="99">
        <v>1</v>
      </c>
      <c r="H20" s="98" t="s">
        <v>381</v>
      </c>
      <c r="I20" s="99">
        <v>12</v>
      </c>
      <c r="J20" s="100">
        <v>61.171888020833336</v>
      </c>
      <c r="K20" s="100">
        <f t="shared" si="0"/>
        <v>258.0797709</v>
      </c>
    </row>
    <row r="21" spans="1:11" ht="12.75">
      <c r="A21" s="93" t="s">
        <v>1436</v>
      </c>
      <c r="B21" s="95">
        <v>37441</v>
      </c>
      <c r="C21" s="96">
        <v>0.6527777777777778</v>
      </c>
      <c r="D21" s="97">
        <v>893</v>
      </c>
      <c r="E21" s="99">
        <v>25.286947050000002</v>
      </c>
      <c r="F21" s="99">
        <v>8.3</v>
      </c>
      <c r="G21" s="99">
        <v>1.3</v>
      </c>
      <c r="H21" s="98" t="s">
        <v>381</v>
      </c>
      <c r="I21" s="99">
        <v>16</v>
      </c>
      <c r="J21" s="100">
        <v>64.66742447916666</v>
      </c>
      <c r="K21" s="100">
        <f t="shared" si="0"/>
        <v>209.88166051500002</v>
      </c>
    </row>
    <row r="22" spans="1:11" ht="12.75">
      <c r="A22" s="93" t="s">
        <v>1437</v>
      </c>
      <c r="B22" s="95">
        <v>37447</v>
      </c>
      <c r="C22" s="96">
        <v>0.7638888888888888</v>
      </c>
      <c r="D22" s="97">
        <v>634</v>
      </c>
      <c r="E22" s="99">
        <v>17.952882900000002</v>
      </c>
      <c r="F22" s="99">
        <v>10</v>
      </c>
      <c r="G22" s="99">
        <v>1.6</v>
      </c>
      <c r="H22" s="98">
        <v>0.024</v>
      </c>
      <c r="I22" s="99">
        <v>21</v>
      </c>
      <c r="J22" s="100">
        <v>76.7429140625</v>
      </c>
      <c r="K22" s="100">
        <f t="shared" si="0"/>
        <v>179.52882900000003</v>
      </c>
    </row>
    <row r="23" spans="1:11" ht="12.75">
      <c r="A23" s="93" t="s">
        <v>1438</v>
      </c>
      <c r="B23" s="95">
        <v>37454</v>
      </c>
      <c r="C23" s="96">
        <v>0.8298611111111112</v>
      </c>
      <c r="D23" s="97">
        <v>536</v>
      </c>
      <c r="E23" s="99">
        <v>15.177831600000001</v>
      </c>
      <c r="F23" s="99">
        <v>11</v>
      </c>
      <c r="G23" s="99">
        <v>1.6</v>
      </c>
      <c r="H23" s="98">
        <v>0.037</v>
      </c>
      <c r="I23" s="99">
        <v>22</v>
      </c>
      <c r="J23" s="100">
        <v>78.01401822916668</v>
      </c>
      <c r="K23" s="100">
        <f t="shared" si="0"/>
        <v>166.9561476</v>
      </c>
    </row>
    <row r="24" spans="1:11" ht="12.75">
      <c r="A24" s="93" t="s">
        <v>1439</v>
      </c>
      <c r="B24" s="95">
        <v>37462</v>
      </c>
      <c r="C24" s="96">
        <v>0.625</v>
      </c>
      <c r="D24" s="97">
        <v>415</v>
      </c>
      <c r="E24" s="99">
        <v>11.75149275</v>
      </c>
      <c r="F24" s="99">
        <v>13</v>
      </c>
      <c r="G24" s="99">
        <v>1.8</v>
      </c>
      <c r="H24" s="98">
        <v>0.042</v>
      </c>
      <c r="I24" s="99">
        <v>27</v>
      </c>
      <c r="J24" s="100">
        <v>83.4162109375</v>
      </c>
      <c r="K24" s="100">
        <f t="shared" si="0"/>
        <v>152.76940575</v>
      </c>
    </row>
    <row r="25" spans="1:11" ht="12.75">
      <c r="A25" s="93" t="s">
        <v>1440</v>
      </c>
      <c r="B25" s="95">
        <v>37482</v>
      </c>
      <c r="C25" s="96">
        <v>0.6666666666666666</v>
      </c>
      <c r="D25" s="97">
        <v>276</v>
      </c>
      <c r="E25" s="99">
        <v>7.8154506</v>
      </c>
      <c r="F25" s="99">
        <v>17</v>
      </c>
      <c r="G25" s="99">
        <v>2</v>
      </c>
      <c r="H25" s="98">
        <v>0.053</v>
      </c>
      <c r="I25" s="99">
        <v>35</v>
      </c>
      <c r="J25" s="100">
        <v>88.97729166666667</v>
      </c>
      <c r="K25" s="100">
        <f t="shared" si="0"/>
        <v>132.8626602</v>
      </c>
    </row>
    <row r="26" spans="1:11" ht="12.75">
      <c r="A26" s="93" t="s">
        <v>1441</v>
      </c>
      <c r="B26" s="95">
        <v>37497</v>
      </c>
      <c r="C26" s="96">
        <v>0.625</v>
      </c>
      <c r="D26" s="97">
        <v>281</v>
      </c>
      <c r="E26" s="99">
        <v>7.95703485</v>
      </c>
      <c r="F26" s="99">
        <v>17</v>
      </c>
      <c r="G26" s="99">
        <v>1.9</v>
      </c>
      <c r="H26" s="98">
        <v>0.051</v>
      </c>
      <c r="I26" s="99">
        <v>36</v>
      </c>
      <c r="J26" s="100">
        <v>99.94056510416667</v>
      </c>
      <c r="K26" s="100">
        <f t="shared" si="0"/>
        <v>135.26959245</v>
      </c>
    </row>
    <row r="27" spans="1:11" ht="12.75">
      <c r="A27" s="93" t="s">
        <v>1442</v>
      </c>
      <c r="B27" s="95">
        <v>37511</v>
      </c>
      <c r="C27" s="96">
        <v>0.7326388888888888</v>
      </c>
      <c r="D27" s="97">
        <v>311</v>
      </c>
      <c r="E27" s="99">
        <v>8.80654035</v>
      </c>
      <c r="F27" s="99">
        <v>18</v>
      </c>
      <c r="G27" s="99">
        <v>2.1</v>
      </c>
      <c r="H27" s="98">
        <v>0.055</v>
      </c>
      <c r="I27" s="99">
        <v>33</v>
      </c>
      <c r="J27" s="100">
        <v>92.63171614583334</v>
      </c>
      <c r="K27" s="100">
        <f t="shared" si="0"/>
        <v>158.51772630000002</v>
      </c>
    </row>
    <row r="28" spans="1:11" ht="12.75">
      <c r="A28" s="93" t="s">
        <v>1443</v>
      </c>
      <c r="B28" s="95">
        <v>37528</v>
      </c>
      <c r="C28" s="96">
        <v>0.6041666666666666</v>
      </c>
      <c r="D28" s="97">
        <v>252</v>
      </c>
      <c r="E28" s="99">
        <v>7.1358462000000005</v>
      </c>
      <c r="F28" s="99">
        <v>20</v>
      </c>
      <c r="G28" s="99">
        <v>2.1</v>
      </c>
      <c r="H28" s="98">
        <v>0.061</v>
      </c>
      <c r="I28" s="99">
        <v>37</v>
      </c>
      <c r="J28" s="100">
        <v>100.89389322916666</v>
      </c>
      <c r="K28" s="100">
        <f t="shared" si="0"/>
        <v>142.716924</v>
      </c>
    </row>
    <row r="29" spans="1:11" ht="12.75">
      <c r="A29" s="14" t="s">
        <v>961</v>
      </c>
      <c r="B29" s="95"/>
      <c r="C29" s="96"/>
      <c r="E29" s="99"/>
      <c r="F29" s="99"/>
      <c r="G29" s="99"/>
      <c r="H29" s="98"/>
      <c r="I29" s="99"/>
      <c r="J29" s="100"/>
      <c r="K29" s="100"/>
    </row>
    <row r="30" spans="1:12" ht="12.75" customHeight="1">
      <c r="A30" s="93" t="s">
        <v>1639</v>
      </c>
      <c r="B30" s="95">
        <v>37538</v>
      </c>
      <c r="C30" s="96">
        <v>0.625</v>
      </c>
      <c r="D30" s="97">
        <v>281</v>
      </c>
      <c r="E30" s="99">
        <f>D30*0.02831685</f>
        <v>7.95703485</v>
      </c>
      <c r="F30" s="99">
        <v>19</v>
      </c>
      <c r="G30" s="99">
        <v>2.1</v>
      </c>
      <c r="H30" s="98">
        <v>0.058</v>
      </c>
      <c r="I30" s="99">
        <v>35</v>
      </c>
      <c r="J30" s="100">
        <v>97.23946875</v>
      </c>
      <c r="K30" s="100">
        <f t="shared" si="0"/>
        <v>151.18366215</v>
      </c>
      <c r="L30" s="13"/>
    </row>
    <row r="31" spans="1:12" ht="12.75" customHeight="1">
      <c r="A31" s="93" t="s">
        <v>1640</v>
      </c>
      <c r="B31" s="95">
        <v>37547</v>
      </c>
      <c r="C31" s="96">
        <v>0.6875</v>
      </c>
      <c r="D31" s="97">
        <v>248</v>
      </c>
      <c r="E31" s="99">
        <f aca="true" t="shared" si="1" ref="E31:E83">D31*0.02831685</f>
        <v>7.022578800000001</v>
      </c>
      <c r="F31" s="99">
        <v>19</v>
      </c>
      <c r="G31" s="99">
        <v>2.3</v>
      </c>
      <c r="H31" s="98">
        <v>0.068</v>
      </c>
      <c r="I31" s="99">
        <v>32</v>
      </c>
      <c r="J31" s="100">
        <v>92.63171614583334</v>
      </c>
      <c r="K31" s="100">
        <f t="shared" si="0"/>
        <v>133.42899720000003</v>
      </c>
      <c r="L31" s="13"/>
    </row>
    <row r="32" spans="1:12" ht="12.75" customHeight="1">
      <c r="A32" s="93" t="s">
        <v>1641</v>
      </c>
      <c r="B32" s="95">
        <v>37554</v>
      </c>
      <c r="C32" s="96">
        <v>0.5972222222222222</v>
      </c>
      <c r="D32" s="97">
        <v>256</v>
      </c>
      <c r="E32" s="99">
        <f t="shared" si="1"/>
        <v>7.2491136</v>
      </c>
      <c r="F32" s="99">
        <v>20</v>
      </c>
      <c r="G32" s="99">
        <v>2.3</v>
      </c>
      <c r="H32" s="98">
        <v>0.069</v>
      </c>
      <c r="I32" s="99">
        <v>34</v>
      </c>
      <c r="J32" s="100">
        <v>94.22059635416666</v>
      </c>
      <c r="K32" s="100">
        <f t="shared" si="0"/>
        <v>144.982272</v>
      </c>
      <c r="L32" s="13"/>
    </row>
    <row r="33" spans="1:12" ht="12.75" customHeight="1">
      <c r="A33" s="93" t="s">
        <v>1642</v>
      </c>
      <c r="B33" s="95">
        <v>37607</v>
      </c>
      <c r="C33" s="96">
        <v>0.5659722222222222</v>
      </c>
      <c r="D33" s="97">
        <v>306</v>
      </c>
      <c r="E33" s="99">
        <f t="shared" si="1"/>
        <v>8.6649561</v>
      </c>
      <c r="F33" s="99">
        <v>20</v>
      </c>
      <c r="G33" s="99">
        <v>2.5</v>
      </c>
      <c r="H33" s="98">
        <v>0.06</v>
      </c>
      <c r="I33" s="99">
        <v>31</v>
      </c>
      <c r="J33" s="100">
        <v>89.77173177083334</v>
      </c>
      <c r="K33" s="100">
        <f t="shared" si="0"/>
        <v>173.29912199999998</v>
      </c>
      <c r="L33" s="13"/>
    </row>
    <row r="34" spans="1:12" ht="12.75" customHeight="1">
      <c r="A34" s="93" t="s">
        <v>1643</v>
      </c>
      <c r="B34" s="95">
        <v>37637</v>
      </c>
      <c r="C34" s="96">
        <v>0.625</v>
      </c>
      <c r="D34" s="97">
        <v>311</v>
      </c>
      <c r="E34" s="99">
        <f t="shared" si="1"/>
        <v>8.80654035</v>
      </c>
      <c r="F34" s="99">
        <v>20</v>
      </c>
      <c r="G34" s="99">
        <v>2.5</v>
      </c>
      <c r="H34" s="98">
        <v>0.073</v>
      </c>
      <c r="I34" s="99">
        <v>30</v>
      </c>
      <c r="J34" s="100">
        <v>86.91174739583333</v>
      </c>
      <c r="K34" s="100">
        <f t="shared" si="0"/>
        <v>176.130807</v>
      </c>
      <c r="L34" s="13"/>
    </row>
    <row r="35" spans="1:12" ht="12.75" customHeight="1">
      <c r="A35" s="93" t="s">
        <v>1392</v>
      </c>
      <c r="B35" s="95">
        <v>37665</v>
      </c>
      <c r="C35" s="96">
        <v>0.6875</v>
      </c>
      <c r="D35" s="97">
        <v>342</v>
      </c>
      <c r="E35" s="99">
        <f t="shared" si="1"/>
        <v>9.684362700000001</v>
      </c>
      <c r="F35" s="99">
        <v>20</v>
      </c>
      <c r="G35" s="99">
        <v>2.5</v>
      </c>
      <c r="H35" s="98">
        <v>0.059</v>
      </c>
      <c r="I35" s="99">
        <v>30</v>
      </c>
      <c r="J35" s="100">
        <v>83.89287500000002</v>
      </c>
      <c r="K35" s="100">
        <f t="shared" si="0"/>
        <v>193.68725400000002</v>
      </c>
      <c r="L35" s="13"/>
    </row>
    <row r="36" spans="1:12" ht="12.75">
      <c r="A36" s="93" t="s">
        <v>1393</v>
      </c>
      <c r="B36" s="95">
        <v>37687</v>
      </c>
      <c r="C36" s="96" t="s">
        <v>1549</v>
      </c>
      <c r="D36" s="97">
        <v>302</v>
      </c>
      <c r="E36" s="99">
        <f t="shared" si="1"/>
        <v>8.5516887</v>
      </c>
      <c r="F36" s="99">
        <v>19.6</v>
      </c>
      <c r="G36" s="99">
        <v>2.65</v>
      </c>
      <c r="H36" s="98">
        <v>0.03</v>
      </c>
      <c r="I36" s="99">
        <v>29</v>
      </c>
      <c r="J36" s="100">
        <v>83.25732291666667</v>
      </c>
      <c r="K36" s="100">
        <f t="shared" si="0"/>
        <v>167.61309852</v>
      </c>
      <c r="L36" s="1"/>
    </row>
    <row r="37" spans="1:12" ht="12.75">
      <c r="A37" s="93" t="s">
        <v>1394</v>
      </c>
      <c r="B37" s="95">
        <v>37701</v>
      </c>
      <c r="C37" s="96" t="s">
        <v>1549</v>
      </c>
      <c r="D37" s="97">
        <v>333</v>
      </c>
      <c r="E37" s="99">
        <f t="shared" si="1"/>
        <v>9.42951105</v>
      </c>
      <c r="F37" s="99">
        <v>18.8</v>
      </c>
      <c r="G37" s="99">
        <v>2.42</v>
      </c>
      <c r="H37" s="98">
        <v>0.03</v>
      </c>
      <c r="I37" s="99">
        <v>28.9</v>
      </c>
      <c r="J37" s="100">
        <v>82.93954687499999</v>
      </c>
      <c r="K37" s="100">
        <f t="shared" si="0"/>
        <v>177.27480774</v>
      </c>
      <c r="L37" s="1"/>
    </row>
    <row r="38" spans="1:12" ht="12.75">
      <c r="A38" s="93" t="s">
        <v>965</v>
      </c>
      <c r="B38" s="95">
        <v>37716</v>
      </c>
      <c r="C38" s="96" t="s">
        <v>1549</v>
      </c>
      <c r="D38" s="97">
        <v>342</v>
      </c>
      <c r="E38" s="99">
        <f t="shared" si="1"/>
        <v>9.684362700000001</v>
      </c>
      <c r="F38" s="99">
        <v>18.6</v>
      </c>
      <c r="G38" s="99">
        <v>1.32</v>
      </c>
      <c r="H38" s="98">
        <v>0.02</v>
      </c>
      <c r="I38" s="99">
        <v>20.7</v>
      </c>
      <c r="J38" s="100">
        <v>86.752859375</v>
      </c>
      <c r="K38" s="100">
        <f t="shared" si="0"/>
        <v>180.12914622000002</v>
      </c>
      <c r="L38" s="1"/>
    </row>
    <row r="39" spans="1:12" ht="12.75">
      <c r="A39" s="93" t="s">
        <v>1395</v>
      </c>
      <c r="B39" s="95">
        <v>37720</v>
      </c>
      <c r="C39" s="96" t="s">
        <v>1549</v>
      </c>
      <c r="D39" s="97">
        <v>342</v>
      </c>
      <c r="E39" s="99">
        <f t="shared" si="1"/>
        <v>9.684362700000001</v>
      </c>
      <c r="F39" s="99">
        <v>18.7</v>
      </c>
      <c r="G39" s="99">
        <v>2.49</v>
      </c>
      <c r="H39" s="98">
        <v>0.03</v>
      </c>
      <c r="I39" s="99">
        <v>28.3</v>
      </c>
      <c r="J39" s="100">
        <v>95.96836458333333</v>
      </c>
      <c r="K39" s="100">
        <f t="shared" si="0"/>
        <v>181.09758249</v>
      </c>
      <c r="L39" s="1"/>
    </row>
    <row r="40" spans="1:12" ht="12.75">
      <c r="A40" s="93" t="s">
        <v>1396</v>
      </c>
      <c r="B40" s="95">
        <v>37735</v>
      </c>
      <c r="C40" s="96" t="s">
        <v>1549</v>
      </c>
      <c r="D40" s="97">
        <v>948</v>
      </c>
      <c r="E40" s="99">
        <f t="shared" si="1"/>
        <v>26.8443738</v>
      </c>
      <c r="F40" s="99">
        <v>8.46</v>
      </c>
      <c r="G40" s="99">
        <v>1.12</v>
      </c>
      <c r="H40" s="98">
        <v>0.01</v>
      </c>
      <c r="I40" s="99">
        <v>16.9</v>
      </c>
      <c r="J40" s="100">
        <v>69.91072916666667</v>
      </c>
      <c r="K40" s="100">
        <f t="shared" si="0"/>
        <v>227.10340234800003</v>
      </c>
      <c r="L40" s="1"/>
    </row>
    <row r="41" spans="1:12" ht="12.75">
      <c r="A41" s="93" t="s">
        <v>1397</v>
      </c>
      <c r="B41" s="95">
        <v>37750</v>
      </c>
      <c r="C41" s="96" t="s">
        <v>1549</v>
      </c>
      <c r="D41" s="97">
        <v>1160</v>
      </c>
      <c r="E41" s="99">
        <f t="shared" si="1"/>
        <v>32.847546</v>
      </c>
      <c r="F41" s="99">
        <v>7.79</v>
      </c>
      <c r="G41" s="99">
        <v>1.23</v>
      </c>
      <c r="H41" s="98">
        <v>0.01</v>
      </c>
      <c r="I41" s="99">
        <v>15.3</v>
      </c>
      <c r="J41" s="100">
        <v>74.35959375</v>
      </c>
      <c r="K41" s="100">
        <f t="shared" si="0"/>
        <v>255.88238334000002</v>
      </c>
      <c r="L41" s="1"/>
    </row>
    <row r="42" spans="1:12" ht="12.75">
      <c r="A42" s="93" t="s">
        <v>1398</v>
      </c>
      <c r="B42" s="95">
        <v>37756</v>
      </c>
      <c r="C42" s="96" t="s">
        <v>1549</v>
      </c>
      <c r="D42" s="97">
        <v>2420</v>
      </c>
      <c r="E42" s="99">
        <f t="shared" si="1"/>
        <v>68.526777</v>
      </c>
      <c r="F42" s="99">
        <v>3.64</v>
      </c>
      <c r="G42" s="99">
        <v>0.74</v>
      </c>
      <c r="H42" s="98" t="s">
        <v>964</v>
      </c>
      <c r="I42" s="99">
        <v>9.13</v>
      </c>
      <c r="J42" s="100">
        <v>61.648552083333335</v>
      </c>
      <c r="K42" s="100">
        <f t="shared" si="0"/>
        <v>249.43746828</v>
      </c>
      <c r="L42" s="1"/>
    </row>
    <row r="43" spans="1:12" ht="12.75">
      <c r="A43" s="93" t="s">
        <v>1399</v>
      </c>
      <c r="B43" s="95">
        <v>37762</v>
      </c>
      <c r="C43" s="96" t="s">
        <v>1549</v>
      </c>
      <c r="D43" s="97">
        <v>2650</v>
      </c>
      <c r="E43" s="99">
        <f t="shared" si="1"/>
        <v>75.0396525</v>
      </c>
      <c r="F43" s="99">
        <v>4.35</v>
      </c>
      <c r="G43" s="99">
        <v>0.83</v>
      </c>
      <c r="H43" s="98" t="s">
        <v>964</v>
      </c>
      <c r="I43" s="99">
        <v>8.52</v>
      </c>
      <c r="J43" s="100">
        <v>53.386374999999994</v>
      </c>
      <c r="K43" s="100">
        <f t="shared" si="0"/>
        <v>326.422488375</v>
      </c>
      <c r="L43" s="1"/>
    </row>
    <row r="44" spans="1:12" ht="12.75">
      <c r="A44" s="93" t="s">
        <v>1400</v>
      </c>
      <c r="B44" s="95">
        <v>37770</v>
      </c>
      <c r="C44" s="96" t="s">
        <v>1549</v>
      </c>
      <c r="D44" s="97">
        <v>5490</v>
      </c>
      <c r="E44" s="99">
        <f t="shared" si="1"/>
        <v>155.4595065</v>
      </c>
      <c r="F44" s="99">
        <v>2.25</v>
      </c>
      <c r="G44" s="99">
        <v>0.59</v>
      </c>
      <c r="H44" s="98" t="s">
        <v>964</v>
      </c>
      <c r="I44" s="99">
        <v>5.72</v>
      </c>
      <c r="J44" s="100">
        <v>50.208614583333336</v>
      </c>
      <c r="K44" s="100">
        <f t="shared" si="0"/>
        <v>349.78388962500003</v>
      </c>
      <c r="L44" s="1"/>
    </row>
    <row r="45" spans="1:12" ht="12.75">
      <c r="A45" s="93" t="s">
        <v>1401</v>
      </c>
      <c r="B45" s="95">
        <v>37776</v>
      </c>
      <c r="C45" s="96" t="s">
        <v>1549</v>
      </c>
      <c r="D45" s="97">
        <v>3430</v>
      </c>
      <c r="E45" s="99">
        <f t="shared" si="1"/>
        <v>97.1267955</v>
      </c>
      <c r="F45" s="99">
        <v>3.69</v>
      </c>
      <c r="G45" s="99">
        <v>0.77</v>
      </c>
      <c r="H45" s="98" t="s">
        <v>964</v>
      </c>
      <c r="I45" s="99">
        <v>8</v>
      </c>
      <c r="J45" s="100">
        <v>53.386374999999994</v>
      </c>
      <c r="K45" s="100">
        <f t="shared" si="0"/>
        <v>358.39787539499997</v>
      </c>
      <c r="L45" s="1"/>
    </row>
    <row r="46" spans="1:12" ht="12.75">
      <c r="A46" s="93" t="s">
        <v>1402</v>
      </c>
      <c r="B46" s="95">
        <v>37783</v>
      </c>
      <c r="C46" s="96" t="s">
        <v>1549</v>
      </c>
      <c r="D46" s="97">
        <v>2620</v>
      </c>
      <c r="E46" s="99">
        <f t="shared" si="1"/>
        <v>74.190147</v>
      </c>
      <c r="F46" s="99">
        <v>3.77</v>
      </c>
      <c r="G46" s="99">
        <v>0.72</v>
      </c>
      <c r="H46" s="98" t="s">
        <v>964</v>
      </c>
      <c r="I46" s="99">
        <v>7.58</v>
      </c>
      <c r="J46" s="100">
        <v>47.03085416666667</v>
      </c>
      <c r="K46" s="100">
        <f t="shared" si="0"/>
        <v>279.69685419</v>
      </c>
      <c r="L46" s="1"/>
    </row>
    <row r="47" spans="1:12" ht="12.75">
      <c r="A47" s="93" t="s">
        <v>1403</v>
      </c>
      <c r="B47" s="95">
        <v>37797</v>
      </c>
      <c r="C47" s="96" t="s">
        <v>1549</v>
      </c>
      <c r="D47" s="97">
        <v>1060</v>
      </c>
      <c r="E47" s="99">
        <f t="shared" si="1"/>
        <v>30.015861</v>
      </c>
      <c r="F47" s="99">
        <v>7.65</v>
      </c>
      <c r="G47" s="99">
        <v>1.27</v>
      </c>
      <c r="H47" s="98">
        <v>0.01</v>
      </c>
      <c r="I47" s="99">
        <v>15.3</v>
      </c>
      <c r="J47" s="100">
        <v>63.872984375</v>
      </c>
      <c r="K47" s="100">
        <f t="shared" si="0"/>
        <v>229.62133665000002</v>
      </c>
      <c r="L47" s="1"/>
    </row>
    <row r="48" spans="1:12" ht="12.75">
      <c r="A48" s="93" t="s">
        <v>1404</v>
      </c>
      <c r="B48" s="95">
        <v>37805</v>
      </c>
      <c r="C48" s="96" t="s">
        <v>1549</v>
      </c>
      <c r="D48" s="97">
        <v>747</v>
      </c>
      <c r="E48" s="99">
        <f t="shared" si="1"/>
        <v>21.15268695</v>
      </c>
      <c r="F48" s="99">
        <v>9.68</v>
      </c>
      <c r="G48" s="99">
        <v>1.47</v>
      </c>
      <c r="H48" s="98">
        <v>0.02</v>
      </c>
      <c r="I48" s="99">
        <v>18.9</v>
      </c>
      <c r="J48" s="100">
        <v>67.36852083333333</v>
      </c>
      <c r="K48" s="100">
        <f t="shared" si="0"/>
        <v>204.758009676</v>
      </c>
      <c r="L48" s="1"/>
    </row>
    <row r="49" spans="1:12" ht="12.75">
      <c r="A49" s="93" t="s">
        <v>1405</v>
      </c>
      <c r="B49" s="95">
        <v>37812</v>
      </c>
      <c r="C49" s="96" t="s">
        <v>1549</v>
      </c>
      <c r="D49" s="97">
        <v>542</v>
      </c>
      <c r="E49" s="99">
        <f t="shared" si="1"/>
        <v>15.3477327</v>
      </c>
      <c r="F49" s="99">
        <v>11.4</v>
      </c>
      <c r="G49" s="99">
        <v>1.64</v>
      </c>
      <c r="H49" s="98">
        <v>0.02</v>
      </c>
      <c r="I49" s="99">
        <v>22.7</v>
      </c>
      <c r="J49" s="100">
        <v>73.08848958333334</v>
      </c>
      <c r="K49" s="100">
        <f t="shared" si="0"/>
        <v>174.96415278</v>
      </c>
      <c r="L49" s="1"/>
    </row>
    <row r="50" spans="1:12" ht="12.75">
      <c r="A50" s="93" t="s">
        <v>1406</v>
      </c>
      <c r="B50" s="95">
        <v>37818</v>
      </c>
      <c r="C50" s="96" t="s">
        <v>1549</v>
      </c>
      <c r="D50" s="97">
        <v>441</v>
      </c>
      <c r="E50" s="99">
        <f t="shared" si="1"/>
        <v>12.48773085</v>
      </c>
      <c r="F50" s="99">
        <v>12.6</v>
      </c>
      <c r="G50" s="99">
        <v>1.72</v>
      </c>
      <c r="H50" s="98">
        <v>0.03</v>
      </c>
      <c r="I50" s="99">
        <v>25.5</v>
      </c>
      <c r="J50" s="100">
        <v>78.80845833333333</v>
      </c>
      <c r="K50" s="100">
        <f t="shared" si="0"/>
        <v>157.34540871</v>
      </c>
      <c r="L50" s="1"/>
    </row>
    <row r="51" spans="1:12" ht="12.75">
      <c r="A51" s="93" t="s">
        <v>966</v>
      </c>
      <c r="B51" s="95">
        <v>37820</v>
      </c>
      <c r="C51" s="96" t="s">
        <v>1549</v>
      </c>
      <c r="D51" s="97">
        <v>425</v>
      </c>
      <c r="E51" s="99">
        <f t="shared" si="1"/>
        <v>12.034661250000001</v>
      </c>
      <c r="F51" s="99">
        <v>10.2</v>
      </c>
      <c r="G51" s="99">
        <v>0.89</v>
      </c>
      <c r="H51" s="98" t="s">
        <v>964</v>
      </c>
      <c r="I51" s="99">
        <v>10.1</v>
      </c>
      <c r="J51" s="100">
        <v>52.75082291666667</v>
      </c>
      <c r="K51" s="100">
        <f t="shared" si="0"/>
        <v>122.75354475</v>
      </c>
      <c r="L51" s="1"/>
    </row>
    <row r="52" spans="1:12" ht="12.75">
      <c r="A52" s="93" t="s">
        <v>1407</v>
      </c>
      <c r="B52" s="95">
        <v>37825</v>
      </c>
      <c r="C52" s="96" t="s">
        <v>1549</v>
      </c>
      <c r="D52" s="97">
        <v>375</v>
      </c>
      <c r="E52" s="99">
        <f t="shared" si="1"/>
        <v>10.61881875</v>
      </c>
      <c r="F52" s="99">
        <v>14</v>
      </c>
      <c r="G52" s="99">
        <v>1.85</v>
      </c>
      <c r="H52" s="98">
        <v>0.03</v>
      </c>
      <c r="I52" s="99">
        <v>28.2</v>
      </c>
      <c r="J52" s="100">
        <v>81.66844270833333</v>
      </c>
      <c r="K52" s="100">
        <f t="shared" si="0"/>
        <v>148.6634625</v>
      </c>
      <c r="L52" s="1"/>
    </row>
    <row r="53" spans="1:12" ht="12.75">
      <c r="A53" s="93" t="s">
        <v>1408</v>
      </c>
      <c r="B53" s="95">
        <v>37832</v>
      </c>
      <c r="C53" s="96" t="s">
        <v>1549</v>
      </c>
      <c r="D53" s="97">
        <v>324</v>
      </c>
      <c r="E53" s="99">
        <f t="shared" si="1"/>
        <v>9.1746594</v>
      </c>
      <c r="F53" s="99">
        <v>15.6</v>
      </c>
      <c r="G53" s="99">
        <v>1.97</v>
      </c>
      <c r="H53" s="98">
        <v>0.03</v>
      </c>
      <c r="I53" s="99">
        <v>31.7</v>
      </c>
      <c r="J53" s="100">
        <v>91.5195</v>
      </c>
      <c r="K53" s="100">
        <f t="shared" si="0"/>
        <v>143.12468664</v>
      </c>
      <c r="L53" s="1"/>
    </row>
    <row r="54" spans="1:12" ht="12.75">
      <c r="A54" s="93" t="s">
        <v>1409</v>
      </c>
      <c r="B54" s="95">
        <v>37840</v>
      </c>
      <c r="C54" s="96" t="s">
        <v>1549</v>
      </c>
      <c r="D54" s="97">
        <v>298</v>
      </c>
      <c r="E54" s="99">
        <f t="shared" si="1"/>
        <v>8.4384213</v>
      </c>
      <c r="F54" s="99">
        <v>16.3</v>
      </c>
      <c r="G54" s="99">
        <v>1.97</v>
      </c>
      <c r="H54" s="98">
        <v>0.03</v>
      </c>
      <c r="I54" s="99">
        <v>33.1</v>
      </c>
      <c r="J54" s="100">
        <v>93.10838020833334</v>
      </c>
      <c r="K54" s="100">
        <f t="shared" si="0"/>
        <v>137.54626719</v>
      </c>
      <c r="L54" s="1"/>
    </row>
    <row r="55" spans="1:12" ht="12.75">
      <c r="A55" s="93" t="s">
        <v>1410</v>
      </c>
      <c r="B55" s="95">
        <v>37846</v>
      </c>
      <c r="C55" s="96" t="s">
        <v>1549</v>
      </c>
      <c r="D55" s="97">
        <v>276</v>
      </c>
      <c r="E55" s="99">
        <f t="shared" si="1"/>
        <v>7.8154506</v>
      </c>
      <c r="F55" s="99">
        <v>17</v>
      </c>
      <c r="G55" s="99">
        <v>2.02</v>
      </c>
      <c r="H55" s="98">
        <v>0.03</v>
      </c>
      <c r="I55" s="99">
        <v>34.8</v>
      </c>
      <c r="J55" s="100">
        <v>95.65058854166668</v>
      </c>
      <c r="K55" s="100">
        <f t="shared" si="0"/>
        <v>132.8626602</v>
      </c>
      <c r="L55" s="1"/>
    </row>
    <row r="56" spans="1:12" ht="12.75">
      <c r="A56" s="93" t="s">
        <v>1411</v>
      </c>
      <c r="B56" s="95">
        <v>37861</v>
      </c>
      <c r="C56" s="96" t="s">
        <v>1549</v>
      </c>
      <c r="D56" s="97">
        <v>241</v>
      </c>
      <c r="E56" s="99">
        <f t="shared" si="1"/>
        <v>6.824360850000001</v>
      </c>
      <c r="F56" s="99">
        <v>18.4</v>
      </c>
      <c r="G56" s="99">
        <v>2.07</v>
      </c>
      <c r="H56" s="98">
        <v>0.04</v>
      </c>
      <c r="I56" s="99">
        <v>38.2</v>
      </c>
      <c r="J56" s="100">
        <v>100.41722916666667</v>
      </c>
      <c r="K56" s="100">
        <f t="shared" si="0"/>
        <v>125.56823964</v>
      </c>
      <c r="L56" s="1"/>
    </row>
    <row r="57" spans="1:11" ht="12.75">
      <c r="A57" s="14" t="s">
        <v>963</v>
      </c>
      <c r="B57" s="95"/>
      <c r="C57" s="96"/>
      <c r="E57" s="99"/>
      <c r="F57" s="99"/>
      <c r="G57" s="99"/>
      <c r="H57" s="98"/>
      <c r="I57" s="99"/>
      <c r="J57" s="100"/>
      <c r="K57" s="100"/>
    </row>
    <row r="58" spans="1:11" ht="12.75" customHeight="1">
      <c r="A58" s="93" t="s">
        <v>1412</v>
      </c>
      <c r="B58" s="95">
        <v>37903</v>
      </c>
      <c r="C58" s="96" t="s">
        <v>1549</v>
      </c>
      <c r="D58" s="97">
        <v>213</v>
      </c>
      <c r="E58" s="99">
        <f t="shared" si="1"/>
        <v>6.03148905</v>
      </c>
      <c r="F58" s="99">
        <v>19.1</v>
      </c>
      <c r="G58" s="99">
        <v>2.5</v>
      </c>
      <c r="H58" s="98">
        <v>0.04</v>
      </c>
      <c r="I58" s="99">
        <v>29.7</v>
      </c>
      <c r="J58" s="100">
        <v>98.51057291666667</v>
      </c>
      <c r="K58" s="100">
        <f t="shared" si="0"/>
        <v>115.20144085500002</v>
      </c>
    </row>
    <row r="59" spans="1:11" ht="12.75" customHeight="1">
      <c r="A59" s="93" t="s">
        <v>1413</v>
      </c>
      <c r="B59" s="95">
        <v>37909</v>
      </c>
      <c r="C59" s="96" t="s">
        <v>1549</v>
      </c>
      <c r="D59" s="97">
        <v>216</v>
      </c>
      <c r="E59" s="99">
        <f t="shared" si="1"/>
        <v>6.1164396000000005</v>
      </c>
      <c r="F59" s="99">
        <v>21</v>
      </c>
      <c r="G59" s="99">
        <v>2.32</v>
      </c>
      <c r="H59" s="98">
        <v>0.04</v>
      </c>
      <c r="I59" s="99">
        <v>40</v>
      </c>
      <c r="J59" s="100">
        <v>104.86609375</v>
      </c>
      <c r="K59" s="100">
        <f t="shared" si="0"/>
        <v>128.4452316</v>
      </c>
    </row>
    <row r="60" spans="1:11" ht="12.75" customHeight="1">
      <c r="A60" s="93" t="s">
        <v>1414</v>
      </c>
      <c r="B60" s="95">
        <v>37940</v>
      </c>
      <c r="C60" s="96" t="s">
        <v>1549</v>
      </c>
      <c r="D60" s="97">
        <v>286</v>
      </c>
      <c r="E60" s="99">
        <f t="shared" si="1"/>
        <v>8.0986191</v>
      </c>
      <c r="F60" s="99">
        <v>18.9</v>
      </c>
      <c r="G60" s="99">
        <v>2.12</v>
      </c>
      <c r="H60" s="98">
        <v>0.04</v>
      </c>
      <c r="I60" s="99">
        <v>36.7</v>
      </c>
      <c r="J60" s="100">
        <v>82.62177083333333</v>
      </c>
      <c r="K60" s="100">
        <f t="shared" si="0"/>
        <v>153.06390099</v>
      </c>
    </row>
    <row r="61" spans="1:11" ht="12.75" customHeight="1">
      <c r="A61" s="93" t="s">
        <v>1415</v>
      </c>
      <c r="B61" s="95">
        <v>37969</v>
      </c>
      <c r="C61" s="96" t="s">
        <v>1549</v>
      </c>
      <c r="D61" s="97">
        <v>338</v>
      </c>
      <c r="E61" s="99">
        <f t="shared" si="1"/>
        <v>9.5710953</v>
      </c>
      <c r="F61" s="99">
        <v>18.9</v>
      </c>
      <c r="G61" s="99">
        <v>2.64</v>
      </c>
      <c r="H61" s="98">
        <v>0.04</v>
      </c>
      <c r="I61" s="99">
        <v>28.1</v>
      </c>
      <c r="J61" s="100">
        <v>81.35066666666667</v>
      </c>
      <c r="K61" s="100">
        <f t="shared" si="0"/>
        <v>180.89370116999999</v>
      </c>
    </row>
    <row r="62" spans="1:11" ht="12.75" customHeight="1">
      <c r="A62" s="93" t="s">
        <v>1416</v>
      </c>
      <c r="B62" s="95">
        <v>38003</v>
      </c>
      <c r="C62" s="96" t="s">
        <v>1549</v>
      </c>
      <c r="D62" s="97">
        <v>326</v>
      </c>
      <c r="E62" s="99">
        <f t="shared" si="1"/>
        <v>9.2312931</v>
      </c>
      <c r="F62" s="99">
        <v>18.8</v>
      </c>
      <c r="G62" s="99">
        <v>2.66</v>
      </c>
      <c r="H62" s="98">
        <v>0.04</v>
      </c>
      <c r="I62" s="99">
        <v>27.6</v>
      </c>
      <c r="J62" s="100">
        <v>82.62177083333333</v>
      </c>
      <c r="K62" s="100">
        <f t="shared" si="0"/>
        <v>173.54831028</v>
      </c>
    </row>
    <row r="63" spans="1:11" ht="12.75" customHeight="1">
      <c r="A63" s="93" t="s">
        <v>1417</v>
      </c>
      <c r="B63" s="95">
        <v>38030</v>
      </c>
      <c r="C63" s="96" t="s">
        <v>1549</v>
      </c>
      <c r="D63" s="97">
        <v>279</v>
      </c>
      <c r="E63" s="99">
        <f t="shared" si="1"/>
        <v>7.90040115</v>
      </c>
      <c r="F63" s="99">
        <v>22.4</v>
      </c>
      <c r="G63" s="99">
        <v>2.65</v>
      </c>
      <c r="H63" s="98">
        <v>0.05</v>
      </c>
      <c r="I63" s="99">
        <v>36.9</v>
      </c>
      <c r="J63" s="100">
        <v>99.46390104166667</v>
      </c>
      <c r="K63" s="100">
        <f t="shared" si="0"/>
        <v>176.96898576</v>
      </c>
    </row>
    <row r="64" spans="1:11" ht="12.75" customHeight="1">
      <c r="A64" s="93" t="s">
        <v>1418</v>
      </c>
      <c r="B64" s="95">
        <v>38052</v>
      </c>
      <c r="C64" s="96" t="s">
        <v>1549</v>
      </c>
      <c r="D64" s="97">
        <v>290</v>
      </c>
      <c r="E64" s="99">
        <f t="shared" si="1"/>
        <v>8.2118865</v>
      </c>
      <c r="F64" s="99">
        <v>21.6</v>
      </c>
      <c r="G64" s="99">
        <v>2.64</v>
      </c>
      <c r="H64" s="98">
        <v>0.05</v>
      </c>
      <c r="I64" s="99">
        <v>33.5</v>
      </c>
      <c r="J64" s="100">
        <v>93.42615625</v>
      </c>
      <c r="K64" s="100">
        <f t="shared" si="0"/>
        <v>177.37674840000003</v>
      </c>
    </row>
    <row r="65" spans="1:11" ht="12.75" customHeight="1">
      <c r="A65" s="93" t="s">
        <v>1419</v>
      </c>
      <c r="B65" s="95">
        <v>38066</v>
      </c>
      <c r="C65" s="96" t="s">
        <v>1549</v>
      </c>
      <c r="D65" s="97">
        <v>319</v>
      </c>
      <c r="E65" s="99">
        <f t="shared" si="1"/>
        <v>9.03307515</v>
      </c>
      <c r="F65" s="99">
        <v>18.1</v>
      </c>
      <c r="G65" s="99">
        <v>2.14</v>
      </c>
      <c r="H65" s="98">
        <v>0.03</v>
      </c>
      <c r="I65" s="99">
        <v>32.1</v>
      </c>
      <c r="J65" s="100">
        <v>91.5195</v>
      </c>
      <c r="K65" s="100">
        <f t="shared" si="0"/>
        <v>163.49866021500003</v>
      </c>
    </row>
    <row r="66" spans="1:11" ht="12.75" customHeight="1">
      <c r="A66" s="93" t="s">
        <v>1420</v>
      </c>
      <c r="B66" s="95">
        <v>38087</v>
      </c>
      <c r="C66" s="96" t="s">
        <v>1549</v>
      </c>
      <c r="D66" s="97">
        <v>703</v>
      </c>
      <c r="E66" s="99">
        <f t="shared" si="1"/>
        <v>19.90674555</v>
      </c>
      <c r="F66" s="99">
        <v>10.4</v>
      </c>
      <c r="G66" s="99">
        <v>1.29</v>
      </c>
      <c r="H66" s="98">
        <v>0.02</v>
      </c>
      <c r="I66" s="99">
        <v>21.7</v>
      </c>
      <c r="J66" s="100">
        <v>78.17290625</v>
      </c>
      <c r="K66" s="100">
        <f t="shared" si="0"/>
        <v>207.03015372000002</v>
      </c>
    </row>
    <row r="67" spans="1:11" ht="12.75" customHeight="1">
      <c r="A67" s="93" t="s">
        <v>1421</v>
      </c>
      <c r="B67" s="95">
        <v>38094</v>
      </c>
      <c r="C67" s="96" t="s">
        <v>1549</v>
      </c>
      <c r="D67" s="97">
        <v>836</v>
      </c>
      <c r="E67" s="99">
        <f t="shared" si="1"/>
        <v>23.672886600000002</v>
      </c>
      <c r="F67" s="99">
        <v>8.41</v>
      </c>
      <c r="G67" s="99">
        <v>1.1</v>
      </c>
      <c r="H67" s="98">
        <v>0.01</v>
      </c>
      <c r="I67" s="99">
        <v>17.2</v>
      </c>
      <c r="J67" s="100">
        <v>68.00407291666667</v>
      </c>
      <c r="K67" s="100">
        <f t="shared" si="0"/>
        <v>199.088976306</v>
      </c>
    </row>
    <row r="68" spans="1:11" ht="12.75" customHeight="1">
      <c r="A68" s="93" t="s">
        <v>1422</v>
      </c>
      <c r="B68" s="95">
        <v>38102</v>
      </c>
      <c r="C68" s="96" t="s">
        <v>1549</v>
      </c>
      <c r="D68" s="97">
        <v>763</v>
      </c>
      <c r="E68" s="99">
        <f t="shared" si="1"/>
        <v>21.605756550000002</v>
      </c>
      <c r="F68" s="99">
        <v>9.76</v>
      </c>
      <c r="G68" s="99">
        <v>1.33</v>
      </c>
      <c r="H68" s="98">
        <v>0.02</v>
      </c>
      <c r="I68" s="99">
        <v>18.5</v>
      </c>
      <c r="J68" s="100">
        <v>74.35959375</v>
      </c>
      <c r="K68" s="100">
        <f t="shared" si="0"/>
        <v>210.87218392800003</v>
      </c>
    </row>
    <row r="69" spans="1:11" ht="12.75" customHeight="1">
      <c r="A69" s="93" t="s">
        <v>1423</v>
      </c>
      <c r="B69" s="95">
        <v>38108</v>
      </c>
      <c r="C69" s="96" t="s">
        <v>1549</v>
      </c>
      <c r="D69" s="97">
        <v>1360</v>
      </c>
      <c r="E69" s="99">
        <f t="shared" si="1"/>
        <v>38.510916</v>
      </c>
      <c r="F69" s="99">
        <v>6.26</v>
      </c>
      <c r="G69" s="99">
        <v>0.92</v>
      </c>
      <c r="H69" s="98" t="s">
        <v>964</v>
      </c>
      <c r="I69" s="99">
        <v>13</v>
      </c>
      <c r="J69" s="100">
        <v>60.69522395833334</v>
      </c>
      <c r="K69" s="100">
        <f t="shared" si="0"/>
        <v>241.07833416</v>
      </c>
    </row>
    <row r="70" spans="1:11" ht="12.75" customHeight="1">
      <c r="A70" s="93" t="s">
        <v>1424</v>
      </c>
      <c r="B70" s="95">
        <v>38116</v>
      </c>
      <c r="C70" s="96" t="s">
        <v>1549</v>
      </c>
      <c r="D70" s="97">
        <v>3840</v>
      </c>
      <c r="E70" s="99">
        <f t="shared" si="1"/>
        <v>108.736704</v>
      </c>
      <c r="F70" s="99">
        <v>3.64</v>
      </c>
      <c r="G70" s="99">
        <v>0.66</v>
      </c>
      <c r="H70" s="98" t="s">
        <v>964</v>
      </c>
      <c r="I70" s="99">
        <v>6.51</v>
      </c>
      <c r="J70" s="100">
        <v>42.58198958333334</v>
      </c>
      <c r="K70" s="100">
        <f aca="true" t="shared" si="2" ref="K70:K133">E70*F70</f>
        <v>395.80160256000005</v>
      </c>
    </row>
    <row r="71" spans="1:11" ht="12.75" customHeight="1">
      <c r="A71" s="93" t="s">
        <v>1425</v>
      </c>
      <c r="B71" s="95">
        <v>38122</v>
      </c>
      <c r="C71" s="96" t="s">
        <v>1549</v>
      </c>
      <c r="D71" s="97">
        <v>1700</v>
      </c>
      <c r="E71" s="99">
        <f t="shared" si="1"/>
        <v>48.138645000000004</v>
      </c>
      <c r="F71" s="99">
        <v>7.05</v>
      </c>
      <c r="G71" s="99">
        <v>1.07</v>
      </c>
      <c r="H71" s="98">
        <v>0.01</v>
      </c>
      <c r="I71" s="99">
        <v>11.1</v>
      </c>
      <c r="J71" s="100">
        <v>54.65747916666667</v>
      </c>
      <c r="K71" s="100">
        <f t="shared" si="2"/>
        <v>339.37744725000005</v>
      </c>
    </row>
    <row r="72" spans="1:11" ht="12.75">
      <c r="A72" s="93" t="s">
        <v>1426</v>
      </c>
      <c r="B72" s="95">
        <v>38129</v>
      </c>
      <c r="C72" s="96">
        <v>0.6236111111111111</v>
      </c>
      <c r="D72" s="97">
        <v>2350</v>
      </c>
      <c r="E72" s="99">
        <f t="shared" si="1"/>
        <v>66.54459750000001</v>
      </c>
      <c r="F72" s="99">
        <v>4.94</v>
      </c>
      <c r="G72" s="99">
        <v>0.84</v>
      </c>
      <c r="H72" s="98">
        <v>0.01</v>
      </c>
      <c r="I72" s="99">
        <v>8.48</v>
      </c>
      <c r="J72" s="100">
        <v>47.66640625</v>
      </c>
      <c r="K72" s="100">
        <f t="shared" si="2"/>
        <v>328.7303116500001</v>
      </c>
    </row>
    <row r="73" spans="1:11" ht="12.75">
      <c r="A73" s="93" t="s">
        <v>1427</v>
      </c>
      <c r="B73" s="95">
        <v>38136</v>
      </c>
      <c r="C73" s="96">
        <v>0.6805555555555555</v>
      </c>
      <c r="D73" s="97">
        <v>3030</v>
      </c>
      <c r="E73" s="99">
        <f t="shared" si="1"/>
        <v>85.8000555</v>
      </c>
      <c r="F73" s="99">
        <v>4.07</v>
      </c>
      <c r="G73" s="99">
        <v>0.71</v>
      </c>
      <c r="H73" s="98" t="s">
        <v>964</v>
      </c>
      <c r="I73" s="99">
        <v>7.42</v>
      </c>
      <c r="J73" s="100">
        <v>47.34863020833334</v>
      </c>
      <c r="K73" s="100">
        <f t="shared" si="2"/>
        <v>349.20622588500004</v>
      </c>
    </row>
    <row r="74" spans="1:11" ht="12.75">
      <c r="A74" s="93" t="s">
        <v>1428</v>
      </c>
      <c r="B74" s="95">
        <v>38143</v>
      </c>
      <c r="C74" s="96">
        <v>0.5833333333333334</v>
      </c>
      <c r="D74" s="97">
        <v>2960</v>
      </c>
      <c r="E74" s="99">
        <f t="shared" si="1"/>
        <v>83.817876</v>
      </c>
      <c r="F74" s="99">
        <v>3.6</v>
      </c>
      <c r="G74" s="99">
        <v>0.62</v>
      </c>
      <c r="H74" s="98" t="s">
        <v>964</v>
      </c>
      <c r="I74" s="99">
        <v>6.81</v>
      </c>
      <c r="J74" s="100">
        <v>45.75975</v>
      </c>
      <c r="K74" s="100">
        <f t="shared" si="2"/>
        <v>301.7443536</v>
      </c>
    </row>
    <row r="75" spans="1:11" ht="12.75">
      <c r="A75" s="93" t="s">
        <v>1429</v>
      </c>
      <c r="B75" s="95">
        <v>38151</v>
      </c>
      <c r="C75" s="96">
        <v>0.7013888888888888</v>
      </c>
      <c r="D75" s="97">
        <v>1900</v>
      </c>
      <c r="E75" s="99">
        <f t="shared" si="1"/>
        <v>53.802015000000004</v>
      </c>
      <c r="F75" s="99">
        <v>5.49</v>
      </c>
      <c r="G75" s="99">
        <v>0.92</v>
      </c>
      <c r="H75" s="98">
        <v>0.01</v>
      </c>
      <c r="I75" s="99">
        <v>9.94</v>
      </c>
      <c r="J75" s="100">
        <v>52.11527083333333</v>
      </c>
      <c r="K75" s="100">
        <f t="shared" si="2"/>
        <v>295.37306235000005</v>
      </c>
    </row>
    <row r="76" spans="1:11" ht="12.75">
      <c r="A76" s="93" t="s">
        <v>1430</v>
      </c>
      <c r="B76" s="95">
        <v>38157</v>
      </c>
      <c r="C76" s="96">
        <v>0.4375</v>
      </c>
      <c r="D76" s="97">
        <v>1700</v>
      </c>
      <c r="E76" s="99">
        <f t="shared" si="1"/>
        <v>48.138645000000004</v>
      </c>
      <c r="F76" s="99">
        <v>5.45</v>
      </c>
      <c r="G76" s="99">
        <v>0.89</v>
      </c>
      <c r="H76" s="98">
        <v>0.01</v>
      </c>
      <c r="I76" s="99">
        <v>10.2</v>
      </c>
      <c r="J76" s="100">
        <v>52.433046875</v>
      </c>
      <c r="K76" s="100">
        <f t="shared" si="2"/>
        <v>262.35561525</v>
      </c>
    </row>
    <row r="77" spans="1:11" ht="12.75">
      <c r="A77" s="93" t="s">
        <v>1431</v>
      </c>
      <c r="B77" s="95">
        <v>38167</v>
      </c>
      <c r="C77" s="96">
        <v>0.75</v>
      </c>
      <c r="D77" s="97">
        <v>1160</v>
      </c>
      <c r="E77" s="99">
        <f t="shared" si="1"/>
        <v>32.847546</v>
      </c>
      <c r="F77" s="99">
        <v>7.27</v>
      </c>
      <c r="G77" s="99">
        <v>1.13</v>
      </c>
      <c r="H77" s="98">
        <v>0.02</v>
      </c>
      <c r="I77" s="99">
        <v>13.2</v>
      </c>
      <c r="J77" s="100">
        <v>59.106343750000015</v>
      </c>
      <c r="K77" s="100">
        <f t="shared" si="2"/>
        <v>238.80165942</v>
      </c>
    </row>
    <row r="78" spans="1:11" ht="12.75">
      <c r="A78" s="93" t="s">
        <v>1432</v>
      </c>
      <c r="B78" s="95">
        <v>38171</v>
      </c>
      <c r="C78" s="96">
        <v>0.8333333333333334</v>
      </c>
      <c r="D78" s="97">
        <v>956</v>
      </c>
      <c r="E78" s="99">
        <f t="shared" si="1"/>
        <v>27.070908600000003</v>
      </c>
      <c r="F78" s="99">
        <v>8.52</v>
      </c>
      <c r="G78" s="99">
        <v>1.31</v>
      </c>
      <c r="H78" s="98">
        <v>0.02</v>
      </c>
      <c r="I78" s="99">
        <v>15.6</v>
      </c>
      <c r="J78" s="100">
        <v>63.55520833333333</v>
      </c>
      <c r="K78" s="100">
        <f t="shared" si="2"/>
        <v>230.644141272</v>
      </c>
    </row>
    <row r="79" spans="1:11" ht="12.75">
      <c r="A79" s="93" t="s">
        <v>1433</v>
      </c>
      <c r="B79" s="95">
        <v>38178</v>
      </c>
      <c r="C79" s="96">
        <v>0.6875</v>
      </c>
      <c r="D79" s="97">
        <v>775</v>
      </c>
      <c r="E79" s="99">
        <f t="shared" si="1"/>
        <v>21.94555875</v>
      </c>
      <c r="F79" s="99">
        <v>9.47</v>
      </c>
      <c r="G79" s="99">
        <v>1.4</v>
      </c>
      <c r="H79" s="98">
        <v>0.02</v>
      </c>
      <c r="I79" s="99">
        <v>17.3</v>
      </c>
      <c r="J79" s="100">
        <v>68.32184895833335</v>
      </c>
      <c r="K79" s="100">
        <f t="shared" si="2"/>
        <v>207.8244413625</v>
      </c>
    </row>
    <row r="80" spans="1:11" ht="12.75">
      <c r="A80" s="93" t="s">
        <v>1193</v>
      </c>
      <c r="B80" s="95">
        <v>38185</v>
      </c>
      <c r="C80" s="96">
        <v>0.75</v>
      </c>
      <c r="D80" s="97">
        <v>565</v>
      </c>
      <c r="E80" s="99">
        <f t="shared" si="1"/>
        <v>15.999020250000001</v>
      </c>
      <c r="F80" s="99">
        <v>11.3</v>
      </c>
      <c r="G80" s="99">
        <v>1.65</v>
      </c>
      <c r="H80" s="98">
        <v>0.03</v>
      </c>
      <c r="I80" s="99">
        <v>21.3</v>
      </c>
      <c r="J80" s="100">
        <v>74.99514583333332</v>
      </c>
      <c r="K80" s="100">
        <f t="shared" si="2"/>
        <v>180.78892882500003</v>
      </c>
    </row>
    <row r="81" spans="1:11" ht="12.75">
      <c r="A81" s="93" t="s">
        <v>1194</v>
      </c>
      <c r="B81" s="95">
        <v>38192</v>
      </c>
      <c r="C81" s="96">
        <v>0.6458333333333334</v>
      </c>
      <c r="D81" s="97">
        <v>496</v>
      </c>
      <c r="E81" s="99">
        <f t="shared" si="1"/>
        <v>14.045157600000001</v>
      </c>
      <c r="F81" s="99">
        <v>14.3</v>
      </c>
      <c r="G81" s="99">
        <v>1.78</v>
      </c>
      <c r="H81" s="98">
        <v>0.03</v>
      </c>
      <c r="I81" s="99">
        <v>23.2</v>
      </c>
      <c r="J81" s="100">
        <v>80.71511458333333</v>
      </c>
      <c r="K81" s="100">
        <f t="shared" si="2"/>
        <v>200.84575368000003</v>
      </c>
    </row>
    <row r="82" spans="1:11" ht="12.75">
      <c r="A82" s="93" t="s">
        <v>1195</v>
      </c>
      <c r="B82" s="95">
        <v>38213</v>
      </c>
      <c r="C82" s="96">
        <v>0.6770833333333334</v>
      </c>
      <c r="D82" s="97">
        <v>293</v>
      </c>
      <c r="E82" s="99">
        <f t="shared" si="1"/>
        <v>8.29683705</v>
      </c>
      <c r="F82" s="99">
        <v>16.6</v>
      </c>
      <c r="G82" s="99">
        <v>2.08</v>
      </c>
      <c r="H82" s="98">
        <v>0.04</v>
      </c>
      <c r="I82" s="99">
        <v>32.9</v>
      </c>
      <c r="J82" s="100">
        <v>92.15505208333333</v>
      </c>
      <c r="K82" s="100">
        <f t="shared" si="2"/>
        <v>137.72749503000003</v>
      </c>
    </row>
    <row r="83" spans="1:11" ht="12.75">
      <c r="A83" s="93" t="s">
        <v>1196</v>
      </c>
      <c r="B83" s="95">
        <v>38227</v>
      </c>
      <c r="C83" s="96">
        <v>0.6145833333333334</v>
      </c>
      <c r="D83" s="97">
        <v>441</v>
      </c>
      <c r="E83" s="99">
        <f t="shared" si="1"/>
        <v>12.48773085</v>
      </c>
      <c r="F83" s="99">
        <v>14.6</v>
      </c>
      <c r="G83" s="99">
        <v>1.99</v>
      </c>
      <c r="H83" s="98">
        <v>0.04</v>
      </c>
      <c r="I83" s="99">
        <v>25.8</v>
      </c>
      <c r="J83" s="100">
        <v>82.30399479166665</v>
      </c>
      <c r="K83" s="100">
        <f t="shared" si="2"/>
        <v>182.32087041</v>
      </c>
    </row>
    <row r="84" spans="1:11" ht="12.75">
      <c r="A84" s="14" t="s">
        <v>973</v>
      </c>
      <c r="B84" s="95"/>
      <c r="C84" s="96"/>
      <c r="E84" s="99"/>
      <c r="F84" s="99"/>
      <c r="G84" s="99"/>
      <c r="H84" s="98"/>
      <c r="I84" s="99"/>
      <c r="J84" s="97"/>
      <c r="K84" s="100"/>
    </row>
    <row r="85" spans="1:11" s="24" customFormat="1" ht="14.25" customHeight="1">
      <c r="A85" s="94" t="s">
        <v>1269</v>
      </c>
      <c r="B85" s="102">
        <v>38279</v>
      </c>
      <c r="C85" s="103">
        <v>0.6041666666666666</v>
      </c>
      <c r="D85" s="104">
        <v>351</v>
      </c>
      <c r="E85" s="99">
        <f aca="true" t="shared" si="3" ref="E85:E148">D85*0.02831685</f>
        <v>9.93921435</v>
      </c>
      <c r="F85" s="105">
        <v>17</v>
      </c>
      <c r="G85" s="105">
        <v>2.06</v>
      </c>
      <c r="H85" s="91">
        <v>0.05</v>
      </c>
      <c r="I85" s="105">
        <v>28.4</v>
      </c>
      <c r="J85" s="90">
        <v>87.07063541666666</v>
      </c>
      <c r="K85" s="100">
        <f t="shared" si="2"/>
        <v>168.96664395</v>
      </c>
    </row>
    <row r="86" spans="1:11" s="24" customFormat="1" ht="14.25" customHeight="1">
      <c r="A86" s="94" t="s">
        <v>1270</v>
      </c>
      <c r="B86" s="102">
        <v>38334</v>
      </c>
      <c r="C86" s="103">
        <v>0.5416666666666666</v>
      </c>
      <c r="D86" s="104">
        <v>366</v>
      </c>
      <c r="E86" s="99">
        <f t="shared" si="3"/>
        <v>10.3639671</v>
      </c>
      <c r="F86" s="105">
        <v>17.8</v>
      </c>
      <c r="G86" s="105">
        <v>2.38</v>
      </c>
      <c r="H86" s="91">
        <v>0.04</v>
      </c>
      <c r="I86" s="105">
        <v>27.2</v>
      </c>
      <c r="J86" s="90">
        <v>82.62177083333333</v>
      </c>
      <c r="K86" s="100">
        <f t="shared" si="2"/>
        <v>184.47861438</v>
      </c>
    </row>
    <row r="87" spans="1:11" s="24" customFormat="1" ht="14.25" customHeight="1">
      <c r="A87" s="93" t="s">
        <v>1271</v>
      </c>
      <c r="B87" s="102" t="str">
        <f>MID(A87,4,2)&amp;"/"&amp;MID(A87,6,2)&amp;"/"&amp;MID(A87,8,2)</f>
        <v>02/14/05</v>
      </c>
      <c r="C87" s="103" t="s">
        <v>1549</v>
      </c>
      <c r="D87" s="104">
        <v>311</v>
      </c>
      <c r="E87" s="99">
        <f t="shared" si="3"/>
        <v>8.80654035</v>
      </c>
      <c r="F87" s="105">
        <v>18.5</v>
      </c>
      <c r="G87" s="99">
        <v>2.63</v>
      </c>
      <c r="H87" s="98">
        <v>0.05</v>
      </c>
      <c r="I87" s="99">
        <v>26.4</v>
      </c>
      <c r="J87" s="100">
        <v>81.03289062500001</v>
      </c>
      <c r="K87" s="100">
        <f t="shared" si="2"/>
        <v>162.920996475</v>
      </c>
    </row>
    <row r="88" spans="1:11" s="24" customFormat="1" ht="14.25" customHeight="1">
      <c r="A88" s="93" t="s">
        <v>1030</v>
      </c>
      <c r="B88" s="102" t="str">
        <f aca="true" t="shared" si="4" ref="B88:B120">MID(A88,4,2)&amp;"/"&amp;MID(A88,6,2)&amp;"/"&amp;MID(A88,8,2)</f>
        <v>03/08/05</v>
      </c>
      <c r="C88" s="103">
        <v>0.3159722222222222</v>
      </c>
      <c r="D88" s="104">
        <v>285</v>
      </c>
      <c r="E88" s="99">
        <f t="shared" si="3"/>
        <v>8.070302250000001</v>
      </c>
      <c r="F88" s="105">
        <v>21.4</v>
      </c>
      <c r="G88" s="99">
        <v>2.63</v>
      </c>
      <c r="H88" s="98">
        <v>0.06</v>
      </c>
      <c r="I88" s="99">
        <v>35.1</v>
      </c>
      <c r="J88" s="100">
        <v>99.30501302083333</v>
      </c>
      <c r="K88" s="100">
        <f t="shared" si="2"/>
        <v>172.70446815</v>
      </c>
    </row>
    <row r="89" spans="1:13" s="24" customFormat="1" ht="14.25" customHeight="1">
      <c r="A89" s="93" t="s">
        <v>1031</v>
      </c>
      <c r="B89" s="102" t="str">
        <f t="shared" si="4"/>
        <v>04/11/05</v>
      </c>
      <c r="C89" s="103">
        <v>0.44097222222222227</v>
      </c>
      <c r="D89" s="104">
        <v>356</v>
      </c>
      <c r="E89" s="99">
        <f t="shared" si="3"/>
        <v>10.0807986</v>
      </c>
      <c r="F89" s="105">
        <v>17.8</v>
      </c>
      <c r="G89" s="99">
        <v>2.29</v>
      </c>
      <c r="H89" s="98">
        <v>0.05</v>
      </c>
      <c r="I89" s="99">
        <v>28.8</v>
      </c>
      <c r="J89" s="100">
        <v>91.6148328125</v>
      </c>
      <c r="K89" s="100">
        <f t="shared" si="2"/>
        <v>179.43821508</v>
      </c>
      <c r="L89"/>
      <c r="M89"/>
    </row>
    <row r="90" spans="1:13" s="24" customFormat="1" ht="14.25" customHeight="1">
      <c r="A90" s="93" t="s">
        <v>1032</v>
      </c>
      <c r="B90" s="102" t="str">
        <f t="shared" si="4"/>
        <v>04/17/05</v>
      </c>
      <c r="C90" s="103">
        <v>0.5555555555555556</v>
      </c>
      <c r="D90" s="104">
        <v>507</v>
      </c>
      <c r="E90" s="99">
        <f t="shared" si="3"/>
        <v>14.356642950000001</v>
      </c>
      <c r="F90" s="105">
        <v>14.6</v>
      </c>
      <c r="G90" s="99">
        <v>1.91</v>
      </c>
      <c r="H90" s="98">
        <v>0.03</v>
      </c>
      <c r="I90" s="99">
        <v>24.4</v>
      </c>
      <c r="J90" s="100">
        <v>87.54729947916667</v>
      </c>
      <c r="K90" s="100">
        <f t="shared" si="2"/>
        <v>209.60698707</v>
      </c>
      <c r="L90"/>
      <c r="M90"/>
    </row>
    <row r="91" spans="1:11" s="24" customFormat="1" ht="14.25" customHeight="1">
      <c r="A91" s="93" t="s">
        <v>1033</v>
      </c>
      <c r="B91" s="102" t="str">
        <f t="shared" si="4"/>
        <v>05/02/05</v>
      </c>
      <c r="C91" s="103">
        <v>0.7465277777777778</v>
      </c>
      <c r="D91" s="104">
        <v>972</v>
      </c>
      <c r="E91" s="99">
        <f t="shared" si="3"/>
        <v>27.523978200000002</v>
      </c>
      <c r="F91" s="105">
        <v>8.03</v>
      </c>
      <c r="G91" s="99">
        <v>1.08</v>
      </c>
      <c r="H91" s="98">
        <v>0.01</v>
      </c>
      <c r="I91" s="99">
        <v>15.5</v>
      </c>
      <c r="J91" s="100">
        <v>71.81738541666667</v>
      </c>
      <c r="K91" s="100">
        <f t="shared" si="2"/>
        <v>221.017544946</v>
      </c>
    </row>
    <row r="92" spans="1:11" s="24" customFormat="1" ht="14.25" customHeight="1">
      <c r="A92" s="93" t="s">
        <v>1034</v>
      </c>
      <c r="B92" s="102" t="str">
        <f t="shared" si="4"/>
        <v>05/09/05</v>
      </c>
      <c r="C92" s="103">
        <v>0.6145833333333334</v>
      </c>
      <c r="D92" s="104">
        <v>2050</v>
      </c>
      <c r="E92" s="99">
        <f t="shared" si="3"/>
        <v>58.0495425</v>
      </c>
      <c r="F92" s="105">
        <v>4.72</v>
      </c>
      <c r="G92" s="99">
        <v>0.72</v>
      </c>
      <c r="H92" s="98">
        <v>0.01</v>
      </c>
      <c r="I92" s="99">
        <v>9.22</v>
      </c>
      <c r="J92" s="100">
        <v>57.48568593750001</v>
      </c>
      <c r="K92" s="100">
        <f t="shared" si="2"/>
        <v>273.9938406</v>
      </c>
    </row>
    <row r="93" spans="1:11" s="24" customFormat="1" ht="14.25" customHeight="1">
      <c r="A93" s="93" t="s">
        <v>1035</v>
      </c>
      <c r="B93" s="102" t="str">
        <f t="shared" si="4"/>
        <v>05/16/05</v>
      </c>
      <c r="C93" s="103">
        <v>0.4166666666666667</v>
      </c>
      <c r="D93" s="104">
        <v>3720</v>
      </c>
      <c r="E93" s="99">
        <f t="shared" si="3"/>
        <v>105.338682</v>
      </c>
      <c r="F93" s="105">
        <v>2.9</v>
      </c>
      <c r="G93" s="99">
        <v>0.5</v>
      </c>
      <c r="H93" s="98" t="s">
        <v>964</v>
      </c>
      <c r="I93" s="99">
        <v>5.85</v>
      </c>
      <c r="J93" s="100">
        <v>47.82529427083334</v>
      </c>
      <c r="K93" s="100">
        <f t="shared" si="2"/>
        <v>305.4821778</v>
      </c>
    </row>
    <row r="94" spans="1:11" s="24" customFormat="1" ht="14.25" customHeight="1">
      <c r="A94" s="93" t="s">
        <v>1036</v>
      </c>
      <c r="B94" s="102" t="str">
        <f t="shared" si="4"/>
        <v>05/23/05</v>
      </c>
      <c r="C94" s="103">
        <v>0.4583333333333333</v>
      </c>
      <c r="D94" s="104">
        <v>4810</v>
      </c>
      <c r="E94" s="99">
        <f t="shared" si="3"/>
        <v>136.2040485</v>
      </c>
      <c r="F94" s="105">
        <v>3.22</v>
      </c>
      <c r="G94" s="99">
        <v>0.62</v>
      </c>
      <c r="H94" s="98" t="s">
        <v>964</v>
      </c>
      <c r="I94" s="99">
        <v>5.05</v>
      </c>
      <c r="J94" s="100">
        <v>41.43799583333333</v>
      </c>
      <c r="K94" s="100">
        <f t="shared" si="2"/>
        <v>438.57703617000004</v>
      </c>
    </row>
    <row r="95" spans="1:11" s="24" customFormat="1" ht="14.25" customHeight="1">
      <c r="A95" s="93" t="s">
        <v>1037</v>
      </c>
      <c r="B95" s="102" t="str">
        <f t="shared" si="4"/>
        <v>05/30/05</v>
      </c>
      <c r="C95" s="103">
        <v>0.59375</v>
      </c>
      <c r="D95" s="104">
        <v>2590</v>
      </c>
      <c r="E95" s="99">
        <f t="shared" si="3"/>
        <v>73.3406415</v>
      </c>
      <c r="F95" s="105">
        <v>4.65</v>
      </c>
      <c r="G95" s="99">
        <v>0.8</v>
      </c>
      <c r="H95" s="98">
        <v>0.01</v>
      </c>
      <c r="I95" s="99">
        <v>7.61</v>
      </c>
      <c r="J95" s="100">
        <v>48.1430703125</v>
      </c>
      <c r="K95" s="100">
        <f t="shared" si="2"/>
        <v>341.0339829750001</v>
      </c>
    </row>
    <row r="96" spans="1:11" s="24" customFormat="1" ht="14.25" customHeight="1">
      <c r="A96" s="93" t="s">
        <v>1038</v>
      </c>
      <c r="B96" s="102" t="str">
        <f t="shared" si="4"/>
        <v>06/08/05</v>
      </c>
      <c r="C96" s="103">
        <v>0.3902777777777778</v>
      </c>
      <c r="D96" s="104">
        <v>2050</v>
      </c>
      <c r="E96" s="99">
        <f t="shared" si="3"/>
        <v>58.0495425</v>
      </c>
      <c r="F96" s="105">
        <v>5.66</v>
      </c>
      <c r="G96" s="99">
        <v>0.96</v>
      </c>
      <c r="H96" s="98">
        <v>0.02</v>
      </c>
      <c r="I96" s="99">
        <v>9.44</v>
      </c>
      <c r="J96" s="100">
        <v>55.261253645833335</v>
      </c>
      <c r="K96" s="100">
        <f t="shared" si="2"/>
        <v>328.56041055000003</v>
      </c>
    </row>
    <row r="97" spans="1:11" s="24" customFormat="1" ht="14.25" customHeight="1">
      <c r="A97" s="93" t="s">
        <v>1039</v>
      </c>
      <c r="B97" s="102" t="str">
        <f t="shared" si="4"/>
        <v>06/13/05</v>
      </c>
      <c r="C97" s="103">
        <v>0.7270833333333333</v>
      </c>
      <c r="D97" s="104">
        <v>1770</v>
      </c>
      <c r="E97" s="99">
        <f t="shared" si="3"/>
        <v>50.120824500000005</v>
      </c>
      <c r="F97" s="105">
        <v>6.17</v>
      </c>
      <c r="G97" s="99">
        <v>1.01</v>
      </c>
      <c r="H97" s="98">
        <v>0.01</v>
      </c>
      <c r="I97" s="99">
        <v>10.5</v>
      </c>
      <c r="J97" s="100">
        <v>59.360564583333336</v>
      </c>
      <c r="K97" s="100">
        <f t="shared" si="2"/>
        <v>309.24548716500004</v>
      </c>
    </row>
    <row r="98" spans="1:11" s="24" customFormat="1" ht="14.25" customHeight="1">
      <c r="A98" s="93" t="s">
        <v>1040</v>
      </c>
      <c r="B98" s="102" t="str">
        <f t="shared" si="4"/>
        <v>06/27/05</v>
      </c>
      <c r="C98" s="103">
        <v>0.75</v>
      </c>
      <c r="D98" s="104">
        <v>1250</v>
      </c>
      <c r="E98" s="99">
        <f t="shared" si="3"/>
        <v>35.3960625</v>
      </c>
      <c r="F98" s="105">
        <v>7.2</v>
      </c>
      <c r="G98" s="99">
        <v>1.09</v>
      </c>
      <c r="H98" s="98">
        <v>0.07</v>
      </c>
      <c r="I98" s="99">
        <v>12.8</v>
      </c>
      <c r="J98" s="100">
        <v>61.712107291666676</v>
      </c>
      <c r="K98" s="100">
        <f t="shared" si="2"/>
        <v>254.85165</v>
      </c>
    </row>
    <row r="99" spans="1:11" s="24" customFormat="1" ht="14.25" customHeight="1">
      <c r="A99" s="93" t="s">
        <v>1041</v>
      </c>
      <c r="B99" s="102" t="str">
        <f t="shared" si="4"/>
        <v>07/11/05</v>
      </c>
      <c r="C99" s="103">
        <v>0.6215277777777778</v>
      </c>
      <c r="D99" s="104">
        <v>659</v>
      </c>
      <c r="E99" s="99">
        <f t="shared" si="3"/>
        <v>18.66080415</v>
      </c>
      <c r="F99" s="105">
        <v>10.7</v>
      </c>
      <c r="G99" s="99">
        <v>1.57</v>
      </c>
      <c r="H99" s="98">
        <v>0.03</v>
      </c>
      <c r="I99" s="99">
        <v>19.8</v>
      </c>
      <c r="J99" s="100">
        <v>77.53735416666666</v>
      </c>
      <c r="K99" s="100">
        <f t="shared" si="2"/>
        <v>199.670604405</v>
      </c>
    </row>
    <row r="100" spans="1:11" s="24" customFormat="1" ht="14.25" customHeight="1">
      <c r="A100" s="93" t="s">
        <v>1042</v>
      </c>
      <c r="B100" s="102" t="str">
        <f t="shared" si="4"/>
        <v>07/18/05</v>
      </c>
      <c r="C100" s="103">
        <v>0.6041666666666666</v>
      </c>
      <c r="D100" s="104">
        <v>479</v>
      </c>
      <c r="E100" s="99">
        <f t="shared" si="3"/>
        <v>13.56377115</v>
      </c>
      <c r="F100" s="105">
        <v>12.9</v>
      </c>
      <c r="G100" s="99">
        <v>1.75</v>
      </c>
      <c r="H100" s="98">
        <v>0.03</v>
      </c>
      <c r="I100" s="99">
        <v>24.5</v>
      </c>
      <c r="J100" s="100">
        <v>81.19177864583335</v>
      </c>
      <c r="K100" s="100">
        <f t="shared" si="2"/>
        <v>174.972647835</v>
      </c>
    </row>
    <row r="101" spans="1:11" s="24" customFormat="1" ht="14.25" customHeight="1">
      <c r="A101" s="93" t="s">
        <v>1043</v>
      </c>
      <c r="B101" s="102" t="str">
        <f t="shared" si="4"/>
        <v>07/25/05</v>
      </c>
      <c r="C101" s="103" t="s">
        <v>1549</v>
      </c>
      <c r="D101" s="104">
        <v>405</v>
      </c>
      <c r="E101" s="99">
        <f t="shared" si="3"/>
        <v>11.46832425</v>
      </c>
      <c r="F101" s="105">
        <v>14</v>
      </c>
      <c r="G101" s="99">
        <v>1.81</v>
      </c>
      <c r="H101" s="98">
        <v>0.04</v>
      </c>
      <c r="I101" s="99">
        <v>27.2</v>
      </c>
      <c r="J101" s="100">
        <v>85.54531041666667</v>
      </c>
      <c r="K101" s="100">
        <f t="shared" si="2"/>
        <v>160.5565395</v>
      </c>
    </row>
    <row r="102" spans="1:11" s="24" customFormat="1" ht="14.25" customHeight="1">
      <c r="A102" s="93" t="s">
        <v>1044</v>
      </c>
      <c r="B102" s="102" t="str">
        <f t="shared" si="4"/>
        <v>08/15/05</v>
      </c>
      <c r="C102" s="103">
        <v>0.5104166666666666</v>
      </c>
      <c r="D102" s="104">
        <v>315</v>
      </c>
      <c r="E102" s="99">
        <f t="shared" si="3"/>
        <v>8.91980775</v>
      </c>
      <c r="F102" s="105">
        <v>16.5</v>
      </c>
      <c r="G102" s="99">
        <v>2.02</v>
      </c>
      <c r="H102" s="98">
        <v>0.04</v>
      </c>
      <c r="I102" s="99">
        <v>31.6</v>
      </c>
      <c r="J102" s="100">
        <v>92.63171614583334</v>
      </c>
      <c r="K102" s="100">
        <f t="shared" si="2"/>
        <v>147.17682787500001</v>
      </c>
    </row>
    <row r="103" spans="1:11" s="24" customFormat="1" ht="14.25" customHeight="1">
      <c r="A103" s="93" t="s">
        <v>1045</v>
      </c>
      <c r="B103" s="102" t="str">
        <f t="shared" si="4"/>
        <v>08/29/05</v>
      </c>
      <c r="C103" s="103">
        <v>0.6666666666666666</v>
      </c>
      <c r="D103" s="104">
        <v>297</v>
      </c>
      <c r="E103" s="99">
        <f t="shared" si="3"/>
        <v>8.41010445</v>
      </c>
      <c r="F103" s="105">
        <v>17.5</v>
      </c>
      <c r="G103" s="99">
        <v>2.14</v>
      </c>
      <c r="H103" s="98">
        <v>0.05</v>
      </c>
      <c r="I103" s="99">
        <v>32.5</v>
      </c>
      <c r="J103" s="100">
        <v>91.67838802083334</v>
      </c>
      <c r="K103" s="100">
        <f t="shared" si="2"/>
        <v>147.17682787500001</v>
      </c>
    </row>
    <row r="104" spans="1:11" s="24" customFormat="1" ht="14.25" customHeight="1">
      <c r="A104" s="93" t="s">
        <v>1046</v>
      </c>
      <c r="B104" s="102" t="str">
        <f t="shared" si="4"/>
        <v>09/13/05</v>
      </c>
      <c r="C104" s="103">
        <v>0.6458333333333334</v>
      </c>
      <c r="D104" s="104">
        <v>302</v>
      </c>
      <c r="E104" s="99">
        <f t="shared" si="3"/>
        <v>8.5516887</v>
      </c>
      <c r="F104" s="105">
        <v>17.3</v>
      </c>
      <c r="G104" s="99">
        <v>1.99</v>
      </c>
      <c r="H104" s="98">
        <v>0.04</v>
      </c>
      <c r="I104" s="99">
        <v>33.2</v>
      </c>
      <c r="J104" s="100">
        <v>100.73500520833332</v>
      </c>
      <c r="K104" s="100">
        <f t="shared" si="2"/>
        <v>147.94421451</v>
      </c>
    </row>
    <row r="105" spans="1:11" s="24" customFormat="1" ht="14.25" customHeight="1">
      <c r="A105" s="14" t="s">
        <v>1267</v>
      </c>
      <c r="B105" s="102"/>
      <c r="C105" s="103"/>
      <c r="D105" s="104"/>
      <c r="E105" s="99"/>
      <c r="F105" s="105"/>
      <c r="G105" s="99"/>
      <c r="H105" s="98"/>
      <c r="I105" s="99"/>
      <c r="J105" s="100"/>
      <c r="K105" s="100"/>
    </row>
    <row r="106" spans="1:11" s="24" customFormat="1" ht="14.25" customHeight="1">
      <c r="A106" s="93" t="s">
        <v>1047</v>
      </c>
      <c r="B106" s="102" t="str">
        <f t="shared" si="4"/>
        <v>10/17/05</v>
      </c>
      <c r="C106" s="103">
        <v>0.625</v>
      </c>
      <c r="D106" s="104">
        <v>319</v>
      </c>
      <c r="E106" s="99">
        <f t="shared" si="3"/>
        <v>9.03307515</v>
      </c>
      <c r="F106" s="105">
        <v>17.3</v>
      </c>
      <c r="G106" s="99">
        <v>2.11</v>
      </c>
      <c r="H106" s="98">
        <v>0.04</v>
      </c>
      <c r="I106" s="99">
        <v>31.1</v>
      </c>
      <c r="J106" s="100">
        <v>93.45793385416667</v>
      </c>
      <c r="K106" s="100">
        <f t="shared" si="2"/>
        <v>156.27220009500002</v>
      </c>
    </row>
    <row r="107" spans="1:11" s="24" customFormat="1" ht="14.25" customHeight="1">
      <c r="A107" s="93" t="s">
        <v>1048</v>
      </c>
      <c r="B107" s="102" t="str">
        <f t="shared" si="4"/>
        <v>11/15/05</v>
      </c>
      <c r="C107" s="103">
        <v>0.5520833333333334</v>
      </c>
      <c r="D107" s="104">
        <v>405</v>
      </c>
      <c r="E107" s="99">
        <f t="shared" si="3"/>
        <v>11.46832425</v>
      </c>
      <c r="F107" s="105">
        <v>17.5</v>
      </c>
      <c r="G107" s="99">
        <v>2.51</v>
      </c>
      <c r="H107" s="98">
        <v>0.03</v>
      </c>
      <c r="I107" s="99">
        <v>23.6</v>
      </c>
      <c r="J107" s="100">
        <v>80.5562265625</v>
      </c>
      <c r="K107" s="100">
        <f t="shared" si="2"/>
        <v>200.695674375</v>
      </c>
    </row>
    <row r="108" spans="1:11" s="24" customFormat="1" ht="14.25" customHeight="1">
      <c r="A108" s="93" t="s">
        <v>1049</v>
      </c>
      <c r="B108" s="102" t="str">
        <f t="shared" si="4"/>
        <v>12/13/05</v>
      </c>
      <c r="C108" s="103">
        <v>0.6854166666666667</v>
      </c>
      <c r="D108" s="104">
        <v>337</v>
      </c>
      <c r="E108" s="99">
        <f t="shared" si="3"/>
        <v>9.54277845</v>
      </c>
      <c r="F108" s="105">
        <v>18</v>
      </c>
      <c r="G108" s="99">
        <v>2.34</v>
      </c>
      <c r="H108" s="98">
        <v>0.05</v>
      </c>
      <c r="I108" s="99">
        <v>28.5</v>
      </c>
      <c r="J108" s="100">
        <v>85.95841927083335</v>
      </c>
      <c r="K108" s="100">
        <f t="shared" si="2"/>
        <v>171.7700121</v>
      </c>
    </row>
    <row r="109" spans="1:11" s="24" customFormat="1" ht="14.25" customHeight="1">
      <c r="A109" s="93" t="s">
        <v>1050</v>
      </c>
      <c r="B109" s="102">
        <v>38734</v>
      </c>
      <c r="C109" s="103">
        <v>0.6930555555555555</v>
      </c>
      <c r="D109" s="104">
        <v>415</v>
      </c>
      <c r="E109" s="99">
        <f t="shared" si="3"/>
        <v>11.75149275</v>
      </c>
      <c r="F109" s="105">
        <v>17.7</v>
      </c>
      <c r="G109" s="99">
        <v>2.5</v>
      </c>
      <c r="H109" s="98">
        <v>0.04</v>
      </c>
      <c r="I109" s="99">
        <v>25.2</v>
      </c>
      <c r="J109" s="100">
        <v>81.98621874999999</v>
      </c>
      <c r="K109" s="100">
        <f t="shared" si="2"/>
        <v>208.001421675</v>
      </c>
    </row>
    <row r="110" spans="1:11" s="24" customFormat="1" ht="14.25" customHeight="1">
      <c r="A110" s="93" t="s">
        <v>1051</v>
      </c>
      <c r="B110" s="102" t="str">
        <f t="shared" si="4"/>
        <v>02/14/06</v>
      </c>
      <c r="C110" s="96">
        <v>0.46875</v>
      </c>
      <c r="D110" s="104">
        <v>347</v>
      </c>
      <c r="E110" s="99">
        <f t="shared" si="3"/>
        <v>9.82594695</v>
      </c>
      <c r="F110" s="105">
        <v>18.5</v>
      </c>
      <c r="G110" s="99">
        <v>2.39</v>
      </c>
      <c r="H110" s="98">
        <v>0.05</v>
      </c>
      <c r="I110" s="99">
        <v>28.5</v>
      </c>
      <c r="J110" s="100">
        <v>87.07063541666666</v>
      </c>
      <c r="K110" s="100">
        <f t="shared" si="2"/>
        <v>181.780018575</v>
      </c>
    </row>
    <row r="111" spans="1:11" s="24" customFormat="1" ht="14.25" customHeight="1">
      <c r="A111" s="93" t="s">
        <v>1052</v>
      </c>
      <c r="B111" s="102" t="str">
        <f t="shared" si="4"/>
        <v>03/07/06</v>
      </c>
      <c r="C111" s="96">
        <v>0.5416666666666666</v>
      </c>
      <c r="D111" s="104">
        <v>366</v>
      </c>
      <c r="E111" s="99">
        <f t="shared" si="3"/>
        <v>10.3639671</v>
      </c>
      <c r="F111" s="105">
        <v>18.2</v>
      </c>
      <c r="G111" s="99">
        <v>2.41</v>
      </c>
      <c r="H111" s="98">
        <v>0.05</v>
      </c>
      <c r="I111" s="99">
        <v>28</v>
      </c>
      <c r="J111" s="100">
        <v>85.16397916666668</v>
      </c>
      <c r="K111" s="100">
        <f t="shared" si="2"/>
        <v>188.62420122</v>
      </c>
    </row>
    <row r="112" spans="1:11" s="24" customFormat="1" ht="14.25" customHeight="1">
      <c r="A112" s="93" t="s">
        <v>1053</v>
      </c>
      <c r="B112" s="102" t="str">
        <f t="shared" si="4"/>
        <v>03/21/06</v>
      </c>
      <c r="C112" s="96">
        <v>0.71875</v>
      </c>
      <c r="D112" s="104">
        <v>342</v>
      </c>
      <c r="E112" s="99">
        <f t="shared" si="3"/>
        <v>9.684362700000001</v>
      </c>
      <c r="F112" s="105">
        <v>19.2</v>
      </c>
      <c r="G112" s="99">
        <v>2.51</v>
      </c>
      <c r="H112" s="98">
        <v>0.05</v>
      </c>
      <c r="I112" s="99">
        <v>29.3</v>
      </c>
      <c r="J112" s="100">
        <v>87.38841145833332</v>
      </c>
      <c r="K112" s="100">
        <f t="shared" si="2"/>
        <v>185.93976384</v>
      </c>
    </row>
    <row r="113" spans="1:11" s="24" customFormat="1" ht="14.25" customHeight="1">
      <c r="A113" s="93" t="s">
        <v>1054</v>
      </c>
      <c r="B113" s="102" t="str">
        <f t="shared" si="4"/>
        <v>04/18/06</v>
      </c>
      <c r="C113" s="96">
        <v>0.6041666666666666</v>
      </c>
      <c r="D113" s="104">
        <v>948</v>
      </c>
      <c r="E113" s="99">
        <f t="shared" si="3"/>
        <v>26.8443738</v>
      </c>
      <c r="F113" s="105">
        <v>14.6</v>
      </c>
      <c r="G113" s="99">
        <v>1.93</v>
      </c>
      <c r="H113" s="98">
        <v>0.03</v>
      </c>
      <c r="I113" s="99">
        <v>24.7</v>
      </c>
      <c r="J113" s="100">
        <v>90.88394791666667</v>
      </c>
      <c r="K113" s="100">
        <f t="shared" si="2"/>
        <v>391.92785748</v>
      </c>
    </row>
    <row r="114" spans="1:11" s="24" customFormat="1" ht="14.25" customHeight="1">
      <c r="A114" s="93" t="s">
        <v>1055</v>
      </c>
      <c r="B114" s="102" t="str">
        <f t="shared" si="4"/>
        <v>04/25/06</v>
      </c>
      <c r="C114" s="96">
        <v>0.5729166666666666</v>
      </c>
      <c r="D114" s="104">
        <v>1420</v>
      </c>
      <c r="E114" s="99">
        <f t="shared" si="3"/>
        <v>40.209927</v>
      </c>
      <c r="F114" s="105">
        <v>6.77</v>
      </c>
      <c r="G114" s="99">
        <v>0.94</v>
      </c>
      <c r="H114" s="98">
        <v>0.01</v>
      </c>
      <c r="I114" s="99">
        <v>12.7</v>
      </c>
      <c r="J114" s="100">
        <v>72.77071354166668</v>
      </c>
      <c r="K114" s="100">
        <f t="shared" si="2"/>
        <v>272.22120579</v>
      </c>
    </row>
    <row r="115" spans="1:11" s="24" customFormat="1" ht="14.25" customHeight="1">
      <c r="A115" s="93" t="s">
        <v>1056</v>
      </c>
      <c r="B115" s="102" t="str">
        <f t="shared" si="4"/>
        <v>05/02/06</v>
      </c>
      <c r="C115" s="96">
        <v>0.6791666666666667</v>
      </c>
      <c r="D115" s="104">
        <v>2810</v>
      </c>
      <c r="E115" s="99">
        <f t="shared" si="3"/>
        <v>79.57034850000001</v>
      </c>
      <c r="F115" s="105">
        <v>4.45</v>
      </c>
      <c r="G115" s="99">
        <v>0.66</v>
      </c>
      <c r="H115" s="98" t="s">
        <v>964</v>
      </c>
      <c r="I115" s="99">
        <v>8.32</v>
      </c>
      <c r="J115" s="100">
        <v>59.106343750000015</v>
      </c>
      <c r="K115" s="100">
        <f t="shared" si="2"/>
        <v>354.08805082500004</v>
      </c>
    </row>
    <row r="116" spans="1:11" s="24" customFormat="1" ht="14.25" customHeight="1">
      <c r="A116" s="93" t="s">
        <v>1057</v>
      </c>
      <c r="B116" s="102" t="str">
        <f t="shared" si="4"/>
        <v>05/10/06</v>
      </c>
      <c r="C116" s="96">
        <v>0.6041666666666666</v>
      </c>
      <c r="D116" s="104">
        <v>2380</v>
      </c>
      <c r="E116" s="99">
        <f t="shared" si="3"/>
        <v>67.394103</v>
      </c>
      <c r="F116" s="105">
        <v>5.96</v>
      </c>
      <c r="G116" s="99">
        <v>0.95</v>
      </c>
      <c r="H116" s="98">
        <v>0.01</v>
      </c>
      <c r="I116" s="99">
        <v>9.86</v>
      </c>
      <c r="J116" s="100">
        <v>58.78856770833334</v>
      </c>
      <c r="K116" s="100">
        <f t="shared" si="2"/>
        <v>401.66885388000003</v>
      </c>
    </row>
    <row r="117" spans="1:11" s="24" customFormat="1" ht="14.25" customHeight="1">
      <c r="A117" s="93" t="s">
        <v>1058</v>
      </c>
      <c r="B117" s="102" t="str">
        <f t="shared" si="4"/>
        <v>05/16/06</v>
      </c>
      <c r="C117" s="96">
        <v>0.638888888888889</v>
      </c>
      <c r="D117" s="104">
        <v>4680</v>
      </c>
      <c r="E117" s="99">
        <f t="shared" si="3"/>
        <v>132.522858</v>
      </c>
      <c r="F117" s="105">
        <v>2.75</v>
      </c>
      <c r="G117" s="99">
        <v>0.53</v>
      </c>
      <c r="H117" s="98" t="s">
        <v>964</v>
      </c>
      <c r="I117" s="99">
        <v>5.27</v>
      </c>
      <c r="J117" s="100">
        <v>46.39530208333333</v>
      </c>
      <c r="K117" s="100">
        <f t="shared" si="2"/>
        <v>364.43785950000006</v>
      </c>
    </row>
    <row r="118" spans="1:11" s="24" customFormat="1" ht="14.25" customHeight="1">
      <c r="A118" s="93" t="s">
        <v>1059</v>
      </c>
      <c r="B118" s="102" t="str">
        <f t="shared" si="4"/>
        <v>05/23/06</v>
      </c>
      <c r="C118" s="96">
        <v>0.5625</v>
      </c>
      <c r="D118" s="104">
        <v>6120</v>
      </c>
      <c r="E118" s="99">
        <f t="shared" si="3"/>
        <v>173.299122</v>
      </c>
      <c r="F118" s="105">
        <v>2.96</v>
      </c>
      <c r="G118" s="99">
        <v>0.53</v>
      </c>
      <c r="H118" s="98" t="s">
        <v>964</v>
      </c>
      <c r="I118" s="99">
        <v>4.63</v>
      </c>
      <c r="J118" s="100">
        <v>41.94643750000001</v>
      </c>
      <c r="K118" s="100">
        <f t="shared" si="2"/>
        <v>512.96540112</v>
      </c>
    </row>
    <row r="119" spans="1:11" s="24" customFormat="1" ht="14.25" customHeight="1">
      <c r="A119" s="93" t="s">
        <v>1060</v>
      </c>
      <c r="B119" s="102" t="str">
        <f t="shared" si="4"/>
        <v>05/30/06</v>
      </c>
      <c r="C119" s="96">
        <v>0.6666666666666666</v>
      </c>
      <c r="D119" s="104">
        <v>2960</v>
      </c>
      <c r="E119" s="99">
        <f t="shared" si="3"/>
        <v>83.817876</v>
      </c>
      <c r="F119" s="105">
        <v>5.1</v>
      </c>
      <c r="G119" s="99">
        <v>0.92</v>
      </c>
      <c r="H119" s="98">
        <v>0.01</v>
      </c>
      <c r="I119" s="99">
        <v>8.29</v>
      </c>
      <c r="J119" s="100">
        <v>51.16194270833335</v>
      </c>
      <c r="K119" s="100">
        <f t="shared" si="2"/>
        <v>427.47116759999994</v>
      </c>
    </row>
    <row r="120" spans="1:11" s="24" customFormat="1" ht="14.25" customHeight="1">
      <c r="A120" s="93" t="s">
        <v>1061</v>
      </c>
      <c r="B120" s="102" t="str">
        <f t="shared" si="4"/>
        <v>06/06/06</v>
      </c>
      <c r="C120" s="96">
        <v>0.7083333333333334</v>
      </c>
      <c r="D120" s="104">
        <v>3920</v>
      </c>
      <c r="E120" s="99">
        <f t="shared" si="3"/>
        <v>111.002052</v>
      </c>
      <c r="F120" s="105">
        <v>3.32</v>
      </c>
      <c r="G120" s="99">
        <v>0.59</v>
      </c>
      <c r="H120" s="98" t="s">
        <v>964</v>
      </c>
      <c r="I120" s="99">
        <v>6.01</v>
      </c>
      <c r="J120" s="100">
        <v>43.53531770833333</v>
      </c>
      <c r="K120" s="100">
        <f t="shared" si="2"/>
        <v>368.52681264</v>
      </c>
    </row>
    <row r="121" spans="1:11" ht="12.75">
      <c r="A121" s="93" t="s">
        <v>1062</v>
      </c>
      <c r="B121" s="102" t="str">
        <f>MID(A121,5,2)&amp;"/"&amp;MID(A121,7,2)&amp;"/"&amp;MID(A121,9,2)</f>
        <v>06/14/06</v>
      </c>
      <c r="C121" s="96">
        <v>0.6770833333333334</v>
      </c>
      <c r="D121" s="97">
        <v>2980</v>
      </c>
      <c r="E121" s="99">
        <f t="shared" si="3"/>
        <v>84.384213</v>
      </c>
      <c r="F121" s="105">
        <v>3.97</v>
      </c>
      <c r="G121" s="99">
        <v>0.69</v>
      </c>
      <c r="H121" s="98" t="s">
        <v>964</v>
      </c>
      <c r="I121" s="99">
        <v>7.23</v>
      </c>
      <c r="J121" s="100">
        <v>45.600861979166666</v>
      </c>
      <c r="K121" s="100">
        <f t="shared" si="2"/>
        <v>335.00532561</v>
      </c>
    </row>
    <row r="122" spans="1:11" ht="12.75">
      <c r="A122" s="93" t="s">
        <v>1063</v>
      </c>
      <c r="B122" s="102" t="str">
        <f aca="true" t="shared" si="5" ref="B122:B130">MID(A122,5,2)&amp;"/"&amp;MID(A122,7,2)&amp;"/"&amp;MID(A122,9,2)</f>
        <v>06/20/06</v>
      </c>
      <c r="C122" s="96">
        <v>0.5625</v>
      </c>
      <c r="D122" s="97">
        <v>1920</v>
      </c>
      <c r="E122" s="99">
        <f t="shared" si="3"/>
        <v>54.368352</v>
      </c>
      <c r="F122" s="105">
        <v>5.54</v>
      </c>
      <c r="G122" s="99">
        <v>0.94</v>
      </c>
      <c r="H122" s="98">
        <v>0.01</v>
      </c>
      <c r="I122" s="99">
        <v>9.94</v>
      </c>
      <c r="J122" s="100">
        <v>52.591934895833326</v>
      </c>
      <c r="K122" s="100">
        <f t="shared" si="2"/>
        <v>301.20067008</v>
      </c>
    </row>
    <row r="123" spans="1:11" ht="12.75">
      <c r="A123" s="93" t="s">
        <v>1064</v>
      </c>
      <c r="B123" s="102" t="str">
        <f t="shared" si="5"/>
        <v>06/27/06</v>
      </c>
      <c r="C123" s="96">
        <v>0.6458333333333334</v>
      </c>
      <c r="D123" s="97">
        <v>1290</v>
      </c>
      <c r="E123" s="99">
        <f t="shared" si="3"/>
        <v>36.5287365</v>
      </c>
      <c r="F123" s="105">
        <v>8.06</v>
      </c>
      <c r="G123" s="99">
        <v>1.15</v>
      </c>
      <c r="H123" s="98">
        <v>0.02</v>
      </c>
      <c r="I123" s="99">
        <v>13</v>
      </c>
      <c r="J123" s="100">
        <v>59.900783854166676</v>
      </c>
      <c r="K123" s="100">
        <f t="shared" si="2"/>
        <v>294.42161619</v>
      </c>
    </row>
    <row r="124" spans="1:11" ht="12.75">
      <c r="A124" s="93" t="s">
        <v>1065</v>
      </c>
      <c r="B124" s="102" t="str">
        <f t="shared" si="5"/>
        <v>07/05/06</v>
      </c>
      <c r="C124" s="96">
        <v>0.8020833333333334</v>
      </c>
      <c r="D124" s="97">
        <v>901</v>
      </c>
      <c r="E124" s="99">
        <f t="shared" si="3"/>
        <v>25.51348185</v>
      </c>
      <c r="F124" s="105">
        <v>8.79</v>
      </c>
      <c r="G124" s="99">
        <v>1.44</v>
      </c>
      <c r="H124" s="98">
        <v>0.02</v>
      </c>
      <c r="I124" s="99">
        <v>16.6</v>
      </c>
      <c r="J124" s="100">
        <v>69.11628906250002</v>
      </c>
      <c r="K124" s="100">
        <f t="shared" si="2"/>
        <v>224.2635054615</v>
      </c>
    </row>
    <row r="125" spans="1:11" ht="12.75">
      <c r="A125" s="93" t="s">
        <v>1066</v>
      </c>
      <c r="B125" s="102" t="str">
        <f t="shared" si="5"/>
        <v>07/11/06</v>
      </c>
      <c r="C125" s="96">
        <v>0.6666666666666666</v>
      </c>
      <c r="D125" s="97">
        <v>720</v>
      </c>
      <c r="E125" s="99">
        <f t="shared" si="3"/>
        <v>20.388132000000002</v>
      </c>
      <c r="F125" s="105">
        <v>9.9</v>
      </c>
      <c r="G125" s="99">
        <v>1.58</v>
      </c>
      <c r="H125" s="98">
        <v>0.02</v>
      </c>
      <c r="I125" s="99">
        <v>19.2</v>
      </c>
      <c r="J125" s="100">
        <v>70.38739322916668</v>
      </c>
      <c r="K125" s="100">
        <f t="shared" si="2"/>
        <v>201.84250680000002</v>
      </c>
    </row>
    <row r="126" spans="1:11" ht="12.75">
      <c r="A126" s="93" t="s">
        <v>1067</v>
      </c>
      <c r="B126" s="102" t="str">
        <f t="shared" si="5"/>
        <v>07/19/06</v>
      </c>
      <c r="C126" s="96" t="s">
        <v>1549</v>
      </c>
      <c r="D126" s="97">
        <v>536</v>
      </c>
      <c r="E126" s="99">
        <f t="shared" si="3"/>
        <v>15.177831600000001</v>
      </c>
      <c r="F126" s="105">
        <v>11.8</v>
      </c>
      <c r="G126" s="99">
        <v>1.73</v>
      </c>
      <c r="H126" s="98">
        <v>0.03</v>
      </c>
      <c r="I126" s="99">
        <v>22.7</v>
      </c>
      <c r="J126" s="100">
        <v>77.219578125</v>
      </c>
      <c r="K126" s="100">
        <f t="shared" si="2"/>
        <v>179.09841288</v>
      </c>
    </row>
    <row r="127" spans="1:11" ht="12.75">
      <c r="A127" s="93" t="s">
        <v>1068</v>
      </c>
      <c r="B127" s="102" t="str">
        <f t="shared" si="5"/>
        <v>08/02/06</v>
      </c>
      <c r="C127" s="96" t="s">
        <v>1549</v>
      </c>
      <c r="D127" s="97">
        <v>441</v>
      </c>
      <c r="E127" s="99">
        <f t="shared" si="3"/>
        <v>12.48773085</v>
      </c>
      <c r="F127" s="105">
        <v>12.8</v>
      </c>
      <c r="G127" s="99">
        <v>1.76</v>
      </c>
      <c r="H127" s="98">
        <v>0.03</v>
      </c>
      <c r="I127" s="99">
        <v>26.1</v>
      </c>
      <c r="J127" s="100">
        <v>79.6028984375</v>
      </c>
      <c r="K127" s="100">
        <f t="shared" si="2"/>
        <v>159.84295488</v>
      </c>
    </row>
    <row r="128" spans="1:11" ht="12.75">
      <c r="A128" s="93" t="s">
        <v>1069</v>
      </c>
      <c r="B128" s="102" t="str">
        <f t="shared" si="5"/>
        <v>08/16/06</v>
      </c>
      <c r="C128" s="96" t="s">
        <v>1549</v>
      </c>
      <c r="D128" s="97">
        <v>347</v>
      </c>
      <c r="E128" s="99">
        <f t="shared" si="3"/>
        <v>9.82594695</v>
      </c>
      <c r="F128" s="105">
        <v>14.9</v>
      </c>
      <c r="G128" s="99">
        <v>1.96</v>
      </c>
      <c r="H128" s="98">
        <v>0.04</v>
      </c>
      <c r="I128" s="99">
        <v>29.8</v>
      </c>
      <c r="J128" s="100">
        <v>83.89287500000002</v>
      </c>
      <c r="K128" s="100">
        <f t="shared" si="2"/>
        <v>146.40660955500002</v>
      </c>
    </row>
    <row r="129" spans="1:11" ht="12.75">
      <c r="A129" s="93" t="s">
        <v>1070</v>
      </c>
      <c r="B129" s="102" t="str">
        <f t="shared" si="5"/>
        <v>08/29/06</v>
      </c>
      <c r="C129" s="96">
        <v>0.625</v>
      </c>
      <c r="D129" s="97">
        <v>324</v>
      </c>
      <c r="E129" s="99">
        <f t="shared" si="3"/>
        <v>9.1746594</v>
      </c>
      <c r="F129" s="105">
        <v>14.4</v>
      </c>
      <c r="G129" s="99">
        <v>1.94</v>
      </c>
      <c r="H129" s="98">
        <v>0.03</v>
      </c>
      <c r="I129" s="99">
        <v>28.5</v>
      </c>
      <c r="J129" s="100">
        <v>91.5195</v>
      </c>
      <c r="K129" s="100">
        <f t="shared" si="2"/>
        <v>132.11509536</v>
      </c>
    </row>
    <row r="130" spans="1:11" ht="12.75">
      <c r="A130" s="93" t="s">
        <v>1071</v>
      </c>
      <c r="B130" s="102" t="str">
        <f t="shared" si="5"/>
        <v>09/15/06</v>
      </c>
      <c r="C130" s="96">
        <v>0.4513888888888889</v>
      </c>
      <c r="D130" s="97">
        <v>302</v>
      </c>
      <c r="E130" s="99">
        <f t="shared" si="3"/>
        <v>8.5516887</v>
      </c>
      <c r="F130" s="105">
        <v>17</v>
      </c>
      <c r="G130" s="99">
        <v>2.15</v>
      </c>
      <c r="H130" s="98">
        <v>0.04</v>
      </c>
      <c r="I130" s="99">
        <v>32.5</v>
      </c>
      <c r="J130" s="100">
        <v>89.93061979166667</v>
      </c>
      <c r="K130" s="100">
        <f t="shared" si="2"/>
        <v>145.3787079</v>
      </c>
    </row>
    <row r="131" spans="1:11" ht="12.75">
      <c r="A131" s="14" t="s">
        <v>1268</v>
      </c>
      <c r="B131" s="102"/>
      <c r="C131" s="96"/>
      <c r="D131" s="97">
        <v>289</v>
      </c>
      <c r="E131" s="99">
        <f t="shared" si="3"/>
        <v>8.18356965</v>
      </c>
      <c r="F131" s="105"/>
      <c r="G131" s="99"/>
      <c r="H131" s="98"/>
      <c r="I131" s="99"/>
      <c r="J131" s="100"/>
      <c r="K131" s="100"/>
    </row>
    <row r="132" spans="1:11" ht="12.75">
      <c r="A132" s="93" t="s">
        <v>1072</v>
      </c>
      <c r="B132" s="102">
        <v>38992.458333333336</v>
      </c>
      <c r="C132" s="96">
        <v>0.4583333333333333</v>
      </c>
      <c r="D132" s="97">
        <v>289</v>
      </c>
      <c r="E132" s="99">
        <f t="shared" si="3"/>
        <v>8.18356965</v>
      </c>
      <c r="F132" s="105">
        <v>17.1</v>
      </c>
      <c r="G132" s="99">
        <v>2.2</v>
      </c>
      <c r="H132" s="98">
        <v>0.04</v>
      </c>
      <c r="I132" s="99">
        <v>31.2</v>
      </c>
      <c r="J132" s="100">
        <v>90.88394791666667</v>
      </c>
      <c r="K132" s="100">
        <f t="shared" si="2"/>
        <v>139.93904101500002</v>
      </c>
    </row>
    <row r="133" spans="1:11" ht="12.75">
      <c r="A133" s="93" t="s">
        <v>787</v>
      </c>
      <c r="B133" s="102">
        <v>39008.708333333336</v>
      </c>
      <c r="C133" s="96">
        <f>B133</f>
        <v>39008.708333333336</v>
      </c>
      <c r="D133" s="97">
        <v>361</v>
      </c>
      <c r="E133" s="99">
        <f t="shared" si="3"/>
        <v>10.22238285</v>
      </c>
      <c r="F133" s="99">
        <v>16.8</v>
      </c>
      <c r="G133" s="99">
        <v>2.29</v>
      </c>
      <c r="H133" s="98">
        <v>0.04</v>
      </c>
      <c r="I133" s="99">
        <v>27.9</v>
      </c>
      <c r="J133" s="100">
        <v>74.04181770833334</v>
      </c>
      <c r="K133" s="100">
        <f t="shared" si="2"/>
        <v>171.73603188</v>
      </c>
    </row>
    <row r="134" spans="1:11" s="24" customFormat="1" ht="12.75">
      <c r="A134" s="94" t="s">
        <v>788</v>
      </c>
      <c r="B134" s="102">
        <v>39096.645833333336</v>
      </c>
      <c r="C134" s="96">
        <f aca="true" t="shared" si="6" ref="C134:C160">B134</f>
        <v>39096.645833333336</v>
      </c>
      <c r="D134" s="97">
        <v>420</v>
      </c>
      <c r="E134" s="99">
        <f t="shared" si="3"/>
        <v>11.893077</v>
      </c>
      <c r="F134" s="105">
        <v>18.8</v>
      </c>
      <c r="G134" s="105">
        <v>2.57</v>
      </c>
      <c r="H134" s="91">
        <v>0.04</v>
      </c>
      <c r="I134" s="105">
        <v>28.8</v>
      </c>
      <c r="J134" s="100">
        <v>86.11730729166666</v>
      </c>
      <c r="K134" s="100">
        <f>E134*F134</f>
        <v>223.5898476</v>
      </c>
    </row>
    <row r="135" spans="1:11" ht="12.75">
      <c r="A135" s="93" t="s">
        <v>673</v>
      </c>
      <c r="B135" s="102">
        <v>39119.604166666664</v>
      </c>
      <c r="C135" s="96">
        <f t="shared" si="6"/>
        <v>39119.604166666664</v>
      </c>
      <c r="D135" s="97">
        <v>289</v>
      </c>
      <c r="E135" s="99">
        <f t="shared" si="3"/>
        <v>8.18356965</v>
      </c>
      <c r="F135" s="99">
        <v>18.9</v>
      </c>
      <c r="G135" s="99">
        <v>2.5</v>
      </c>
      <c r="H135" s="98">
        <v>0.05</v>
      </c>
      <c r="I135" s="99">
        <v>29.9</v>
      </c>
      <c r="J135" s="100">
        <v>86.59397135416667</v>
      </c>
      <c r="K135" s="100">
        <f>E135*F135</f>
        <v>154.669466385</v>
      </c>
    </row>
    <row r="136" spans="1:11" ht="12.75">
      <c r="A136" s="93" t="s">
        <v>674</v>
      </c>
      <c r="B136" s="102">
        <v>39149.47222222222</v>
      </c>
      <c r="C136" s="96">
        <f t="shared" si="6"/>
        <v>39149.47222222222</v>
      </c>
      <c r="D136" s="97">
        <v>333</v>
      </c>
      <c r="E136" s="99">
        <f t="shared" si="3"/>
        <v>9.42951105</v>
      </c>
      <c r="F136" s="99">
        <v>18.3</v>
      </c>
      <c r="G136" s="99">
        <v>2.49</v>
      </c>
      <c r="H136" s="98">
        <v>0.04</v>
      </c>
      <c r="I136" s="99">
        <v>27.6</v>
      </c>
      <c r="J136" s="100">
        <v>85.48175520833334</v>
      </c>
      <c r="K136" s="100">
        <f>E136*F136</f>
        <v>172.560052215</v>
      </c>
    </row>
    <row r="137" spans="1:11" ht="12.75">
      <c r="A137" s="93" t="s">
        <v>675</v>
      </c>
      <c r="B137" s="102">
        <v>39178.354166666664</v>
      </c>
      <c r="C137" s="96">
        <f t="shared" si="6"/>
        <v>39178.354166666664</v>
      </c>
      <c r="D137" s="97">
        <v>507</v>
      </c>
      <c r="E137" s="99">
        <f t="shared" si="3"/>
        <v>14.356642950000001</v>
      </c>
      <c r="F137" s="99">
        <v>14.7</v>
      </c>
      <c r="G137" s="99">
        <v>1.95</v>
      </c>
      <c r="H137" s="98">
        <v>0.03</v>
      </c>
      <c r="I137" s="99">
        <v>26.1</v>
      </c>
      <c r="J137" s="100">
        <v>87.07063541666666</v>
      </c>
      <c r="K137" s="100">
        <f>E137*F137</f>
        <v>211.042651365</v>
      </c>
    </row>
    <row r="138" spans="1:11" ht="12.75">
      <c r="A138" s="93" t="s">
        <v>676</v>
      </c>
      <c r="B138" s="102">
        <v>39189.354166666664</v>
      </c>
      <c r="C138" s="96">
        <f t="shared" si="6"/>
        <v>39189.354166666664</v>
      </c>
      <c r="D138" s="97">
        <v>848</v>
      </c>
      <c r="E138" s="99">
        <f t="shared" si="3"/>
        <v>24.0126888</v>
      </c>
      <c r="F138" s="99">
        <v>9.66</v>
      </c>
      <c r="G138" s="99">
        <v>1.28</v>
      </c>
      <c r="H138" s="98">
        <v>0.02</v>
      </c>
      <c r="I138" s="99">
        <v>19.4</v>
      </c>
      <c r="J138" s="100">
        <v>81.35066666666667</v>
      </c>
      <c r="K138" s="100">
        <f>E138*F138</f>
        <v>231.962573808</v>
      </c>
    </row>
    <row r="139" spans="1:11" ht="12.75">
      <c r="A139" s="93" t="s">
        <v>491</v>
      </c>
      <c r="B139" s="102">
        <v>39191.70416666667</v>
      </c>
      <c r="C139" s="96">
        <f t="shared" si="6"/>
        <v>39191.70416666667</v>
      </c>
      <c r="D139" s="100">
        <v>819</v>
      </c>
      <c r="E139" s="99">
        <f t="shared" si="3"/>
        <v>23.19150015</v>
      </c>
      <c r="F139" s="99">
        <v>9.32</v>
      </c>
      <c r="G139" s="99">
        <v>1.26</v>
      </c>
      <c r="H139" s="98">
        <v>0.02</v>
      </c>
      <c r="I139" s="99">
        <v>17.8</v>
      </c>
      <c r="J139" s="100">
        <v>75.7895859375</v>
      </c>
      <c r="K139" s="100">
        <f aca="true" t="shared" si="7" ref="K139:K156">E139*F139</f>
        <v>216.144781398</v>
      </c>
    </row>
    <row r="140" spans="1:11" ht="12.75">
      <c r="A140" s="93" t="s">
        <v>492</v>
      </c>
      <c r="B140" s="102">
        <v>39203.708333333336</v>
      </c>
      <c r="C140" s="96">
        <f t="shared" si="6"/>
        <v>39203.708333333336</v>
      </c>
      <c r="D140" s="100">
        <v>3150</v>
      </c>
      <c r="E140" s="99">
        <f t="shared" si="3"/>
        <v>89.1980775</v>
      </c>
      <c r="F140" s="99">
        <v>3.47</v>
      </c>
      <c r="G140" s="99">
        <v>0.54</v>
      </c>
      <c r="H140" s="98" t="s">
        <v>964</v>
      </c>
      <c r="I140" s="99">
        <v>7.41</v>
      </c>
      <c r="J140" s="100">
        <v>51.0030546875</v>
      </c>
      <c r="K140" s="100">
        <f t="shared" si="7"/>
        <v>309.517328925</v>
      </c>
    </row>
    <row r="141" spans="1:11" ht="12.75">
      <c r="A141" s="93" t="s">
        <v>493</v>
      </c>
      <c r="B141" s="102">
        <v>39205.600694444445</v>
      </c>
      <c r="C141" s="96">
        <f t="shared" si="6"/>
        <v>39205.600694444445</v>
      </c>
      <c r="D141" s="100">
        <v>3510</v>
      </c>
      <c r="E141" s="99">
        <f t="shared" si="3"/>
        <v>99.3921435</v>
      </c>
      <c r="F141" s="99">
        <v>3.9</v>
      </c>
      <c r="G141" s="99">
        <v>0.84</v>
      </c>
      <c r="H141" s="98" t="s">
        <v>964</v>
      </c>
      <c r="I141" s="99">
        <v>5.32</v>
      </c>
      <c r="J141" s="100">
        <v>44.806421875</v>
      </c>
      <c r="K141" s="100">
        <f t="shared" si="7"/>
        <v>387.62935965</v>
      </c>
    </row>
    <row r="142" spans="1:11" ht="12.75">
      <c r="A142" s="93" t="s">
        <v>494</v>
      </c>
      <c r="B142" s="102">
        <v>39211.583333333336</v>
      </c>
      <c r="C142" s="96">
        <f t="shared" si="6"/>
        <v>39211.583333333336</v>
      </c>
      <c r="D142" s="100">
        <v>2790</v>
      </c>
      <c r="E142" s="99">
        <f t="shared" si="3"/>
        <v>79.0040115</v>
      </c>
      <c r="F142" s="99">
        <v>3.06</v>
      </c>
      <c r="G142" s="99">
        <v>0.52</v>
      </c>
      <c r="H142" s="98" t="s">
        <v>964</v>
      </c>
      <c r="I142" s="99">
        <v>6.12</v>
      </c>
      <c r="J142" s="100">
        <v>45.441973958333335</v>
      </c>
      <c r="K142" s="100">
        <f t="shared" si="7"/>
        <v>241.75227519</v>
      </c>
    </row>
    <row r="143" spans="1:11" ht="12.75">
      <c r="A143" s="93" t="s">
        <v>294</v>
      </c>
      <c r="B143" s="102">
        <v>39217.638194444444</v>
      </c>
      <c r="C143" s="96">
        <f t="shared" si="6"/>
        <v>39217.638194444444</v>
      </c>
      <c r="D143" s="100">
        <v>3070</v>
      </c>
      <c r="E143" s="99">
        <f t="shared" si="3"/>
        <v>86.93272950000001</v>
      </c>
      <c r="F143" s="99">
        <v>3.18</v>
      </c>
      <c r="G143" s="99">
        <v>0.49</v>
      </c>
      <c r="H143" s="98" t="s">
        <v>964</v>
      </c>
      <c r="I143" s="99">
        <v>6.44</v>
      </c>
      <c r="J143" s="100">
        <v>44.17086979166667</v>
      </c>
      <c r="K143" s="100">
        <f t="shared" si="7"/>
        <v>276.44607981</v>
      </c>
    </row>
    <row r="144" spans="1:11" ht="12.75">
      <c r="A144" s="93" t="s">
        <v>295</v>
      </c>
      <c r="B144" s="102">
        <v>39219.583333333336</v>
      </c>
      <c r="C144" s="96">
        <f t="shared" si="6"/>
        <v>39219.583333333336</v>
      </c>
      <c r="D144" s="100">
        <v>2930</v>
      </c>
      <c r="E144" s="99">
        <f t="shared" si="3"/>
        <v>82.9683705</v>
      </c>
      <c r="F144" s="99">
        <v>2.94</v>
      </c>
      <c r="G144" s="99">
        <v>0.5</v>
      </c>
      <c r="H144" s="98" t="s">
        <v>964</v>
      </c>
      <c r="I144" s="99">
        <v>5.81</v>
      </c>
      <c r="J144" s="100">
        <v>42.26421354166667</v>
      </c>
      <c r="K144" s="100">
        <f t="shared" si="7"/>
        <v>243.92700927</v>
      </c>
    </row>
    <row r="145" spans="1:11" ht="12.75">
      <c r="A145" s="93" t="s">
        <v>296</v>
      </c>
      <c r="B145" s="102">
        <v>39224.427083333336</v>
      </c>
      <c r="C145" s="96">
        <f t="shared" si="6"/>
        <v>39224.427083333336</v>
      </c>
      <c r="D145" s="100">
        <v>2500</v>
      </c>
      <c r="E145" s="99">
        <f t="shared" si="3"/>
        <v>70.792125</v>
      </c>
      <c r="F145" s="99">
        <v>3.98</v>
      </c>
      <c r="G145" s="99">
        <v>0.67</v>
      </c>
      <c r="H145" s="98" t="s">
        <v>964</v>
      </c>
      <c r="I145" s="99">
        <v>7.38</v>
      </c>
      <c r="J145" s="100">
        <v>47.34863020833334</v>
      </c>
      <c r="K145" s="100">
        <f t="shared" si="7"/>
        <v>281.7526575</v>
      </c>
    </row>
    <row r="146" spans="1:11" ht="12.75">
      <c r="A146" s="93" t="s">
        <v>297</v>
      </c>
      <c r="B146" s="102">
        <v>39231.375</v>
      </c>
      <c r="C146" s="96">
        <f t="shared" si="6"/>
        <v>39231.375</v>
      </c>
      <c r="D146" s="100">
        <v>1900</v>
      </c>
      <c r="E146" s="99">
        <f t="shared" si="3"/>
        <v>53.802015000000004</v>
      </c>
      <c r="F146" s="99">
        <v>4.35</v>
      </c>
      <c r="G146" s="99">
        <v>0.7</v>
      </c>
      <c r="H146" s="98" t="s">
        <v>964</v>
      </c>
      <c r="I146" s="99">
        <v>8.5</v>
      </c>
      <c r="J146" s="100">
        <v>49.73195052083334</v>
      </c>
      <c r="K146" s="100">
        <f t="shared" si="7"/>
        <v>234.03876525</v>
      </c>
    </row>
    <row r="147" spans="1:11" ht="12.75">
      <c r="A147" s="93" t="s">
        <v>298</v>
      </c>
      <c r="B147" s="102">
        <v>39233.5625</v>
      </c>
      <c r="C147" s="96">
        <f t="shared" si="6"/>
        <v>39233.5625</v>
      </c>
      <c r="D147" s="100">
        <v>1460</v>
      </c>
      <c r="E147" s="99">
        <f t="shared" si="3"/>
        <v>41.342601</v>
      </c>
      <c r="F147" s="99">
        <v>5.46</v>
      </c>
      <c r="G147" s="99">
        <v>0.85</v>
      </c>
      <c r="H147" s="98">
        <v>0.01</v>
      </c>
      <c r="I147" s="99">
        <v>10.7</v>
      </c>
      <c r="J147" s="100">
        <v>55.29303124999999</v>
      </c>
      <c r="K147" s="100">
        <f t="shared" si="7"/>
        <v>225.73060146</v>
      </c>
    </row>
    <row r="148" spans="1:11" ht="12.75">
      <c r="A148" s="93" t="s">
        <v>299</v>
      </c>
      <c r="B148" s="102">
        <v>39237.666666666664</v>
      </c>
      <c r="C148" s="96">
        <f t="shared" si="6"/>
        <v>39237.666666666664</v>
      </c>
      <c r="D148" s="100">
        <v>1420</v>
      </c>
      <c r="E148" s="99">
        <f t="shared" si="3"/>
        <v>40.209927</v>
      </c>
      <c r="F148" s="99">
        <v>5.31</v>
      </c>
      <c r="G148" s="99">
        <v>0.81</v>
      </c>
      <c r="H148" s="98" t="s">
        <v>964</v>
      </c>
      <c r="I148" s="99">
        <v>10.7</v>
      </c>
      <c r="J148" s="100">
        <v>54.97525520833333</v>
      </c>
      <c r="K148" s="100">
        <f t="shared" si="7"/>
        <v>213.51471236999998</v>
      </c>
    </row>
    <row r="149" spans="1:11" ht="12.75">
      <c r="A149" s="93" t="s">
        <v>300</v>
      </c>
      <c r="B149" s="102">
        <v>39244</v>
      </c>
      <c r="C149" s="96" t="s">
        <v>1549</v>
      </c>
      <c r="D149" s="100">
        <v>1040</v>
      </c>
      <c r="E149" s="99">
        <f>D149*0.02831685</f>
        <v>29.449524</v>
      </c>
      <c r="F149" s="99">
        <v>7.15</v>
      </c>
      <c r="G149" s="99">
        <v>1.06</v>
      </c>
      <c r="H149" s="98">
        <v>0.02</v>
      </c>
      <c r="I149" s="99">
        <v>14.2</v>
      </c>
      <c r="J149" s="100">
        <v>64.98520052083332</v>
      </c>
      <c r="K149" s="100">
        <f t="shared" si="7"/>
        <v>210.5640966</v>
      </c>
    </row>
    <row r="150" spans="1:11" ht="12.75">
      <c r="A150" s="93" t="s">
        <v>301</v>
      </c>
      <c r="B150" s="102">
        <v>39246.43263888889</v>
      </c>
      <c r="C150" s="96">
        <f t="shared" si="6"/>
        <v>39246.43263888889</v>
      </c>
      <c r="D150" s="100">
        <v>1010</v>
      </c>
      <c r="E150" s="99">
        <f>D150*0.02831685</f>
        <v>28.6000185</v>
      </c>
      <c r="F150" s="99">
        <v>6.88</v>
      </c>
      <c r="G150" s="99">
        <v>1</v>
      </c>
      <c r="H150" s="98">
        <v>0.01</v>
      </c>
      <c r="I150" s="99">
        <v>13.7</v>
      </c>
      <c r="J150" s="100">
        <v>62.125216145833335</v>
      </c>
      <c r="K150" s="100">
        <f t="shared" si="7"/>
        <v>196.76812728000002</v>
      </c>
    </row>
    <row r="151" spans="1:11" ht="12.75">
      <c r="A151" s="93" t="s">
        <v>302</v>
      </c>
      <c r="B151" s="102">
        <v>39251.46875</v>
      </c>
      <c r="C151" s="96">
        <f t="shared" si="6"/>
        <v>39251.46875</v>
      </c>
      <c r="D151" s="100">
        <v>775</v>
      </c>
      <c r="E151" s="99">
        <f>D151*0.02831685</f>
        <v>21.94555875</v>
      </c>
      <c r="F151" s="99">
        <v>8.39</v>
      </c>
      <c r="G151" s="99">
        <v>1.19</v>
      </c>
      <c r="H151" s="98">
        <v>0.02</v>
      </c>
      <c r="I151" s="99">
        <v>16.8</v>
      </c>
      <c r="J151" s="100">
        <v>68.79851302083334</v>
      </c>
      <c r="K151" s="100">
        <f t="shared" si="7"/>
        <v>184.1232379125</v>
      </c>
    </row>
    <row r="152" spans="1:11" ht="12.75">
      <c r="A152" s="93" t="s">
        <v>548</v>
      </c>
      <c r="B152" s="102">
        <v>39258.5625</v>
      </c>
      <c r="C152" s="96">
        <f t="shared" si="6"/>
        <v>39258.5625</v>
      </c>
      <c r="D152" s="97">
        <v>518</v>
      </c>
      <c r="E152" s="99">
        <f aca="true" t="shared" si="8" ref="E152:E160">D152*0.02831685</f>
        <v>14.668128300000001</v>
      </c>
      <c r="F152" s="99">
        <v>11</v>
      </c>
      <c r="G152" s="99">
        <v>1.48</v>
      </c>
      <c r="H152" s="98">
        <v>0.02</v>
      </c>
      <c r="I152" s="99">
        <v>22.1</v>
      </c>
      <c r="J152" s="100">
        <v>68.79851302083334</v>
      </c>
      <c r="K152" s="100">
        <f t="shared" si="7"/>
        <v>161.3494113</v>
      </c>
    </row>
    <row r="153" spans="1:11" ht="12.75">
      <c r="A153" s="93" t="s">
        <v>549</v>
      </c>
      <c r="B153" s="102">
        <v>39266.354166666664</v>
      </c>
      <c r="C153" s="96">
        <f t="shared" si="6"/>
        <v>39266.354166666664</v>
      </c>
      <c r="D153" s="97">
        <v>385</v>
      </c>
      <c r="E153" s="99">
        <f t="shared" si="8"/>
        <v>10.901987250000001</v>
      </c>
      <c r="F153" s="99">
        <v>13.6</v>
      </c>
      <c r="G153" s="99">
        <v>1.72</v>
      </c>
      <c r="H153" s="98">
        <v>0.03</v>
      </c>
      <c r="I153" s="99">
        <v>27.5</v>
      </c>
      <c r="J153" s="100">
        <v>88.81840364583333</v>
      </c>
      <c r="K153" s="100">
        <f t="shared" si="7"/>
        <v>148.2670266</v>
      </c>
    </row>
    <row r="154" spans="1:11" ht="12.75">
      <c r="A154" s="93" t="s">
        <v>550</v>
      </c>
      <c r="B154" s="102">
        <v>39273.5625</v>
      </c>
      <c r="C154" s="96">
        <f t="shared" si="6"/>
        <v>39273.5625</v>
      </c>
      <c r="D154" s="97">
        <v>328</v>
      </c>
      <c r="E154" s="99">
        <f t="shared" si="8"/>
        <v>9.287926800000001</v>
      </c>
      <c r="F154" s="99">
        <v>15.1</v>
      </c>
      <c r="G154" s="99">
        <v>1.86</v>
      </c>
      <c r="H154" s="98">
        <v>0.03</v>
      </c>
      <c r="I154" s="99">
        <v>30.4</v>
      </c>
      <c r="J154" s="100">
        <v>92.63171614583334</v>
      </c>
      <c r="K154" s="100">
        <f t="shared" si="7"/>
        <v>140.24769468000002</v>
      </c>
    </row>
    <row r="155" spans="1:11" ht="12.75">
      <c r="A155" s="93" t="s">
        <v>551</v>
      </c>
      <c r="B155" s="102">
        <v>39280.65277777778</v>
      </c>
      <c r="C155" s="96">
        <f t="shared" si="6"/>
        <v>39280.65277777778</v>
      </c>
      <c r="D155" s="97">
        <v>293</v>
      </c>
      <c r="E155" s="99">
        <f t="shared" si="8"/>
        <v>8.29683705</v>
      </c>
      <c r="F155" s="99">
        <v>16.1</v>
      </c>
      <c r="G155" s="99">
        <v>1.91</v>
      </c>
      <c r="H155" s="98">
        <v>0.04</v>
      </c>
      <c r="I155" s="99">
        <v>32.8</v>
      </c>
      <c r="J155" s="100">
        <v>95.80947656250001</v>
      </c>
      <c r="K155" s="100">
        <f t="shared" si="7"/>
        <v>133.57907650500002</v>
      </c>
    </row>
    <row r="156" spans="1:11" ht="12.75">
      <c r="A156" s="93" t="s">
        <v>552</v>
      </c>
      <c r="B156" s="102">
        <v>39302.604166666664</v>
      </c>
      <c r="C156" s="96">
        <f t="shared" si="6"/>
        <v>39302.604166666664</v>
      </c>
      <c r="D156" s="97">
        <v>264</v>
      </c>
      <c r="E156" s="99">
        <f t="shared" si="8"/>
        <v>7.4756484</v>
      </c>
      <c r="F156" s="99">
        <v>18.4</v>
      </c>
      <c r="G156" s="99">
        <v>2.14</v>
      </c>
      <c r="H156" s="98">
        <v>0.04</v>
      </c>
      <c r="I156" s="99">
        <v>35</v>
      </c>
      <c r="J156" s="100">
        <v>98.98723697916665</v>
      </c>
      <c r="K156" s="100">
        <f t="shared" si="7"/>
        <v>137.55193056</v>
      </c>
    </row>
    <row r="157" spans="1:11" ht="12.75">
      <c r="A157" s="93" t="s">
        <v>553</v>
      </c>
      <c r="B157" s="102">
        <v>39318.5</v>
      </c>
      <c r="C157" s="96">
        <f t="shared" si="6"/>
        <v>39318.5</v>
      </c>
      <c r="D157" s="97">
        <v>248</v>
      </c>
      <c r="E157" s="99">
        <f t="shared" si="8"/>
        <v>7.022578800000001</v>
      </c>
      <c r="F157" s="99">
        <v>19.5</v>
      </c>
      <c r="G157" s="99">
        <v>2.21</v>
      </c>
      <c r="H157" s="98">
        <v>0.04</v>
      </c>
      <c r="I157" s="99">
        <v>36.8</v>
      </c>
      <c r="J157" s="100">
        <v>104.3894296875</v>
      </c>
      <c r="K157" s="100">
        <f>E157*F157</f>
        <v>136.9402866</v>
      </c>
    </row>
    <row r="158" spans="1:11" ht="12.75">
      <c r="A158" s="93" t="s">
        <v>554</v>
      </c>
      <c r="B158" s="102">
        <v>39330.479166666664</v>
      </c>
      <c r="C158" s="96">
        <f t="shared" si="6"/>
        <v>39330.479166666664</v>
      </c>
      <c r="D158" s="97">
        <v>260</v>
      </c>
      <c r="E158" s="99">
        <f t="shared" si="8"/>
        <v>7.362381</v>
      </c>
      <c r="F158" s="99">
        <v>20.9</v>
      </c>
      <c r="G158" s="99">
        <v>2.18</v>
      </c>
      <c r="H158" s="98">
        <v>0.05</v>
      </c>
      <c r="I158" s="99">
        <v>42.1</v>
      </c>
      <c r="J158" s="100">
        <v>105.97830989583335</v>
      </c>
      <c r="K158" s="100">
        <f>E158*F158</f>
        <v>153.8737629</v>
      </c>
    </row>
    <row r="159" spans="1:11" ht="12.75">
      <c r="A159" s="93" t="s">
        <v>555</v>
      </c>
      <c r="B159" s="102">
        <v>39343.635416666664</v>
      </c>
      <c r="C159" s="96">
        <f t="shared" si="6"/>
        <v>39343.635416666664</v>
      </c>
      <c r="D159" s="97">
        <v>197</v>
      </c>
      <c r="E159" s="99">
        <f t="shared" si="8"/>
        <v>5.57841945</v>
      </c>
      <c r="F159" s="99">
        <v>22.5</v>
      </c>
      <c r="G159" s="99">
        <v>2.33</v>
      </c>
      <c r="H159" s="98">
        <v>0.05</v>
      </c>
      <c r="I159" s="99">
        <v>42.3</v>
      </c>
      <c r="J159" s="100">
        <v>111.69827864583333</v>
      </c>
      <c r="K159" s="100">
        <f>E159*F159</f>
        <v>125.514437625</v>
      </c>
    </row>
    <row r="160" spans="1:11" ht="12.75">
      <c r="A160" s="93" t="s">
        <v>556</v>
      </c>
      <c r="B160" s="102">
        <v>39355.458333333336</v>
      </c>
      <c r="C160" s="96">
        <f t="shared" si="6"/>
        <v>39355.458333333336</v>
      </c>
      <c r="D160" s="97">
        <v>222</v>
      </c>
      <c r="E160" s="99">
        <f t="shared" si="8"/>
        <v>6.2863407</v>
      </c>
      <c r="F160" s="99">
        <v>21.4</v>
      </c>
      <c r="G160" s="99">
        <v>2.24</v>
      </c>
      <c r="H160" s="98">
        <v>0.05</v>
      </c>
      <c r="I160" s="99">
        <v>40.6</v>
      </c>
      <c r="J160" s="100">
        <v>111.85716666666666</v>
      </c>
      <c r="K160" s="100">
        <f>E160*F160</f>
        <v>134.52769098</v>
      </c>
    </row>
    <row r="161" spans="1:11" ht="12.75">
      <c r="A161" s="14" t="s">
        <v>384</v>
      </c>
      <c r="B161" s="95"/>
      <c r="C161" s="96"/>
      <c r="D161" s="32"/>
      <c r="E161" s="99"/>
      <c r="F161" s="33"/>
      <c r="G161" s="99"/>
      <c r="H161" s="98"/>
      <c r="I161" s="99"/>
      <c r="J161" s="97"/>
      <c r="K161" s="34"/>
    </row>
    <row r="162" spans="1:11" ht="12.75">
      <c r="A162" s="93" t="s">
        <v>151</v>
      </c>
      <c r="B162" s="95">
        <v>39372.65277777778</v>
      </c>
      <c r="C162" s="96">
        <f aca="true" t="shared" si="9" ref="C162:C186">B162</f>
        <v>39372.65277777778</v>
      </c>
      <c r="D162" s="97">
        <v>261</v>
      </c>
      <c r="E162" s="99">
        <f>D162*0.02831685</f>
        <v>7.3906978500000005</v>
      </c>
      <c r="F162" s="99">
        <v>20.3</v>
      </c>
      <c r="G162" s="99">
        <v>2.28</v>
      </c>
      <c r="H162" s="98">
        <v>0.05</v>
      </c>
      <c r="I162" s="99">
        <v>35.9</v>
      </c>
      <c r="J162" s="100">
        <v>101</v>
      </c>
      <c r="K162" s="100">
        <f aca="true" t="shared" si="10" ref="K162:K186">E162*F162</f>
        <v>150.031166355</v>
      </c>
    </row>
    <row r="163" spans="1:11" ht="12.75">
      <c r="A163" s="93" t="s">
        <v>152</v>
      </c>
      <c r="B163" s="95">
        <v>39390.604166666664</v>
      </c>
      <c r="C163" s="96">
        <f t="shared" si="9"/>
        <v>39390.604166666664</v>
      </c>
      <c r="D163" s="97">
        <v>335</v>
      </c>
      <c r="E163" s="99">
        <f aca="true" t="shared" si="11" ref="E163:E186">D163*0.02831685</f>
        <v>9.486144750000001</v>
      </c>
      <c r="F163" s="99">
        <v>18.1</v>
      </c>
      <c r="G163" s="99">
        <v>2.25</v>
      </c>
      <c r="H163" s="98">
        <v>0.04</v>
      </c>
      <c r="I163" s="99">
        <v>28.6</v>
      </c>
      <c r="J163" s="100">
        <v>88</v>
      </c>
      <c r="K163" s="100">
        <f t="shared" si="10"/>
        <v>171.69921997500003</v>
      </c>
    </row>
    <row r="164" spans="1:11" ht="12.75">
      <c r="A164" s="93" t="s">
        <v>153</v>
      </c>
      <c r="B164" s="95">
        <v>39451.666666666664</v>
      </c>
      <c r="C164" s="96">
        <f t="shared" si="9"/>
        <v>39451.666666666664</v>
      </c>
      <c r="D164" s="97">
        <v>300</v>
      </c>
      <c r="E164" s="99">
        <f t="shared" si="11"/>
        <v>8.495055</v>
      </c>
      <c r="F164" s="99">
        <v>19</v>
      </c>
      <c r="G164" s="99">
        <v>2.52</v>
      </c>
      <c r="H164" s="98">
        <v>0.05</v>
      </c>
      <c r="I164" s="99">
        <v>28.6</v>
      </c>
      <c r="J164" s="100">
        <v>88</v>
      </c>
      <c r="K164" s="100">
        <f t="shared" si="10"/>
        <v>161.406045</v>
      </c>
    </row>
    <row r="165" spans="1:11" ht="12.75">
      <c r="A165" s="93" t="s">
        <v>154</v>
      </c>
      <c r="B165" s="95">
        <v>39482.479166666664</v>
      </c>
      <c r="C165" s="96">
        <f t="shared" si="9"/>
        <v>39482.479166666664</v>
      </c>
      <c r="D165" s="97">
        <v>379</v>
      </c>
      <c r="E165" s="99">
        <f>D165*0.02831685</f>
        <v>10.73208615</v>
      </c>
      <c r="F165" s="99">
        <v>18.2</v>
      </c>
      <c r="G165" s="99">
        <v>2.6</v>
      </c>
      <c r="H165" s="98">
        <v>0.04</v>
      </c>
      <c r="I165" s="99">
        <v>25.8</v>
      </c>
      <c r="J165" s="100">
        <v>81</v>
      </c>
      <c r="K165" s="100">
        <f t="shared" si="10"/>
        <v>195.32396793</v>
      </c>
    </row>
    <row r="166" spans="1:11" ht="12.75">
      <c r="A166" s="93" t="s">
        <v>155</v>
      </c>
      <c r="B166" s="95">
        <v>39511.46875</v>
      </c>
      <c r="C166" s="96">
        <f t="shared" si="9"/>
        <v>39511.46875</v>
      </c>
      <c r="D166" s="97">
        <v>312</v>
      </c>
      <c r="E166" s="99">
        <f>D166*0.02831685</f>
        <v>8.8348572</v>
      </c>
      <c r="F166" s="99">
        <v>19.6</v>
      </c>
      <c r="G166" s="99">
        <v>2.56</v>
      </c>
      <c r="H166" s="98">
        <v>0.05</v>
      </c>
      <c r="I166" s="99">
        <v>29.5</v>
      </c>
      <c r="J166" s="100">
        <v>91</v>
      </c>
      <c r="K166" s="100">
        <f t="shared" si="10"/>
        <v>173.16320112000002</v>
      </c>
    </row>
    <row r="167" spans="1:11" ht="12.75">
      <c r="A167" s="93" t="s">
        <v>156</v>
      </c>
      <c r="B167" s="95">
        <v>39520.583333333336</v>
      </c>
      <c r="C167" s="96">
        <f t="shared" si="9"/>
        <v>39520.583333333336</v>
      </c>
      <c r="D167" s="97">
        <v>296</v>
      </c>
      <c r="E167" s="99">
        <f>D167*0.02831685</f>
        <v>8.381787600000001</v>
      </c>
      <c r="F167" s="99">
        <v>19.7</v>
      </c>
      <c r="G167" s="99">
        <v>2.47</v>
      </c>
      <c r="H167" s="98">
        <v>0.05</v>
      </c>
      <c r="I167" s="99">
        <v>31.1</v>
      </c>
      <c r="J167" s="100">
        <v>93</v>
      </c>
      <c r="K167" s="100">
        <f t="shared" si="10"/>
        <v>165.12121572</v>
      </c>
    </row>
    <row r="168" spans="1:11" ht="12.75">
      <c r="A168" s="93" t="s">
        <v>157</v>
      </c>
      <c r="B168" s="95">
        <v>39539.69583333333</v>
      </c>
      <c r="C168" s="96">
        <f t="shared" si="9"/>
        <v>39539.69583333333</v>
      </c>
      <c r="D168" s="97">
        <v>370</v>
      </c>
      <c r="E168" s="99">
        <f t="shared" si="11"/>
        <v>10.4772345</v>
      </c>
      <c r="F168" s="99">
        <v>19</v>
      </c>
      <c r="G168" s="99">
        <v>2.7</v>
      </c>
      <c r="H168" s="98">
        <v>0.04</v>
      </c>
      <c r="I168" s="99">
        <v>26</v>
      </c>
      <c r="J168" s="100">
        <v>84</v>
      </c>
      <c r="K168" s="100">
        <f t="shared" si="10"/>
        <v>199.0674555</v>
      </c>
    </row>
    <row r="169" spans="1:11" ht="12.75">
      <c r="A169" s="93" t="s">
        <v>158</v>
      </c>
      <c r="B169" s="95">
        <v>39552.5625</v>
      </c>
      <c r="C169" s="96">
        <f t="shared" si="9"/>
        <v>39552.5625</v>
      </c>
      <c r="D169" s="97">
        <v>385</v>
      </c>
      <c r="E169" s="99">
        <f t="shared" si="11"/>
        <v>10.901987250000001</v>
      </c>
      <c r="F169" s="99">
        <v>17.9</v>
      </c>
      <c r="G169" s="99">
        <v>2.34</v>
      </c>
      <c r="H169" s="98">
        <v>0.04</v>
      </c>
      <c r="I169" s="99">
        <v>27.8</v>
      </c>
      <c r="J169" s="100">
        <v>88</v>
      </c>
      <c r="K169" s="100">
        <f t="shared" si="10"/>
        <v>195.145571775</v>
      </c>
    </row>
    <row r="170" spans="1:11" ht="12.75">
      <c r="A170" s="93" t="s">
        <v>159</v>
      </c>
      <c r="B170" s="95">
        <v>39567.57638888889</v>
      </c>
      <c r="C170" s="96">
        <f t="shared" si="9"/>
        <v>39567.57638888889</v>
      </c>
      <c r="D170" s="97">
        <v>576</v>
      </c>
      <c r="E170" s="99">
        <f>D170*0.02831685</f>
        <v>16.3105056</v>
      </c>
      <c r="F170" s="99">
        <v>13.5</v>
      </c>
      <c r="G170" s="99">
        <v>1.72</v>
      </c>
      <c r="H170" s="98">
        <v>0.03</v>
      </c>
      <c r="I170" s="99">
        <v>23.9</v>
      </c>
      <c r="J170" s="100">
        <v>89</v>
      </c>
      <c r="K170" s="100">
        <f t="shared" si="10"/>
        <v>220.1918256</v>
      </c>
    </row>
    <row r="171" spans="1:11" ht="12.75">
      <c r="A171" s="93" t="s">
        <v>160</v>
      </c>
      <c r="B171" s="95">
        <v>39576.666666666664</v>
      </c>
      <c r="C171" s="96">
        <f t="shared" si="9"/>
        <v>39576.666666666664</v>
      </c>
      <c r="D171" s="97">
        <v>1820</v>
      </c>
      <c r="E171" s="99">
        <f t="shared" si="11"/>
        <v>51.536667</v>
      </c>
      <c r="F171" s="99">
        <v>5.99</v>
      </c>
      <c r="G171" s="99">
        <v>0.81</v>
      </c>
      <c r="H171" s="98">
        <v>0.01</v>
      </c>
      <c r="I171" s="99">
        <v>11.7</v>
      </c>
      <c r="J171" s="100">
        <v>68</v>
      </c>
      <c r="K171" s="100">
        <f t="shared" si="10"/>
        <v>308.70463533000003</v>
      </c>
    </row>
    <row r="172" spans="1:11" ht="12.75">
      <c r="A172" s="93" t="s">
        <v>161</v>
      </c>
      <c r="B172" s="95">
        <v>39581.583333333336</v>
      </c>
      <c r="C172" s="96">
        <f t="shared" si="9"/>
        <v>39581.583333333336</v>
      </c>
      <c r="D172" s="97">
        <v>1640</v>
      </c>
      <c r="E172" s="99">
        <f t="shared" si="11"/>
        <v>46.439634000000005</v>
      </c>
      <c r="F172" s="99">
        <v>6.93</v>
      </c>
      <c r="G172" s="99">
        <v>0.95</v>
      </c>
      <c r="H172" s="98">
        <v>0.01</v>
      </c>
      <c r="I172" s="99">
        <v>12.7</v>
      </c>
      <c r="J172" s="100">
        <v>69</v>
      </c>
      <c r="K172" s="100">
        <f t="shared" si="10"/>
        <v>321.82666362000003</v>
      </c>
    </row>
    <row r="173" spans="1:11" ht="12.75">
      <c r="A173" s="93" t="s">
        <v>162</v>
      </c>
      <c r="B173" s="95">
        <v>39588.625</v>
      </c>
      <c r="C173" s="96">
        <f t="shared" si="9"/>
        <v>39588.625</v>
      </c>
      <c r="D173" s="97">
        <v>6780</v>
      </c>
      <c r="E173" s="99">
        <f t="shared" si="11"/>
        <v>191.988243</v>
      </c>
      <c r="F173" s="99">
        <v>2.81</v>
      </c>
      <c r="G173" s="99">
        <v>0.48</v>
      </c>
      <c r="H173" s="98" t="s">
        <v>964</v>
      </c>
      <c r="I173" s="99">
        <v>5.35</v>
      </c>
      <c r="J173" s="100">
        <v>48</v>
      </c>
      <c r="K173" s="100">
        <f t="shared" si="10"/>
        <v>539.48696283</v>
      </c>
    </row>
    <row r="174" spans="1:11" ht="12.75">
      <c r="A174" s="93" t="s">
        <v>163</v>
      </c>
      <c r="B174" s="95">
        <v>39595.625</v>
      </c>
      <c r="C174" s="96">
        <f t="shared" si="9"/>
        <v>39595.625</v>
      </c>
      <c r="D174" s="97">
        <v>3990</v>
      </c>
      <c r="E174" s="99">
        <f t="shared" si="11"/>
        <v>112.9842315</v>
      </c>
      <c r="F174" s="99">
        <v>3.77</v>
      </c>
      <c r="G174" s="99">
        <v>0.67</v>
      </c>
      <c r="H174" s="98" t="s">
        <v>964</v>
      </c>
      <c r="I174" s="99">
        <v>7.43</v>
      </c>
      <c r="J174" s="100">
        <v>50</v>
      </c>
      <c r="K174" s="100">
        <f t="shared" si="10"/>
        <v>425.95055275500005</v>
      </c>
    </row>
    <row r="175" spans="1:11" ht="12.75">
      <c r="A175" s="93" t="s">
        <v>164</v>
      </c>
      <c r="B175" s="95">
        <v>39602.694444444445</v>
      </c>
      <c r="C175" s="96">
        <f t="shared" si="9"/>
        <v>39602.694444444445</v>
      </c>
      <c r="D175" s="97">
        <v>6320</v>
      </c>
      <c r="E175" s="99">
        <f t="shared" si="11"/>
        <v>178.962492</v>
      </c>
      <c r="F175" s="99">
        <v>3.29</v>
      </c>
      <c r="G175" s="99">
        <v>0.67</v>
      </c>
      <c r="H175" s="98" t="s">
        <v>964</v>
      </c>
      <c r="I175" s="99">
        <v>5.32</v>
      </c>
      <c r="J175" s="100">
        <v>46</v>
      </c>
      <c r="K175" s="100">
        <f t="shared" si="10"/>
        <v>588.78659868</v>
      </c>
    </row>
    <row r="176" spans="1:11" ht="12.75">
      <c r="A176" s="93" t="s">
        <v>165</v>
      </c>
      <c r="B176" s="95">
        <v>39609.625</v>
      </c>
      <c r="C176" s="96">
        <f t="shared" si="9"/>
        <v>39609.625</v>
      </c>
      <c r="D176" s="97">
        <v>5050</v>
      </c>
      <c r="E176" s="99">
        <f t="shared" si="11"/>
        <v>143.0000925</v>
      </c>
      <c r="F176" s="99">
        <v>2.78</v>
      </c>
      <c r="G176" s="99">
        <v>0.55</v>
      </c>
      <c r="H176" s="98" t="s">
        <v>964</v>
      </c>
      <c r="I176" s="99">
        <v>4.95</v>
      </c>
      <c r="J176" s="100">
        <v>44</v>
      </c>
      <c r="K176" s="100">
        <f t="shared" si="10"/>
        <v>397.54025714999995</v>
      </c>
    </row>
    <row r="177" spans="1:11" ht="12.75">
      <c r="A177" s="93" t="s">
        <v>166</v>
      </c>
      <c r="B177" s="95">
        <v>39616.479166666664</v>
      </c>
      <c r="C177" s="96">
        <f t="shared" si="9"/>
        <v>39616.479166666664</v>
      </c>
      <c r="D177" s="97">
        <v>5970</v>
      </c>
      <c r="E177" s="99">
        <f t="shared" si="11"/>
        <v>169.0515945</v>
      </c>
      <c r="F177" s="99">
        <v>2.65</v>
      </c>
      <c r="G177" s="99">
        <v>0.5</v>
      </c>
      <c r="H177" s="98" t="s">
        <v>964</v>
      </c>
      <c r="I177" s="99">
        <v>4.97</v>
      </c>
      <c r="J177" s="100">
        <v>43</v>
      </c>
      <c r="K177" s="100">
        <f t="shared" si="10"/>
        <v>447.986725425</v>
      </c>
    </row>
    <row r="178" spans="1:11" ht="12.75">
      <c r="A178" s="93" t="s">
        <v>167</v>
      </c>
      <c r="B178" s="95">
        <v>39637.354166666664</v>
      </c>
      <c r="C178" s="96">
        <f t="shared" si="9"/>
        <v>39637.354166666664</v>
      </c>
      <c r="D178" s="97">
        <v>2060</v>
      </c>
      <c r="E178" s="99">
        <f t="shared" si="11"/>
        <v>58.332711</v>
      </c>
      <c r="F178" s="99">
        <v>4.99</v>
      </c>
      <c r="G178" s="99">
        <v>0.85</v>
      </c>
      <c r="H178" s="98">
        <v>0.01</v>
      </c>
      <c r="I178" s="99">
        <v>9.04</v>
      </c>
      <c r="J178" s="100">
        <v>51</v>
      </c>
      <c r="K178" s="100">
        <f t="shared" si="10"/>
        <v>291.08022789</v>
      </c>
    </row>
    <row r="179" spans="1:11" ht="12.75">
      <c r="A179" s="93" t="s">
        <v>168</v>
      </c>
      <c r="B179" s="95">
        <v>39645.53125</v>
      </c>
      <c r="C179" s="96">
        <f t="shared" si="9"/>
        <v>39645.53125</v>
      </c>
      <c r="D179" s="97">
        <v>1200</v>
      </c>
      <c r="E179" s="99">
        <f t="shared" si="11"/>
        <v>33.98022</v>
      </c>
      <c r="F179" s="99">
        <v>7.21</v>
      </c>
      <c r="G179" s="99">
        <v>1.24</v>
      </c>
      <c r="H179" s="98">
        <v>0.02</v>
      </c>
      <c r="I179" s="99">
        <v>13.9</v>
      </c>
      <c r="J179" s="100">
        <v>61</v>
      </c>
      <c r="K179" s="100">
        <f t="shared" si="10"/>
        <v>244.99738620000002</v>
      </c>
    </row>
    <row r="180" spans="1:11" ht="12.75">
      <c r="A180" s="93" t="s">
        <v>169</v>
      </c>
      <c r="B180" s="95">
        <v>39651.427083333336</v>
      </c>
      <c r="C180" s="96">
        <f t="shared" si="9"/>
        <v>39651.427083333336</v>
      </c>
      <c r="D180" s="97">
        <v>966</v>
      </c>
      <c r="E180" s="99">
        <f t="shared" si="11"/>
        <v>27.3540771</v>
      </c>
      <c r="F180" s="99">
        <v>8.22</v>
      </c>
      <c r="G180" s="99">
        <v>1.33</v>
      </c>
      <c r="H180" s="98">
        <v>0.02</v>
      </c>
      <c r="I180" s="99">
        <v>16.2</v>
      </c>
      <c r="J180" s="100">
        <v>67</v>
      </c>
      <c r="K180" s="100">
        <f t="shared" si="10"/>
        <v>224.85051376200002</v>
      </c>
    </row>
    <row r="181" spans="1:11" ht="12.75">
      <c r="A181" s="93" t="s">
        <v>170</v>
      </c>
      <c r="B181" s="95">
        <v>39658.625</v>
      </c>
      <c r="C181" s="96">
        <f t="shared" si="9"/>
        <v>39658.625</v>
      </c>
      <c r="D181" s="97">
        <v>701</v>
      </c>
      <c r="E181" s="99">
        <f t="shared" si="11"/>
        <v>19.85011185</v>
      </c>
      <c r="F181" s="99">
        <v>10.3</v>
      </c>
      <c r="G181" s="99">
        <v>1.56</v>
      </c>
      <c r="H181" s="98">
        <v>0.02</v>
      </c>
      <c r="I181" s="99">
        <v>20.7</v>
      </c>
      <c r="J181" s="100">
        <v>72</v>
      </c>
      <c r="K181" s="100">
        <f t="shared" si="10"/>
        <v>204.45615205500002</v>
      </c>
    </row>
    <row r="182" spans="1:11" ht="12.75">
      <c r="A182" s="93" t="s">
        <v>171</v>
      </c>
      <c r="B182" s="95">
        <v>39664.46875</v>
      </c>
      <c r="C182" s="96">
        <f t="shared" si="9"/>
        <v>39664.46875</v>
      </c>
      <c r="D182" s="97">
        <v>589</v>
      </c>
      <c r="E182" s="99">
        <f t="shared" si="11"/>
        <v>16.67862465</v>
      </c>
      <c r="F182" s="99">
        <v>11.5</v>
      </c>
      <c r="G182" s="99">
        <v>1.67</v>
      </c>
      <c r="H182" s="98">
        <v>0.03</v>
      </c>
      <c r="I182" s="99">
        <v>23.5</v>
      </c>
      <c r="J182" s="100">
        <v>76</v>
      </c>
      <c r="K182" s="100">
        <f t="shared" si="10"/>
        <v>191.804183475</v>
      </c>
    </row>
    <row r="183" spans="1:11" ht="12.75">
      <c r="A183" s="93" t="s">
        <v>172</v>
      </c>
      <c r="B183" s="95">
        <v>39678.5625</v>
      </c>
      <c r="C183" s="96">
        <f t="shared" si="9"/>
        <v>39678.5625</v>
      </c>
      <c r="D183" s="97">
        <v>475</v>
      </c>
      <c r="E183" s="99">
        <f t="shared" si="11"/>
        <v>13.450503750000001</v>
      </c>
      <c r="F183" s="99">
        <v>13.5</v>
      </c>
      <c r="G183" s="99">
        <v>1.84</v>
      </c>
      <c r="H183" s="98">
        <v>0.03</v>
      </c>
      <c r="I183" s="99">
        <v>27.5</v>
      </c>
      <c r="J183" s="100">
        <v>83</v>
      </c>
      <c r="K183" s="100">
        <f t="shared" si="10"/>
        <v>181.58180062500003</v>
      </c>
    </row>
    <row r="184" spans="1:11" ht="12.75">
      <c r="A184" s="93" t="s">
        <v>173</v>
      </c>
      <c r="B184" s="95">
        <v>39692.416666666664</v>
      </c>
      <c r="C184" s="96">
        <f t="shared" si="9"/>
        <v>39692.416666666664</v>
      </c>
      <c r="D184" s="97">
        <v>440</v>
      </c>
      <c r="E184" s="99">
        <f t="shared" si="11"/>
        <v>12.459414</v>
      </c>
      <c r="F184" s="99">
        <v>14.3</v>
      </c>
      <c r="G184" s="99">
        <v>1.79</v>
      </c>
      <c r="H184" s="98">
        <v>0.03</v>
      </c>
      <c r="I184" s="99">
        <v>33.3</v>
      </c>
      <c r="J184" s="100">
        <v>89</v>
      </c>
      <c r="K184" s="100">
        <f t="shared" si="10"/>
        <v>178.16962020000003</v>
      </c>
    </row>
    <row r="185" spans="1:11" ht="12.75">
      <c r="A185" s="93" t="s">
        <v>174</v>
      </c>
      <c r="B185" s="95">
        <v>39706.541666666664</v>
      </c>
      <c r="C185" s="96">
        <f t="shared" si="9"/>
        <v>39706.541666666664</v>
      </c>
      <c r="D185" s="97">
        <v>354</v>
      </c>
      <c r="E185" s="99">
        <f t="shared" si="11"/>
        <v>10.0241649</v>
      </c>
      <c r="F185" s="99">
        <v>16.2</v>
      </c>
      <c r="G185" s="99">
        <v>2.07</v>
      </c>
      <c r="H185" s="98">
        <v>0.04</v>
      </c>
      <c r="I185" s="99">
        <v>31.6</v>
      </c>
      <c r="J185" s="100">
        <v>90</v>
      </c>
      <c r="K185" s="100">
        <f t="shared" si="10"/>
        <v>162.39147138</v>
      </c>
    </row>
    <row r="186" spans="1:11" ht="12.75">
      <c r="A186" s="93" t="s">
        <v>175</v>
      </c>
      <c r="B186" s="95">
        <v>39721.375</v>
      </c>
      <c r="C186" s="96">
        <f t="shared" si="9"/>
        <v>39721.375</v>
      </c>
      <c r="D186" s="97">
        <v>373</v>
      </c>
      <c r="E186" s="99">
        <f t="shared" si="11"/>
        <v>10.56218505</v>
      </c>
      <c r="F186" s="99">
        <v>16.8</v>
      </c>
      <c r="G186" s="99">
        <v>2.16</v>
      </c>
      <c r="H186" s="98">
        <v>0.04</v>
      </c>
      <c r="I186" s="99">
        <v>31.7</v>
      </c>
      <c r="J186" s="100">
        <v>90</v>
      </c>
      <c r="K186" s="100">
        <f t="shared" si="10"/>
        <v>177.44470884</v>
      </c>
    </row>
    <row r="187" spans="1:11" ht="12.75">
      <c r="A187" s="82" t="s">
        <v>1685</v>
      </c>
      <c r="B187" s="176"/>
      <c r="C187" s="177"/>
      <c r="D187" s="57"/>
      <c r="E187" s="21"/>
      <c r="F187" s="159"/>
      <c r="G187" s="21"/>
      <c r="H187" s="18"/>
      <c r="I187" s="21"/>
      <c r="J187" s="22"/>
      <c r="K187" s="22"/>
    </row>
    <row r="188" spans="1:11" ht="15">
      <c r="A188" s="3" t="s">
        <v>2107</v>
      </c>
      <c r="B188" s="8">
        <v>39736.399305555555</v>
      </c>
      <c r="C188" s="138">
        <v>39736.399305555555</v>
      </c>
      <c r="D188" s="141">
        <v>378</v>
      </c>
      <c r="E188" s="21">
        <f aca="true" t="shared" si="12" ref="E188:E204">D188*0.02831685</f>
        <v>10.703769300000001</v>
      </c>
      <c r="F188" s="159">
        <v>16.6</v>
      </c>
      <c r="G188" s="21">
        <v>2.17</v>
      </c>
      <c r="H188" s="18">
        <v>0.04</v>
      </c>
      <c r="I188" s="21">
        <v>30.1</v>
      </c>
      <c r="J188" s="137">
        <v>86</v>
      </c>
      <c r="K188" s="22">
        <f aca="true" t="shared" si="13" ref="K188:K204">E188*F188</f>
        <v>177.68257038000004</v>
      </c>
    </row>
    <row r="189" spans="1:11" ht="15">
      <c r="A189" s="3" t="s">
        <v>2108</v>
      </c>
      <c r="B189" s="8">
        <v>39753.416666666664</v>
      </c>
      <c r="C189" s="138">
        <v>39753.416666666664</v>
      </c>
      <c r="D189" s="141">
        <v>318</v>
      </c>
      <c r="E189" s="21">
        <f t="shared" si="12"/>
        <v>9.0047583</v>
      </c>
      <c r="F189" s="21">
        <v>17.2</v>
      </c>
      <c r="G189" s="21">
        <v>2.24</v>
      </c>
      <c r="H189" s="18">
        <v>0.04</v>
      </c>
      <c r="I189" s="21">
        <v>31.3</v>
      </c>
      <c r="J189" s="137">
        <v>91</v>
      </c>
      <c r="K189" s="22">
        <f t="shared" si="13"/>
        <v>154.88184276</v>
      </c>
    </row>
    <row r="190" spans="1:11" ht="15">
      <c r="A190" s="3" t="s">
        <v>2109</v>
      </c>
      <c r="B190" s="8">
        <v>39786.604166666664</v>
      </c>
      <c r="C190" s="138">
        <v>39786.604166666664</v>
      </c>
      <c r="D190" s="141">
        <v>308</v>
      </c>
      <c r="E190" s="21">
        <f t="shared" si="12"/>
        <v>8.7215898</v>
      </c>
      <c r="F190" s="21">
        <v>16.3</v>
      </c>
      <c r="G190" s="21">
        <v>2.6</v>
      </c>
      <c r="H190" s="18">
        <v>0.04</v>
      </c>
      <c r="I190" s="21">
        <v>21.6</v>
      </c>
      <c r="J190" s="137">
        <v>74</v>
      </c>
      <c r="K190" s="22">
        <f t="shared" si="13"/>
        <v>142.16191374000002</v>
      </c>
    </row>
    <row r="191" spans="1:11" ht="15">
      <c r="A191" s="3" t="s">
        <v>2110</v>
      </c>
      <c r="B191" s="8">
        <v>39819.625</v>
      </c>
      <c r="C191" s="138">
        <v>39819.625</v>
      </c>
      <c r="D191" s="141">
        <v>400</v>
      </c>
      <c r="E191" s="21">
        <f t="shared" si="12"/>
        <v>11.326740000000001</v>
      </c>
      <c r="F191" s="159">
        <v>17.7</v>
      </c>
      <c r="G191" s="159">
        <v>2.54</v>
      </c>
      <c r="H191" s="170">
        <v>0.04</v>
      </c>
      <c r="I191" s="159">
        <v>24.7</v>
      </c>
      <c r="J191" s="137">
        <v>75</v>
      </c>
      <c r="K191" s="22">
        <f t="shared" si="13"/>
        <v>200.48329800000002</v>
      </c>
    </row>
    <row r="192" spans="1:11" ht="15">
      <c r="A192" s="3" t="s">
        <v>2111</v>
      </c>
      <c r="B192" s="8">
        <v>39846.5</v>
      </c>
      <c r="C192" s="138">
        <v>39846.5</v>
      </c>
      <c r="D192" s="141">
        <v>299</v>
      </c>
      <c r="E192" s="21">
        <f t="shared" si="12"/>
        <v>8.466738150000001</v>
      </c>
      <c r="F192" s="21">
        <v>19</v>
      </c>
      <c r="G192" s="21">
        <v>2.53</v>
      </c>
      <c r="H192" s="18">
        <v>0.04</v>
      </c>
      <c r="I192" s="21">
        <v>28.9</v>
      </c>
      <c r="J192" s="137">
        <v>84</v>
      </c>
      <c r="K192" s="22">
        <f t="shared" si="13"/>
        <v>160.86802485</v>
      </c>
    </row>
    <row r="193" spans="1:11" ht="15">
      <c r="A193" s="3" t="s">
        <v>2112</v>
      </c>
      <c r="B193" s="8">
        <v>39873.625</v>
      </c>
      <c r="C193" s="177">
        <f aca="true" t="shared" si="14" ref="C193:C204">B193</f>
        <v>39873.625</v>
      </c>
      <c r="D193" s="141">
        <v>270</v>
      </c>
      <c r="E193" s="21">
        <f t="shared" si="12"/>
        <v>7.6455495</v>
      </c>
      <c r="F193" s="9">
        <v>19.4</v>
      </c>
      <c r="G193" s="9">
        <v>2.55</v>
      </c>
      <c r="H193" s="12">
        <v>0.04</v>
      </c>
      <c r="I193" s="9">
        <v>29.6</v>
      </c>
      <c r="J193" s="140">
        <v>85.64064322916666</v>
      </c>
      <c r="K193" s="22">
        <f t="shared" si="13"/>
        <v>148.3236603</v>
      </c>
    </row>
    <row r="194" spans="1:11" ht="15">
      <c r="A194" s="3" t="s">
        <v>2113</v>
      </c>
      <c r="B194" s="8">
        <v>39889.541666666664</v>
      </c>
      <c r="C194" s="177">
        <f t="shared" si="14"/>
        <v>39889.541666666664</v>
      </c>
      <c r="D194" s="141">
        <v>384</v>
      </c>
      <c r="E194" s="21">
        <f t="shared" si="12"/>
        <v>10.8736704</v>
      </c>
      <c r="F194" s="9">
        <v>17.9</v>
      </c>
      <c r="G194" s="9">
        <v>2.61</v>
      </c>
      <c r="H194" s="12">
        <v>0.03</v>
      </c>
      <c r="I194" s="9">
        <v>24.7</v>
      </c>
      <c r="J194" s="140">
        <v>77.37846614583333</v>
      </c>
      <c r="K194" s="22">
        <f t="shared" si="13"/>
        <v>194.63870015999998</v>
      </c>
    </row>
    <row r="195" spans="1:11" ht="15">
      <c r="A195" s="3" t="s">
        <v>2114</v>
      </c>
      <c r="B195" s="8">
        <v>39944.395833333336</v>
      </c>
      <c r="C195" s="177">
        <f t="shared" si="14"/>
        <v>39944.395833333336</v>
      </c>
      <c r="D195" s="141">
        <v>1570</v>
      </c>
      <c r="E195" s="21">
        <f t="shared" si="12"/>
        <v>44.457454500000004</v>
      </c>
      <c r="F195" s="9">
        <v>6.93</v>
      </c>
      <c r="G195" s="9">
        <v>1</v>
      </c>
      <c r="H195" s="12">
        <v>0.01</v>
      </c>
      <c r="I195" s="9">
        <v>12.6</v>
      </c>
      <c r="J195" s="140">
        <v>68.48073697916668</v>
      </c>
      <c r="K195" s="22">
        <f t="shared" si="13"/>
        <v>308.090159685</v>
      </c>
    </row>
    <row r="196" spans="1:11" ht="15">
      <c r="A196" s="3" t="s">
        <v>2115</v>
      </c>
      <c r="B196" s="8">
        <v>39953.59375</v>
      </c>
      <c r="C196" s="177">
        <f t="shared" si="14"/>
        <v>39953.59375</v>
      </c>
      <c r="D196" s="141">
        <v>6750</v>
      </c>
      <c r="E196" s="21">
        <f t="shared" si="12"/>
        <v>191.13873750000002</v>
      </c>
      <c r="F196" s="9">
        <v>3</v>
      </c>
      <c r="G196" s="9">
        <v>0.5</v>
      </c>
      <c r="H196" s="12" t="s">
        <v>964</v>
      </c>
      <c r="I196" s="9">
        <v>5.27</v>
      </c>
      <c r="J196" s="140">
        <v>45.12419791666667</v>
      </c>
      <c r="K196" s="22">
        <f t="shared" si="13"/>
        <v>573.4162125</v>
      </c>
    </row>
    <row r="197" spans="1:11" ht="13.5">
      <c r="A197" s="3" t="s">
        <v>2116</v>
      </c>
      <c r="B197" s="8">
        <v>39965.364583333336</v>
      </c>
      <c r="C197" s="177">
        <f t="shared" si="14"/>
        <v>39965.364583333336</v>
      </c>
      <c r="D197" s="141">
        <v>7200</v>
      </c>
      <c r="E197" s="21">
        <f t="shared" si="12"/>
        <v>203.88132000000002</v>
      </c>
      <c r="F197" s="9">
        <v>2.47</v>
      </c>
      <c r="G197" s="9">
        <v>0.49</v>
      </c>
      <c r="H197" s="12" t="s">
        <v>964</v>
      </c>
      <c r="I197" s="9">
        <v>4.15</v>
      </c>
      <c r="J197" s="140">
        <v>37.6564609375</v>
      </c>
      <c r="K197" s="22">
        <f t="shared" si="13"/>
        <v>503.5868604000001</v>
      </c>
    </row>
    <row r="198" spans="1:11" ht="13.5">
      <c r="A198" s="3" t="s">
        <v>2117</v>
      </c>
      <c r="B198" s="8">
        <v>39981.694444444445</v>
      </c>
      <c r="C198" s="177">
        <f t="shared" si="14"/>
        <v>39981.694444444445</v>
      </c>
      <c r="D198" s="141">
        <v>4050</v>
      </c>
      <c r="E198" s="21">
        <f t="shared" si="12"/>
        <v>114.6832425</v>
      </c>
      <c r="F198" s="9">
        <v>3.81</v>
      </c>
      <c r="G198" s="9">
        <v>0.68</v>
      </c>
      <c r="H198" s="12" t="s">
        <v>964</v>
      </c>
      <c r="I198" s="9">
        <v>6.46</v>
      </c>
      <c r="J198" s="140">
        <v>45.600861979166666</v>
      </c>
      <c r="K198" s="22">
        <f t="shared" si="13"/>
        <v>436.94315392500005</v>
      </c>
    </row>
    <row r="199" spans="1:11" ht="13.5">
      <c r="A199" s="3" t="s">
        <v>2118</v>
      </c>
      <c r="B199" s="8">
        <v>39995.62152777778</v>
      </c>
      <c r="C199" s="177">
        <f t="shared" si="14"/>
        <v>39995.62152777778</v>
      </c>
      <c r="D199" s="141">
        <v>2340</v>
      </c>
      <c r="E199" s="21">
        <f t="shared" si="12"/>
        <v>66.261429</v>
      </c>
      <c r="F199" s="9">
        <v>5.14</v>
      </c>
      <c r="G199" s="9">
        <v>0.88</v>
      </c>
      <c r="H199" s="12" t="s">
        <v>964</v>
      </c>
      <c r="I199" s="9">
        <v>9.98</v>
      </c>
      <c r="J199" s="140">
        <v>60.059671875</v>
      </c>
      <c r="K199" s="22">
        <f t="shared" si="13"/>
        <v>340.58374506</v>
      </c>
    </row>
    <row r="200" spans="1:11" ht="13.5">
      <c r="A200" s="3" t="s">
        <v>2119</v>
      </c>
      <c r="B200" s="8">
        <v>40001.333333333336</v>
      </c>
      <c r="C200" s="177">
        <f t="shared" si="14"/>
        <v>40001.333333333336</v>
      </c>
      <c r="D200" s="141">
        <v>1610</v>
      </c>
      <c r="E200" s="21">
        <f t="shared" si="12"/>
        <v>45.5901285</v>
      </c>
      <c r="F200" s="9">
        <v>6.2</v>
      </c>
      <c r="G200" s="9">
        <v>1.08</v>
      </c>
      <c r="H200" s="12">
        <v>0.01</v>
      </c>
      <c r="I200" s="9">
        <v>10.9</v>
      </c>
      <c r="J200" s="140">
        <v>56.881911458333335</v>
      </c>
      <c r="K200" s="22">
        <f t="shared" si="13"/>
        <v>282.6587967</v>
      </c>
    </row>
    <row r="201" spans="1:11" ht="13.5">
      <c r="A201" s="3" t="s">
        <v>2120</v>
      </c>
      <c r="B201" s="8">
        <v>40023.625</v>
      </c>
      <c r="C201" s="177">
        <f t="shared" si="14"/>
        <v>40023.625</v>
      </c>
      <c r="D201" s="141">
        <v>653</v>
      </c>
      <c r="E201" s="21">
        <f t="shared" si="12"/>
        <v>18.49090305</v>
      </c>
      <c r="F201" s="9">
        <v>10.3</v>
      </c>
      <c r="G201" s="9">
        <v>1.64</v>
      </c>
      <c r="H201" s="12">
        <v>0.02</v>
      </c>
      <c r="I201" s="9">
        <v>19.6</v>
      </c>
      <c r="J201" s="140">
        <v>72.4529375</v>
      </c>
      <c r="K201" s="22">
        <f t="shared" si="13"/>
        <v>190.456301415</v>
      </c>
    </row>
    <row r="202" spans="1:11" ht="13.5">
      <c r="A202" s="3" t="s">
        <v>2121</v>
      </c>
      <c r="B202" s="8">
        <v>40044.708333333336</v>
      </c>
      <c r="C202" s="177">
        <f t="shared" si="14"/>
        <v>40044.708333333336</v>
      </c>
      <c r="D202" s="141">
        <v>426</v>
      </c>
      <c r="E202" s="21">
        <f t="shared" si="12"/>
        <v>12.0629781</v>
      </c>
      <c r="F202" s="135">
        <v>13.2</v>
      </c>
      <c r="G202" s="135">
        <v>1.9</v>
      </c>
      <c r="H202" s="139">
        <v>0.03</v>
      </c>
      <c r="I202" s="135">
        <v>25.7</v>
      </c>
      <c r="J202" s="140">
        <v>80.87400260416666</v>
      </c>
      <c r="K202" s="22">
        <f t="shared" si="13"/>
        <v>159.23131092</v>
      </c>
    </row>
    <row r="203" spans="1:11" ht="13.5">
      <c r="A203" s="3" t="s">
        <v>2122</v>
      </c>
      <c r="B203" s="8">
        <v>40058.583333333336</v>
      </c>
      <c r="C203" s="177">
        <f t="shared" si="14"/>
        <v>40058.583333333336</v>
      </c>
      <c r="D203" s="141">
        <v>392</v>
      </c>
      <c r="E203" s="21">
        <f t="shared" si="12"/>
        <v>11.1002052</v>
      </c>
      <c r="F203" s="135">
        <v>14.6</v>
      </c>
      <c r="G203" s="135">
        <v>2.08</v>
      </c>
      <c r="H203" s="139">
        <v>0.03</v>
      </c>
      <c r="I203" s="135">
        <v>27.1</v>
      </c>
      <c r="J203" s="140">
        <v>81.03289062500001</v>
      </c>
      <c r="K203" s="22">
        <f t="shared" si="13"/>
        <v>162.06299592</v>
      </c>
    </row>
    <row r="204" spans="1:11" ht="13.5">
      <c r="A204" s="3" t="s">
        <v>2123</v>
      </c>
      <c r="B204" s="8">
        <v>40072.84027777778</v>
      </c>
      <c r="C204" s="177">
        <f t="shared" si="14"/>
        <v>40072.84027777778</v>
      </c>
      <c r="D204" s="141">
        <v>349</v>
      </c>
      <c r="E204" s="21">
        <f t="shared" si="12"/>
        <v>9.88258065</v>
      </c>
      <c r="F204" s="135">
        <v>15.5</v>
      </c>
      <c r="G204" s="135">
        <v>2.13</v>
      </c>
      <c r="H204" s="139">
        <v>0.04</v>
      </c>
      <c r="I204" s="135">
        <v>29</v>
      </c>
      <c r="J204" s="140">
        <v>84.21065104166668</v>
      </c>
      <c r="K204" s="22">
        <f t="shared" si="13"/>
        <v>153.18000007499998</v>
      </c>
    </row>
    <row r="205" spans="1:11" ht="12">
      <c r="A205" s="82" t="s">
        <v>1713</v>
      </c>
      <c r="B205" s="176"/>
      <c r="C205" s="177"/>
      <c r="D205" s="57"/>
      <c r="E205" s="21"/>
      <c r="F205" s="159"/>
      <c r="G205" s="21"/>
      <c r="H205" s="18"/>
      <c r="I205" s="21"/>
      <c r="J205" s="140"/>
      <c r="K205" s="22"/>
    </row>
    <row r="206" spans="1:11" ht="13.5">
      <c r="A206" s="3" t="s">
        <v>2124</v>
      </c>
      <c r="B206" s="8">
        <v>40253.631944444445</v>
      </c>
      <c r="C206" s="138">
        <v>40253.631944444445</v>
      </c>
      <c r="D206" s="141">
        <v>248</v>
      </c>
      <c r="E206" s="21">
        <f aca="true" t="shared" si="15" ref="E206:E226">D206*0.02831685</f>
        <v>7.022578800000001</v>
      </c>
      <c r="F206" s="9">
        <v>20.2</v>
      </c>
      <c r="G206" s="9">
        <v>2.54</v>
      </c>
      <c r="H206" s="12">
        <v>0.03</v>
      </c>
      <c r="I206" s="9">
        <v>31.2</v>
      </c>
      <c r="J206" s="140">
        <v>90.566171875</v>
      </c>
      <c r="K206" s="22">
        <f aca="true" t="shared" si="16" ref="K206:K226">E206*F206</f>
        <v>141.85609176</v>
      </c>
    </row>
    <row r="207" spans="1:11" ht="13.5">
      <c r="A207" s="3" t="s">
        <v>2125</v>
      </c>
      <c r="B207" s="8">
        <v>40260.4375</v>
      </c>
      <c r="C207" s="138">
        <v>40260.4375</v>
      </c>
      <c r="D207" s="141">
        <v>256</v>
      </c>
      <c r="E207" s="21">
        <f t="shared" si="15"/>
        <v>7.2491136</v>
      </c>
      <c r="F207" s="9">
        <v>19.8</v>
      </c>
      <c r="G207" s="9">
        <v>2.45</v>
      </c>
      <c r="H207" s="12">
        <v>0.04</v>
      </c>
      <c r="I207" s="9">
        <v>31.7</v>
      </c>
      <c r="J207" s="140">
        <v>92.15505208333333</v>
      </c>
      <c r="K207" s="22">
        <f t="shared" si="16"/>
        <v>143.53244928</v>
      </c>
    </row>
    <row r="208" spans="1:11" ht="13.5">
      <c r="A208" s="3" t="s">
        <v>2126</v>
      </c>
      <c r="B208" s="8">
        <v>40274.416666666664</v>
      </c>
      <c r="C208" s="138">
        <v>40274.416666666664</v>
      </c>
      <c r="D208" s="141">
        <v>336</v>
      </c>
      <c r="E208" s="21">
        <f t="shared" si="15"/>
        <v>9.5144616</v>
      </c>
      <c r="F208" s="9">
        <v>18.5</v>
      </c>
      <c r="G208" s="9">
        <v>2.56</v>
      </c>
      <c r="H208" s="12">
        <v>0.04</v>
      </c>
      <c r="I208" s="9">
        <v>25.8</v>
      </c>
      <c r="J208" s="140">
        <v>81.35066666666667</v>
      </c>
      <c r="K208" s="22">
        <f t="shared" si="16"/>
        <v>176.01753960000002</v>
      </c>
    </row>
    <row r="209" spans="1:11" ht="13.5">
      <c r="A209" s="3" t="s">
        <v>2127</v>
      </c>
      <c r="B209" s="8">
        <v>40281.71527777778</v>
      </c>
      <c r="C209" s="138">
        <v>40281.71527777778</v>
      </c>
      <c r="D209" s="141">
        <v>359</v>
      </c>
      <c r="E209" s="159">
        <f t="shared" si="15"/>
        <v>10.16574915</v>
      </c>
      <c r="F209" s="135">
        <v>17.6</v>
      </c>
      <c r="G209" s="135">
        <v>2.37</v>
      </c>
      <c r="H209" s="139">
        <v>0.03</v>
      </c>
      <c r="I209" s="135">
        <v>26.3</v>
      </c>
      <c r="J209" s="164">
        <v>80.39733854166667</v>
      </c>
      <c r="K209" s="22">
        <f t="shared" si="16"/>
        <v>178.91718504000002</v>
      </c>
    </row>
    <row r="210" spans="1:11" ht="13.5">
      <c r="A210" s="3" t="s">
        <v>2128</v>
      </c>
      <c r="B210" s="8">
        <v>40303.458333333336</v>
      </c>
      <c r="C210" s="138">
        <v>40303.458333333336</v>
      </c>
      <c r="D210" s="141">
        <v>581</v>
      </c>
      <c r="E210" s="159">
        <f t="shared" si="15"/>
        <v>16.45208985</v>
      </c>
      <c r="F210" s="159">
        <v>13.6</v>
      </c>
      <c r="G210" s="159">
        <v>1.99</v>
      </c>
      <c r="H210" s="170">
        <v>0.04</v>
      </c>
      <c r="I210" s="159">
        <v>21.5</v>
      </c>
      <c r="J210" s="164">
        <v>77.53735416666666</v>
      </c>
      <c r="K210" s="22">
        <f t="shared" si="16"/>
        <v>223.74842196</v>
      </c>
    </row>
    <row r="211" spans="1:11" ht="13.5">
      <c r="A211" s="3" t="s">
        <v>2129</v>
      </c>
      <c r="B211" s="8">
        <v>40324.645833333336</v>
      </c>
      <c r="C211" s="138">
        <v>40324.645833333336</v>
      </c>
      <c r="D211" s="141">
        <v>1480</v>
      </c>
      <c r="E211" s="159">
        <f t="shared" si="15"/>
        <v>41.908938</v>
      </c>
      <c r="F211" s="159">
        <v>6.91</v>
      </c>
      <c r="G211" s="159">
        <v>1.12</v>
      </c>
      <c r="H211" s="170">
        <v>0.01</v>
      </c>
      <c r="I211" s="159">
        <v>12.7</v>
      </c>
      <c r="J211" s="164">
        <v>62.601880208333334</v>
      </c>
      <c r="K211" s="22">
        <f t="shared" si="16"/>
        <v>289.59076158</v>
      </c>
    </row>
    <row r="212" spans="1:11" ht="13.5">
      <c r="A212" s="3" t="s">
        <v>2130</v>
      </c>
      <c r="B212" s="8">
        <v>40331.694444444445</v>
      </c>
      <c r="C212" s="138">
        <v>40331.694444444445</v>
      </c>
      <c r="D212" s="141">
        <v>5910</v>
      </c>
      <c r="E212" s="159">
        <f t="shared" si="15"/>
        <v>167.3525835</v>
      </c>
      <c r="F212" s="159">
        <v>2.06</v>
      </c>
      <c r="G212" s="159">
        <v>0.39</v>
      </c>
      <c r="H212" s="170" t="s">
        <v>964</v>
      </c>
      <c r="I212" s="159">
        <v>4.63</v>
      </c>
      <c r="J212" s="140">
        <v>43.05865364583333</v>
      </c>
      <c r="K212" s="22">
        <f t="shared" si="16"/>
        <v>344.74632201000003</v>
      </c>
    </row>
    <row r="213" spans="1:11" ht="13.5">
      <c r="A213" s="3" t="s">
        <v>2131</v>
      </c>
      <c r="B213" s="8">
        <v>40338.708333333336</v>
      </c>
      <c r="C213" s="138">
        <v>40338.708333333336</v>
      </c>
      <c r="D213" s="141">
        <v>6230</v>
      </c>
      <c r="E213" s="159">
        <f t="shared" si="15"/>
        <v>176.41397550000002</v>
      </c>
      <c r="F213" s="159">
        <v>3.93</v>
      </c>
      <c r="G213" s="159">
        <v>0.73</v>
      </c>
      <c r="H213" s="170" t="s">
        <v>964</v>
      </c>
      <c r="I213" s="159">
        <v>5.91</v>
      </c>
      <c r="J213" s="140">
        <v>45.2830859375</v>
      </c>
      <c r="K213" s="22">
        <f t="shared" si="16"/>
        <v>693.3069237150002</v>
      </c>
    </row>
    <row r="214" spans="1:11" ht="13.5">
      <c r="A214" s="3" t="s">
        <v>2132</v>
      </c>
      <c r="B214" s="8">
        <v>40345.48611111111</v>
      </c>
      <c r="C214" s="138">
        <v>40345.48611111111</v>
      </c>
      <c r="D214" s="141">
        <v>4630</v>
      </c>
      <c r="E214" s="159">
        <f t="shared" si="15"/>
        <v>131.10701550000002</v>
      </c>
      <c r="F214" s="159">
        <v>3.18</v>
      </c>
      <c r="G214" s="159">
        <v>0.57</v>
      </c>
      <c r="H214" s="170" t="s">
        <v>964</v>
      </c>
      <c r="I214" s="159">
        <v>5.44</v>
      </c>
      <c r="J214" s="140">
        <v>42.26421354166667</v>
      </c>
      <c r="K214" s="22">
        <f t="shared" si="16"/>
        <v>416.9203092900001</v>
      </c>
    </row>
    <row r="215" spans="1:11" ht="13.5">
      <c r="A215" s="3" t="s">
        <v>2133</v>
      </c>
      <c r="B215" s="8">
        <v>40356.645833333336</v>
      </c>
      <c r="C215" s="138">
        <v>40356.645833333336</v>
      </c>
      <c r="D215" s="141">
        <v>1990</v>
      </c>
      <c r="E215" s="159">
        <f t="shared" si="15"/>
        <v>56.3505315</v>
      </c>
      <c r="F215" s="159">
        <v>5.89</v>
      </c>
      <c r="G215" s="159">
        <v>0.97</v>
      </c>
      <c r="H215" s="170">
        <v>0.01</v>
      </c>
      <c r="I215" s="159">
        <v>10.5</v>
      </c>
      <c r="J215" s="140">
        <v>55.45191927083333</v>
      </c>
      <c r="K215" s="22">
        <f t="shared" si="16"/>
        <v>331.904630535</v>
      </c>
    </row>
    <row r="216" spans="1:11" ht="13.5">
      <c r="A216" s="3" t="s">
        <v>2134</v>
      </c>
      <c r="B216" s="8">
        <v>40359.6875</v>
      </c>
      <c r="C216" s="138">
        <v>40359.6875</v>
      </c>
      <c r="D216" s="141">
        <v>1680</v>
      </c>
      <c r="E216" s="159">
        <f t="shared" si="15"/>
        <v>47.572308</v>
      </c>
      <c r="F216" s="159">
        <v>6.27</v>
      </c>
      <c r="G216" s="159">
        <v>1.02</v>
      </c>
      <c r="H216" s="170">
        <v>0.02</v>
      </c>
      <c r="I216" s="159">
        <v>11.6</v>
      </c>
      <c r="J216" s="140">
        <v>56.564135416666666</v>
      </c>
      <c r="K216" s="22">
        <f t="shared" si="16"/>
        <v>298.27837115999995</v>
      </c>
    </row>
    <row r="217" spans="1:11" ht="13.5">
      <c r="A217" s="3" t="s">
        <v>2135</v>
      </c>
      <c r="B217" s="8">
        <v>40366.69930555556</v>
      </c>
      <c r="C217" s="138">
        <v>40366.69930555556</v>
      </c>
      <c r="D217" s="141">
        <v>909</v>
      </c>
      <c r="E217" s="159">
        <f t="shared" si="15"/>
        <v>25.74001665</v>
      </c>
      <c r="F217" s="159">
        <v>9.04</v>
      </c>
      <c r="G217" s="159">
        <v>1.4</v>
      </c>
      <c r="H217" s="170">
        <v>0.02</v>
      </c>
      <c r="I217" s="159">
        <v>16.9</v>
      </c>
      <c r="J217" s="140">
        <v>67.36852083333333</v>
      </c>
      <c r="K217" s="22">
        <f t="shared" si="16"/>
        <v>232.68975051599998</v>
      </c>
    </row>
    <row r="218" spans="1:11" ht="13.5">
      <c r="A218" s="3" t="s">
        <v>2136</v>
      </c>
      <c r="B218" s="8">
        <v>40375.65625</v>
      </c>
      <c r="C218" s="138">
        <v>40375.65625</v>
      </c>
      <c r="D218" s="141">
        <v>560</v>
      </c>
      <c r="E218" s="159">
        <f t="shared" si="15"/>
        <v>15.857436</v>
      </c>
      <c r="F218" s="21">
        <v>11.4</v>
      </c>
      <c r="G218" s="21">
        <v>1.63</v>
      </c>
      <c r="H218" s="18">
        <v>0.03</v>
      </c>
      <c r="I218" s="21">
        <v>22.6</v>
      </c>
      <c r="J218" s="140">
        <v>77.37846614583333</v>
      </c>
      <c r="K218" s="22">
        <f t="shared" si="16"/>
        <v>180.7747704</v>
      </c>
    </row>
    <row r="219" spans="1:11" ht="13.5">
      <c r="A219" s="3" t="s">
        <v>2137</v>
      </c>
      <c r="B219" s="8">
        <v>40380.7</v>
      </c>
      <c r="C219" s="138">
        <v>40380.7</v>
      </c>
      <c r="D219" s="141">
        <v>468</v>
      </c>
      <c r="E219" s="159">
        <f t="shared" si="15"/>
        <v>13.252285800000001</v>
      </c>
      <c r="F219" s="21">
        <v>12.4</v>
      </c>
      <c r="G219" s="21">
        <v>1.71</v>
      </c>
      <c r="H219" s="18">
        <v>0.03</v>
      </c>
      <c r="I219" s="21">
        <v>25.2</v>
      </c>
      <c r="J219" s="140">
        <v>81.66844270833333</v>
      </c>
      <c r="K219" s="22">
        <f t="shared" si="16"/>
        <v>164.32834392</v>
      </c>
    </row>
    <row r="220" spans="1:11" ht="13.5">
      <c r="A220" s="3" t="s">
        <v>2138</v>
      </c>
      <c r="B220" s="8">
        <v>40387.7125</v>
      </c>
      <c r="C220" s="138">
        <v>40387.7125</v>
      </c>
      <c r="D220" s="141">
        <v>396</v>
      </c>
      <c r="E220" s="159">
        <f t="shared" si="15"/>
        <v>11.213472600000001</v>
      </c>
      <c r="F220" s="21">
        <v>13.5</v>
      </c>
      <c r="G220" s="21">
        <v>1.81</v>
      </c>
      <c r="H220" s="18">
        <v>0.03</v>
      </c>
      <c r="I220" s="21">
        <v>27.8</v>
      </c>
      <c r="J220" s="140">
        <v>86.59397135416667</v>
      </c>
      <c r="K220" s="22">
        <f t="shared" si="16"/>
        <v>151.38188010000002</v>
      </c>
    </row>
    <row r="221" spans="1:11" ht="13.5">
      <c r="A221" s="3" t="s">
        <v>2139</v>
      </c>
      <c r="B221" s="8">
        <v>40394.69513888889</v>
      </c>
      <c r="C221" s="138">
        <v>40394.69513888889</v>
      </c>
      <c r="D221" s="141">
        <v>341</v>
      </c>
      <c r="E221" s="159">
        <f t="shared" si="15"/>
        <v>9.65604585</v>
      </c>
      <c r="F221" s="21">
        <v>14.9</v>
      </c>
      <c r="G221" s="21">
        <v>1.92</v>
      </c>
      <c r="H221" s="18">
        <v>0.04</v>
      </c>
      <c r="I221" s="21">
        <v>30.1</v>
      </c>
      <c r="J221" s="140">
        <v>88.50062760416665</v>
      </c>
      <c r="K221" s="22">
        <f t="shared" si="16"/>
        <v>143.875083165</v>
      </c>
    </row>
    <row r="222" spans="1:11" ht="13.5">
      <c r="A222" s="3" t="s">
        <v>2140</v>
      </c>
      <c r="B222" s="8">
        <v>40401.72152777778</v>
      </c>
      <c r="C222" s="138">
        <v>40401.72152777778</v>
      </c>
      <c r="D222" s="141">
        <v>321</v>
      </c>
      <c r="E222" s="159">
        <f t="shared" si="15"/>
        <v>9.089708850000001</v>
      </c>
      <c r="F222" s="21">
        <v>15.3</v>
      </c>
      <c r="G222" s="21">
        <v>1.94</v>
      </c>
      <c r="H222" s="18">
        <v>0.03</v>
      </c>
      <c r="I222" s="21">
        <v>31.1</v>
      </c>
      <c r="J222" s="140">
        <v>91.5195</v>
      </c>
      <c r="K222" s="22">
        <f t="shared" si="16"/>
        <v>139.07254540500003</v>
      </c>
    </row>
    <row r="223" spans="1:11" ht="13.5">
      <c r="A223" s="3" t="s">
        <v>2141</v>
      </c>
      <c r="B223" s="8">
        <v>40408.71944444445</v>
      </c>
      <c r="C223" s="138">
        <v>40408.71944444445</v>
      </c>
      <c r="D223" s="141">
        <v>284</v>
      </c>
      <c r="E223" s="159">
        <f t="shared" si="15"/>
        <v>8.0419854</v>
      </c>
      <c r="F223" s="21">
        <v>16.4</v>
      </c>
      <c r="G223" s="21">
        <v>2.02</v>
      </c>
      <c r="H223" s="18">
        <v>0.04</v>
      </c>
      <c r="I223" s="21">
        <v>33.2</v>
      </c>
      <c r="J223" s="140">
        <v>94.22059635416666</v>
      </c>
      <c r="K223" s="22">
        <f t="shared" si="16"/>
        <v>131.88856055999997</v>
      </c>
    </row>
    <row r="224" spans="1:11" ht="13.5">
      <c r="A224" s="3" t="s">
        <v>2142</v>
      </c>
      <c r="B224" s="8">
        <v>40425.708333333336</v>
      </c>
      <c r="C224" s="138">
        <v>40425.708333333336</v>
      </c>
      <c r="D224" s="141">
        <v>278</v>
      </c>
      <c r="E224" s="159">
        <f t="shared" si="15"/>
        <v>7.8720843</v>
      </c>
      <c r="F224" s="21">
        <v>17.4</v>
      </c>
      <c r="G224" s="21">
        <v>2.13</v>
      </c>
      <c r="H224" s="18">
        <v>0.04</v>
      </c>
      <c r="I224" s="21">
        <v>33.4</v>
      </c>
      <c r="J224" s="140">
        <v>94.22059635416666</v>
      </c>
      <c r="K224" s="22">
        <f t="shared" si="16"/>
        <v>136.97426682</v>
      </c>
    </row>
    <row r="225" spans="1:11" ht="13.5">
      <c r="A225" s="3" t="s">
        <v>2143</v>
      </c>
      <c r="B225" s="8">
        <v>40443.583333333336</v>
      </c>
      <c r="C225" s="138">
        <v>40443.583333333336</v>
      </c>
      <c r="D225" s="141">
        <v>238</v>
      </c>
      <c r="E225" s="159">
        <f t="shared" si="15"/>
        <v>6.7394103</v>
      </c>
      <c r="F225" s="21">
        <v>19.1</v>
      </c>
      <c r="G225" s="21">
        <v>2.21</v>
      </c>
      <c r="H225" s="18">
        <v>0.05</v>
      </c>
      <c r="I225" s="21">
        <v>36.5</v>
      </c>
      <c r="J225" s="140">
        <v>99.46390104166667</v>
      </c>
      <c r="K225" s="22">
        <f t="shared" si="16"/>
        <v>128.72273673</v>
      </c>
    </row>
    <row r="226" spans="1:11" ht="13.5">
      <c r="A226" s="3" t="s">
        <v>2144</v>
      </c>
      <c r="B226" s="8">
        <v>40451.63888888889</v>
      </c>
      <c r="C226" s="138">
        <v>40451.63888888889</v>
      </c>
      <c r="D226" s="141">
        <v>220</v>
      </c>
      <c r="E226" s="159">
        <f t="shared" si="15"/>
        <v>6.229707</v>
      </c>
      <c r="F226" s="21">
        <v>19.9</v>
      </c>
      <c r="G226" s="21">
        <v>2.27</v>
      </c>
      <c r="H226" s="18">
        <v>0.05</v>
      </c>
      <c r="I226" s="21">
        <v>37.9</v>
      </c>
      <c r="J226" s="140">
        <v>100.73500520833332</v>
      </c>
      <c r="K226" s="22">
        <f t="shared" si="16"/>
        <v>123.9711693</v>
      </c>
    </row>
  </sheetData>
  <sheetProtection/>
  <printOptions/>
  <pageMargins left="0.75" right="0.75" top="1" bottom="1" header="0.5" footer="0.5"/>
  <pageSetup horizontalDpi="1200" verticalDpi="12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Data Series 278, v. 4.0</dc:title>
  <dc:subject>River chemistry and solute flux in Yellowstone National Park</dc:subject>
  <dc:creator>Shaul Hurwitz, Sean Eagan, Henry Heasler, Dan Mahony, Mark A. Huebner, and Jacob B Lowenstern</dc:creator>
  <cp:keywords/>
  <dc:description/>
  <cp:lastModifiedBy>Michael Diggles</cp:lastModifiedBy>
  <cp:lastPrinted>2008-05-12T16:46:10Z</cp:lastPrinted>
  <dcterms:created xsi:type="dcterms:W3CDTF">2004-03-02T23:28:48Z</dcterms:created>
  <dcterms:modified xsi:type="dcterms:W3CDTF">2012-05-15T17:39:10Z</dcterms:modified>
  <cp:category/>
  <cp:version/>
  <cp:contentType/>
  <cp:contentStatus/>
</cp:coreProperties>
</file>