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5056" windowWidth="22940" windowHeight="17640" tabRatio="781" activeTab="0"/>
  </bookViews>
  <sheets>
    <sheet name="Map &amp; index" sheetId="1" r:id="rId1"/>
    <sheet name="Table 2" sheetId="2" r:id="rId2"/>
    <sheet name="08.37 Olive" sheetId="3" r:id="rId3"/>
    <sheet name="14.05 Florida" sheetId="4" r:id="rId4"/>
    <sheet name="17.82 Cal Stadium" sheetId="5" r:id="rId5"/>
    <sheet name="18.43 Dwight" sheetId="6" r:id="rId6"/>
    <sheet name="20.84Temescal" sheetId="7" r:id="rId7"/>
    <sheet name="25.98 Lincoln" sheetId="8" r:id="rId8"/>
    <sheet name="27.81 39th" sheetId="9" r:id="rId9"/>
    <sheet name="30.68 73rd" sheetId="10" r:id="rId10"/>
    <sheet name="36.55 Chabot Park" sheetId="11" r:id="rId11"/>
    <sheet name="38.28 Fairmount" sheetId="12" r:id="rId12"/>
    <sheet name="41.11 167th" sheetId="13" r:id="rId13"/>
    <sheet name="45.64 Palisade" sheetId="14" r:id="rId14"/>
    <sheet name="47.72 Sepulchre" sheetId="15" r:id="rId15"/>
    <sheet name="50.15 Woodland" sheetId="16" r:id="rId16"/>
    <sheet name="52.60 Chimes" sheetId="17" r:id="rId17"/>
    <sheet name="59.09 Gilbert" sheetId="18" r:id="rId18"/>
    <sheet name="62.64 Hancock" sheetId="19" r:id="rId19"/>
    <sheet name="63.10 Union" sheetId="20" r:id="rId20"/>
    <sheet name="65.29 Pine" sheetId="21" r:id="rId21"/>
    <sheet name="67.02 S. Grimmer" sheetId="22" r:id="rId22"/>
    <sheet name="67.21 Onondaga" sheetId="23" r:id="rId23"/>
    <sheet name="68.45 Mission" sheetId="24" r:id="rId24"/>
  </sheets>
  <definedNames/>
  <calcPr fullCalcOnLoad="1"/>
</workbook>
</file>

<file path=xl/sharedStrings.xml><?xml version="1.0" encoding="utf-8"?>
<sst xmlns="http://schemas.openxmlformats.org/spreadsheetml/2006/main" count="431" uniqueCount="191">
  <si>
    <t>1) array may miss significant fault traces</t>
  </si>
  <si>
    <t>2) slip rate includes considerable slow-down following 1989 Loma Prieta Earthquake</t>
  </si>
  <si>
    <t>3) array misses a major creeping fault trace</t>
  </si>
  <si>
    <t>*average = total slip/total time</t>
  </si>
  <si>
    <r>
      <t>Distance from Pt. Pinole</t>
    </r>
    <r>
      <rPr>
        <vertAlign val="superscript"/>
        <sz val="9"/>
        <rFont val="Geneva"/>
        <family val="0"/>
      </rPr>
      <t xml:space="preserve">1  </t>
    </r>
  </si>
  <si>
    <t>HCCC</t>
  </si>
  <si>
    <t>HTBR</t>
  </si>
  <si>
    <t>HLSA</t>
  </si>
  <si>
    <t>HENC</t>
  </si>
  <si>
    <t>HROS</t>
  </si>
  <si>
    <t>HDST</t>
  </si>
  <si>
    <t>HAPP</t>
  </si>
  <si>
    <t>HRKT</t>
  </si>
  <si>
    <t>HCAM</t>
  </si>
  <si>
    <t>HPMD</t>
  </si>
  <si>
    <t>~179</t>
  </si>
  <si>
    <t>Fairmont</t>
  </si>
  <si>
    <t>167th</t>
  </si>
  <si>
    <t>Palisade</t>
  </si>
  <si>
    <t>Sepulchre</t>
  </si>
  <si>
    <t>Woodland</t>
  </si>
  <si>
    <t>Chimes</t>
  </si>
  <si>
    <t>Gilbert</t>
  </si>
  <si>
    <t>Hancock</t>
  </si>
  <si>
    <t>Union</t>
  </si>
  <si>
    <t>Pine</t>
  </si>
  <si>
    <t>S. Grimmer</t>
  </si>
  <si>
    <t>Onondaga</t>
  </si>
  <si>
    <t>Mission</t>
  </si>
  <si>
    <t>Rockett Drive</t>
  </si>
  <si>
    <t>Fremont</t>
  </si>
  <si>
    <t>Appian Way</t>
  </si>
  <si>
    <t>5.89 ± 0.31</t>
  </si>
  <si>
    <t>7.01 ± 0.78</t>
  </si>
  <si>
    <r>
      <t>simple average after</t>
    </r>
    <r>
      <rPr>
        <u val="single"/>
        <sz val="9"/>
        <rFont val="Geneva"/>
        <family val="0"/>
      </rPr>
      <t xml:space="preserve"> 2001.824</t>
    </r>
  </si>
  <si>
    <r>
      <t>linear regression after</t>
    </r>
    <r>
      <rPr>
        <u val="single"/>
        <sz val="9"/>
        <rFont val="Geneva"/>
        <family val="0"/>
      </rPr>
      <t xml:space="preserve"> 2001.824</t>
    </r>
  </si>
  <si>
    <t>2.42 ± 0.21</t>
  </si>
  <si>
    <t>4.75 ± 0.30</t>
  </si>
  <si>
    <t>4.92 ± 0.27</t>
  </si>
  <si>
    <r>
      <t>simple average after</t>
    </r>
    <r>
      <rPr>
        <u val="single"/>
        <sz val="9"/>
        <rFont val="Geneva"/>
        <family val="0"/>
      </rPr>
      <t xml:space="preserve"> 1997.644</t>
    </r>
  </si>
  <si>
    <r>
      <t>linear regression after</t>
    </r>
    <r>
      <rPr>
        <u val="single"/>
        <sz val="9"/>
        <rFont val="Geneva"/>
        <family val="0"/>
      </rPr>
      <t xml:space="preserve"> 1997.644</t>
    </r>
  </si>
  <si>
    <t>5.76 ± 0.27</t>
  </si>
  <si>
    <t>std. dev.*</t>
  </si>
  <si>
    <t>km 18.43 - Dwight Way</t>
  </si>
  <si>
    <t>move- ment (mm)</t>
  </si>
  <si>
    <t>New IS, project longterm rate</t>
  </si>
  <si>
    <t>simple aver- age</t>
  </si>
  <si>
    <t xml:space="preserve"> simple aver-age</t>
  </si>
  <si>
    <t>move-ment (mm)</t>
  </si>
  <si>
    <r>
      <t xml:space="preserve">move-ment </t>
    </r>
    <r>
      <rPr>
        <u val="single"/>
        <sz val="9"/>
        <rFont val="Geneva"/>
        <family val="0"/>
      </rPr>
      <t>(mm)</t>
    </r>
  </si>
  <si>
    <t>~105</t>
  </si>
  <si>
    <t>~66</t>
  </si>
  <si>
    <r>
      <t>linear regression after</t>
    </r>
    <r>
      <rPr>
        <u val="single"/>
        <sz val="9"/>
        <rFont val="Geneva"/>
        <family val="0"/>
      </rPr>
      <t xml:space="preserve"> 1999.696</t>
    </r>
  </si>
  <si>
    <t>Wrong centerpunch used; interpolate Parkmeadow &amp; Onondaga</t>
  </si>
  <si>
    <r>
      <t xml:space="preserve">simple average since </t>
    </r>
    <r>
      <rPr>
        <u val="single"/>
        <sz val="9"/>
        <rFont val="Geneva"/>
        <family val="0"/>
      </rPr>
      <t>2003</t>
    </r>
  </si>
  <si>
    <r>
      <t>linear regres-sion after</t>
    </r>
    <r>
      <rPr>
        <u val="single"/>
        <sz val="9"/>
        <rFont val="Geneva"/>
        <family val="0"/>
      </rPr>
      <t xml:space="preserve"> 2003.817</t>
    </r>
  </si>
  <si>
    <t>Dwight</t>
  </si>
  <si>
    <t>14.05 - Florida Ave.</t>
  </si>
  <si>
    <t>New ES</t>
  </si>
  <si>
    <t>angle 3 (wrong punch on ES?)</t>
  </si>
  <si>
    <t>angle 3; 7 mm, begin event</t>
  </si>
  <si>
    <t>angle 3; 11 mm, end event</t>
  </si>
  <si>
    <t>angle 3; 11 mm creep event</t>
  </si>
  <si>
    <r>
      <t xml:space="preserve">std. </t>
    </r>
    <r>
      <rPr>
        <u val="single"/>
        <sz val="9"/>
        <rFont val="Geneva"/>
        <family val="0"/>
      </rPr>
      <t>dev.</t>
    </r>
  </si>
  <si>
    <t>5.05±.14</t>
  </si>
  <si>
    <r>
      <t>simple average after</t>
    </r>
    <r>
      <rPr>
        <u val="single"/>
        <sz val="9"/>
        <rFont val="Geneva"/>
        <family val="0"/>
      </rPr>
      <t xml:space="preserve"> 1994.627</t>
    </r>
  </si>
  <si>
    <r>
      <t>linear regression after</t>
    </r>
    <r>
      <rPr>
        <u val="single"/>
        <sz val="9"/>
        <rFont val="Geneva"/>
        <family val="0"/>
      </rPr>
      <t xml:space="preserve"> 1994.627</t>
    </r>
  </si>
  <si>
    <t>5.65 ± 0.18</t>
  </si>
  <si>
    <t>6.39 ± 0.18</t>
  </si>
  <si>
    <t>6.90 ± 0.13</t>
  </si>
  <si>
    <t>5.87 ± 0.21</t>
  </si>
  <si>
    <t>7.25 ± 0.18</t>
  </si>
  <si>
    <r>
      <t>simple average after</t>
    </r>
    <r>
      <rPr>
        <u val="single"/>
        <sz val="9"/>
        <rFont val="Geneva"/>
        <family val="0"/>
      </rPr>
      <t xml:space="preserve"> 1999.696</t>
    </r>
  </si>
  <si>
    <t>Union City</t>
  </si>
  <si>
    <t>D Street</t>
  </si>
  <si>
    <t>Rose Street</t>
  </si>
  <si>
    <t>Contra Costa College</t>
  </si>
  <si>
    <t>San Pablo</t>
  </si>
  <si>
    <t>Camellia Drive</t>
  </si>
  <si>
    <t>Parkmeadow Drive</t>
  </si>
  <si>
    <t>Encina Way</t>
  </si>
  <si>
    <t>Oakland</t>
  </si>
  <si>
    <t>LaSalle Ave</t>
  </si>
  <si>
    <t>Thors Bay Road</t>
  </si>
  <si>
    <t>El Cerrito</t>
  </si>
  <si>
    <t>Hayward Fault USGS-SFSU Annual Site</t>
  </si>
  <si>
    <t>Table 2.  Average Rates of Right-Lateral Movement, Hayward Fault, Sites Surveyed Annually</t>
  </si>
  <si>
    <t>Distance from Pt. Pinole (km)</t>
  </si>
  <si>
    <t>C ity</t>
  </si>
  <si>
    <t>Longitude (WGS84)</t>
  </si>
  <si>
    <t>Latitude (WGS84)</t>
  </si>
  <si>
    <t>Length (m)</t>
  </si>
  <si>
    <t>Linear regression average creep rate (mm/yr)</t>
  </si>
  <si>
    <t>± (mm/yr)</t>
  </si>
  <si>
    <t>Average* creep rate (mm/yr)</t>
  </si>
  <si>
    <t>yr</t>
  </si>
  <si>
    <t>Note</t>
  </si>
  <si>
    <t>Olive Drive</t>
  </si>
  <si>
    <t>Richmond</t>
  </si>
  <si>
    <t>Florida Avenue</t>
  </si>
  <si>
    <t>Berkeley</t>
  </si>
  <si>
    <t>Memorial Stadium</t>
  </si>
  <si>
    <t>Dwight Way</t>
  </si>
  <si>
    <t>San Leandro</t>
  </si>
  <si>
    <t>Castro Valley</t>
  </si>
  <si>
    <t>2,3</t>
  </si>
  <si>
    <t xml:space="preserve">Notes: </t>
  </si>
  <si>
    <t>52.60 km-Chapel of the Chimes Cemetery</t>
  </si>
  <si>
    <t>std. dev.</t>
  </si>
  <si>
    <t># of years</t>
  </si>
  <si>
    <t>year</t>
  </si>
  <si>
    <t>date</t>
  </si>
  <si>
    <t>Hayward</t>
  </si>
  <si>
    <t>Site Name</t>
  </si>
  <si>
    <t>Olive</t>
  </si>
  <si>
    <t>Cal Stadium</t>
  </si>
  <si>
    <t>Temescal</t>
  </si>
  <si>
    <t>Lincoln</t>
  </si>
  <si>
    <t>39th</t>
  </si>
  <si>
    <t>73rd</t>
  </si>
  <si>
    <t>Chabot Park</t>
  </si>
  <si>
    <t>IS-ES Distance (m) (Active underlined)</t>
  </si>
  <si>
    <t xml:space="preserve"> First Measurement</t>
  </si>
  <si>
    <t>Last Measurement</t>
  </si>
  <si>
    <t>SFSU Site Number</t>
  </si>
  <si>
    <r>
      <t>1</t>
    </r>
    <r>
      <rPr>
        <sz val="9"/>
        <rFont val="Geneva"/>
        <family val="0"/>
      </rPr>
      <t>Distances follow km grid of Lienkaemper (1992)</t>
    </r>
  </si>
  <si>
    <t>Location</t>
  </si>
  <si>
    <t>angle 3 (patched using rate; centerpunched new ES.)</t>
  </si>
  <si>
    <t>2.98 ± 0.10</t>
  </si>
  <si>
    <t>Florida</t>
  </si>
  <si>
    <t>~150</t>
  </si>
  <si>
    <t>C, Angle Correction</t>
  </si>
  <si>
    <t>New SFSU Site Code</t>
  </si>
  <si>
    <t xml:space="preserve">        Regular SFSU Hayward Fault Sites                         (See: SFBayRegion.xls for data)</t>
  </si>
  <si>
    <t>SFSU-USGS Afterslip Sites Along Hayward Fault, Sites Measured Annually (data in this workbook)</t>
  </si>
  <si>
    <t>movement (mm)</t>
  </si>
  <si>
    <t>3.13 ± 0.14</t>
  </si>
  <si>
    <t>4.67 ± 0.14</t>
  </si>
  <si>
    <t>3.88 ± 0.06</t>
  </si>
  <si>
    <t>4.23 ± 0.36</t>
  </si>
  <si>
    <t>5.16 ± 0.10</t>
  </si>
  <si>
    <t>New IS, assume long-term rate since last survey</t>
  </si>
  <si>
    <t>4.58 ± 0.24</t>
  </si>
  <si>
    <t>New IS, assume long-term rate</t>
  </si>
  <si>
    <t>5.58 ± 0.15</t>
  </si>
  <si>
    <t>4.33 ± 0.10</t>
  </si>
  <si>
    <t>5.91 ± 0.19</t>
  </si>
  <si>
    <t>angle 1</t>
  </si>
  <si>
    <t>angle 2</t>
  </si>
  <si>
    <t>both angles</t>
  </si>
  <si>
    <t>angle 3</t>
  </si>
  <si>
    <t>Notes:</t>
  </si>
  <si>
    <r>
      <t xml:space="preserve"> simple </t>
    </r>
    <r>
      <rPr>
        <u val="single"/>
        <sz val="9"/>
        <rFont val="Geneva"/>
        <family val="0"/>
      </rPr>
      <t>average</t>
    </r>
  </si>
  <si>
    <r>
      <t xml:space="preserve">linear </t>
    </r>
    <r>
      <rPr>
        <u val="single"/>
        <sz val="9"/>
        <rFont val="Geneva"/>
        <family val="0"/>
      </rPr>
      <t>regression</t>
    </r>
  </si>
  <si>
    <r>
      <t xml:space="preserve">movement </t>
    </r>
    <r>
      <rPr>
        <u val="single"/>
        <sz val="9"/>
        <rFont val="Geneva"/>
        <family val="0"/>
      </rPr>
      <t>(mm)</t>
    </r>
  </si>
  <si>
    <t>angle 2; 12 mm event early '93, see Rockett</t>
  </si>
  <si>
    <t>angle 1; 13 mm creep event</t>
  </si>
  <si>
    <t xml:space="preserve">angle 3; 10 mm creep event </t>
  </si>
  <si>
    <t>angle 1; 11 mm creep event</t>
  </si>
  <si>
    <t>08.37 km-Olive Ave.</t>
  </si>
  <si>
    <t>––</t>
  </si>
  <si>
    <t xml:space="preserve"> simple average </t>
  </si>
  <si>
    <t>creep rate (mm/yr)</t>
  </si>
  <si>
    <t>linear regression</t>
  </si>
  <si>
    <t>4.69 ± 0.03</t>
  </si>
  <si>
    <t xml:space="preserve"> simple average</t>
  </si>
  <si>
    <t xml:space="preserve"> simple average, after 1988.358</t>
  </si>
  <si>
    <t>3.4 ± 0.08</t>
  </si>
  <si>
    <t xml:space="preserve"> </t>
  </si>
  <si>
    <t>3.84 ± 0.11</t>
  </si>
  <si>
    <t>2.98 ± 0.07</t>
  </si>
  <si>
    <t>4.03 ± 0.24</t>
  </si>
  <si>
    <t>17.82 km-Cal Stadium</t>
  </si>
  <si>
    <t>20.84 km-Temescal</t>
  </si>
  <si>
    <t>25.98 km-Lincoln Ave.</t>
  </si>
  <si>
    <t>30.68 km-73rd Ave.</t>
  </si>
  <si>
    <t>36.55 km-Chabot Park</t>
  </si>
  <si>
    <t>41.11 km-167th Ave.</t>
  </si>
  <si>
    <t>45.64 km-Palisade Dr.</t>
  </si>
  <si>
    <t>47.72 km-Holy Sepulchre Cemetery</t>
  </si>
  <si>
    <t>50.15 km-Woodland Ave.</t>
  </si>
  <si>
    <t>59.09 km-Gilbert Ave.</t>
  </si>
  <si>
    <t>62.64 km-Hancock Ave.</t>
  </si>
  <si>
    <t>63.10 km-Union St.</t>
  </si>
  <si>
    <t>65.29 km-Pine St.</t>
  </si>
  <si>
    <t>67.02 km-South Grimmer Blvd.</t>
  </si>
  <si>
    <t>67.21 km-Onondaga Dr.</t>
  </si>
  <si>
    <t>68.45 km-Mission Blvd</t>
  </si>
  <si>
    <t>27.81 km-39th Ave.</t>
  </si>
  <si>
    <t>38.28 km-Fairmont Dr.</t>
  </si>
  <si>
    <r>
      <t>Distance from Pt. Pinole</t>
    </r>
    <r>
      <rPr>
        <vertAlign val="superscript"/>
        <sz val="9"/>
        <rFont val="Geneva"/>
        <family val="0"/>
      </rPr>
      <t xml:space="preserve">1    </t>
    </r>
    <r>
      <rPr>
        <sz val="9"/>
        <rFont val="Geneva"/>
        <family val="0"/>
      </rPr>
      <t>(km)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</si>
</sst>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00"/>
    <numFmt numFmtId="167" formatCode="0.0_);\(0.0\)"/>
    <numFmt numFmtId="168" formatCode="dd\-mmm\-yy"/>
    <numFmt numFmtId="169" formatCode="0.0000000"/>
    <numFmt numFmtId="170" formatCode="0.000000"/>
    <numFmt numFmtId="171" formatCode="0.00000"/>
    <numFmt numFmtId="172" formatCode="0.0000"/>
    <numFmt numFmtId="173" formatCode="yyyy\-mm\-dd"/>
    <numFmt numFmtId="174" formatCode="0.000000000"/>
    <numFmt numFmtId="175" formatCode="0.00000000"/>
    <numFmt numFmtId="176" formatCode="0.0000000000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u val="single"/>
      <sz val="9"/>
      <name val="Geneva"/>
      <family val="0"/>
    </font>
    <font>
      <sz val="12"/>
      <name val="Geneva"/>
      <family val="0"/>
    </font>
    <font>
      <vertAlign val="superscript"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Verdan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sz val="1.25"/>
      <name val="Verdana"/>
      <family val="0"/>
    </font>
    <font>
      <sz val="1.75"/>
      <name val="Verdana"/>
      <family val="0"/>
    </font>
    <font>
      <sz val="1.5"/>
      <name val="Verdana"/>
      <family val="0"/>
    </font>
    <font>
      <b/>
      <sz val="1.75"/>
      <name val="Verdana"/>
      <family val="0"/>
    </font>
    <font>
      <b/>
      <sz val="1.25"/>
      <name val="Verdana"/>
      <family val="0"/>
    </font>
    <font>
      <sz val="1"/>
      <name val="Verdana"/>
      <family val="0"/>
    </font>
    <font>
      <sz val="12"/>
      <name val="Verdana"/>
      <family val="0"/>
    </font>
    <font>
      <sz val="12"/>
      <name val="Helv"/>
      <family val="0"/>
    </font>
    <font>
      <sz val="9"/>
      <name val="Helv"/>
      <family val="0"/>
    </font>
    <font>
      <b/>
      <sz val="9.75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Times"/>
      <family val="0"/>
    </font>
    <font>
      <u val="single"/>
      <sz val="10"/>
      <name val="Times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5" fontId="0" fillId="0" borderId="4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15" fontId="0" fillId="0" borderId="3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5" fontId="0" fillId="0" borderId="0" xfId="0" applyNumberForma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165" fontId="4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27">
      <alignment/>
      <protection/>
    </xf>
    <xf numFmtId="2" fontId="5" fillId="0" borderId="0" xfId="27" applyNumberFormat="1" applyFont="1" applyAlignment="1">
      <alignment horizontal="center" wrapText="1"/>
      <protection/>
    </xf>
    <xf numFmtId="173" fontId="0" fillId="0" borderId="0" xfId="27" applyNumberFormat="1" applyFont="1" applyAlignment="1">
      <alignment horizontal="center" wrapText="1"/>
      <protection/>
    </xf>
    <xf numFmtId="0" fontId="0" fillId="0" borderId="0" xfId="27" applyFont="1" applyAlignment="1">
      <alignment horizontal="center" vertical="center" wrapText="1"/>
      <protection/>
    </xf>
    <xf numFmtId="2" fontId="0" fillId="0" borderId="0" xfId="27" applyNumberFormat="1" applyFont="1" applyAlignment="1">
      <alignment horizontal="center" vertical="center" wrapText="1"/>
      <protection/>
    </xf>
    <xf numFmtId="165" fontId="0" fillId="0" borderId="0" xfId="27" applyNumberFormat="1" applyAlignment="1">
      <alignment horizontal="center"/>
      <protection/>
    </xf>
    <xf numFmtId="0" fontId="0" fillId="0" borderId="0" xfId="27" applyFont="1" applyAlignment="1">
      <alignment horizontal="center" wrapText="1"/>
      <protection/>
    </xf>
    <xf numFmtId="165" fontId="0" fillId="0" borderId="0" xfId="27" applyNumberFormat="1" applyFont="1" applyAlignment="1">
      <alignment horizontal="center"/>
      <protection/>
    </xf>
    <xf numFmtId="0" fontId="0" fillId="0" borderId="0" xfId="27" applyFont="1" applyBorder="1" applyAlignment="1">
      <alignment horizontal="center"/>
      <protection/>
    </xf>
    <xf numFmtId="165" fontId="0" fillId="0" borderId="0" xfId="27" applyNumberFormat="1" applyFont="1" applyBorder="1" applyAlignment="1">
      <alignment horizontal="center"/>
      <protection/>
    </xf>
    <xf numFmtId="0" fontId="0" fillId="0" borderId="0" xfId="27" applyAlignment="1">
      <alignment horizontal="center"/>
      <protection/>
    </xf>
    <xf numFmtId="166" fontId="0" fillId="0" borderId="0" xfId="27" applyNumberFormat="1" applyAlignment="1">
      <alignment horizontal="center"/>
      <protection/>
    </xf>
    <xf numFmtId="15" fontId="0" fillId="0" borderId="0" xfId="23" applyNumberFormat="1" applyFont="1" applyFill="1" applyAlignment="1">
      <alignment horizontal="center"/>
      <protection/>
    </xf>
    <xf numFmtId="166" fontId="0" fillId="0" borderId="0" xfId="27" applyNumberFormat="1" applyFont="1" applyAlignment="1">
      <alignment horizontal="center"/>
      <protection/>
    </xf>
    <xf numFmtId="15" fontId="0" fillId="0" borderId="0" xfId="24" applyNumberFormat="1" applyFont="1" applyAlignment="1">
      <alignment horizontal="center"/>
      <protection/>
    </xf>
    <xf numFmtId="15" fontId="0" fillId="0" borderId="0" xfId="25" applyNumberFormat="1" applyFont="1" applyFill="1" applyAlignment="1">
      <alignment horizontal="center"/>
      <protection/>
    </xf>
    <xf numFmtId="0" fontId="0" fillId="0" borderId="0" xfId="27" applyFont="1">
      <alignment/>
      <protection/>
    </xf>
    <xf numFmtId="0" fontId="0" fillId="0" borderId="0" xfId="0" applyFill="1" applyBorder="1" applyAlignment="1">
      <alignment/>
    </xf>
    <xf numFmtId="15" fontId="12" fillId="0" borderId="0" xfId="23" applyNumberFormat="1" applyFill="1" applyAlignment="1">
      <alignment horizontal="center"/>
      <protection/>
    </xf>
    <xf numFmtId="15" fontId="12" fillId="0" borderId="0" xfId="24" applyNumberFormat="1" applyFont="1" applyAlignment="1">
      <alignment horizontal="center"/>
      <protection/>
    </xf>
    <xf numFmtId="1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1" fontId="14" fillId="0" borderId="0" xfId="27" applyNumberFormat="1" applyFont="1" applyBorder="1" applyAlignment="1">
      <alignment horizontal="centerContinuous" vertical="center" wrapText="1"/>
      <protection/>
    </xf>
    <xf numFmtId="0" fontId="0" fillId="0" borderId="0" xfId="27" applyFont="1" applyBorder="1" applyAlignment="1">
      <alignment horizontal="center" wrapText="1"/>
      <protection/>
    </xf>
    <xf numFmtId="165" fontId="1" fillId="0" borderId="0" xfId="27" applyNumberFormat="1" applyFont="1" applyBorder="1" applyAlignment="1">
      <alignment horizontal="centerContinuous" vertical="center" wrapText="1"/>
      <protection/>
    </xf>
    <xf numFmtId="15" fontId="0" fillId="0" borderId="0" xfId="25" applyNumberFormat="1" applyFont="1" applyAlignment="1">
      <alignment horizontal="center"/>
      <protection/>
    </xf>
    <xf numFmtId="166" fontId="5" fillId="0" borderId="0" xfId="0" applyNumberFormat="1" applyFont="1" applyAlignment="1">
      <alignment horizontal="center" wrapText="1"/>
    </xf>
    <xf numFmtId="15" fontId="5" fillId="0" borderId="0" xfId="0" applyNumberFormat="1" applyFont="1" applyAlignment="1">
      <alignment horizontal="center" wrapText="1"/>
    </xf>
    <xf numFmtId="15" fontId="0" fillId="0" borderId="0" xfId="23" applyNumberFormat="1" applyFont="1" applyAlignment="1">
      <alignment horizontal="center"/>
      <protection/>
    </xf>
    <xf numFmtId="0" fontId="0" fillId="0" borderId="0" xfId="0" applyBorder="1" applyAlignment="1">
      <alignment horizontal="left" vertical="top" wrapText="1"/>
    </xf>
    <xf numFmtId="15" fontId="0" fillId="0" borderId="0" xfId="24" applyNumberFormat="1" applyFont="1" applyBorder="1" applyAlignment="1">
      <alignment horizontal="center"/>
      <protection/>
    </xf>
    <xf numFmtId="15" fontId="0" fillId="0" borderId="0" xfId="25" applyNumberFormat="1" applyFont="1" applyFill="1" applyBorder="1" applyAlignment="1">
      <alignment horizontal="center"/>
      <protection/>
    </xf>
    <xf numFmtId="172" fontId="0" fillId="0" borderId="0" xfId="0" applyNumberFormat="1" applyFill="1" applyBorder="1" applyAlignment="1">
      <alignment/>
    </xf>
    <xf numFmtId="173" fontId="0" fillId="0" borderId="0" xfId="27" applyNumberFormat="1" applyFont="1" applyBorder="1" applyAlignment="1">
      <alignment horizontal="centerContinuous" wrapText="1"/>
      <protection/>
    </xf>
    <xf numFmtId="165" fontId="0" fillId="0" borderId="0" xfId="27" applyNumberFormat="1" applyFont="1" applyFill="1" applyBorder="1" applyAlignment="1">
      <alignment horizontal="center"/>
      <protection/>
    </xf>
    <xf numFmtId="165" fontId="0" fillId="0" borderId="0" xfId="25" applyNumberFormat="1" applyFont="1" applyFill="1" applyBorder="1" applyAlignment="1">
      <alignment horizontal="center"/>
      <protection/>
    </xf>
    <xf numFmtId="0" fontId="0" fillId="0" borderId="0" xfId="27" applyBorder="1">
      <alignment/>
      <protection/>
    </xf>
    <xf numFmtId="166" fontId="0" fillId="0" borderId="0" xfId="27" applyNumberFormat="1" applyFont="1" applyBorder="1" applyAlignment="1">
      <alignment horizontal="right"/>
      <protection/>
    </xf>
    <xf numFmtId="168" fontId="0" fillId="0" borderId="0" xfId="27" applyNumberFormat="1" applyFont="1" applyAlignment="1">
      <alignment horizontal="center"/>
      <protection/>
    </xf>
    <xf numFmtId="168" fontId="0" fillId="0" borderId="0" xfId="23" applyNumberFormat="1" applyFont="1" applyFill="1" applyAlignment="1">
      <alignment horizontal="center"/>
      <protection/>
    </xf>
    <xf numFmtId="168" fontId="0" fillId="0" borderId="0" xfId="24" applyNumberFormat="1" applyFont="1" applyAlignment="1">
      <alignment horizontal="center"/>
      <protection/>
    </xf>
    <xf numFmtId="168" fontId="0" fillId="0" borderId="0" xfId="25" applyNumberFormat="1" applyFont="1" applyFill="1" applyAlignment="1">
      <alignment horizontal="center"/>
      <protection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13" fillId="0" borderId="0" xfId="0" applyNumberFormat="1" applyFont="1" applyAlignment="1">
      <alignment horizontal="left" vertical="top"/>
    </xf>
    <xf numFmtId="165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73" fontId="13" fillId="0" borderId="0" xfId="27" applyNumberFormat="1" applyFont="1" applyBorder="1" applyAlignment="1">
      <alignment horizontal="left" vertical="center"/>
      <protection/>
    </xf>
    <xf numFmtId="0" fontId="13" fillId="0" borderId="0" xfId="27" applyFont="1">
      <alignment/>
      <protection/>
    </xf>
    <xf numFmtId="165" fontId="12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left"/>
    </xf>
    <xf numFmtId="166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5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15" fontId="0" fillId="0" borderId="0" xfId="24" applyNumberFormat="1" applyFont="1" applyAlignment="1">
      <alignment horizontal="center" vertical="top"/>
      <protection/>
    </xf>
    <xf numFmtId="15" fontId="23" fillId="0" borderId="0" xfId="23" applyNumberFormat="1" applyFont="1" applyAlignment="1">
      <alignment horizontal="center"/>
      <protection/>
    </xf>
    <xf numFmtId="0" fontId="22" fillId="0" borderId="0" xfId="23" applyFont="1" applyAlignment="1">
      <alignment horizontal="center"/>
      <protection/>
    </xf>
    <xf numFmtId="165" fontId="0" fillId="0" borderId="0" xfId="23" applyNumberFormat="1" applyFont="1" applyAlignment="1">
      <alignment horizontal="center"/>
      <protection/>
    </xf>
    <xf numFmtId="2" fontId="0" fillId="0" borderId="10" xfId="0" applyNumberFormat="1" applyBorder="1" applyAlignment="1">
      <alignment horizontal="center"/>
    </xf>
    <xf numFmtId="15" fontId="23" fillId="0" borderId="8" xfId="23" applyNumberFormat="1" applyFont="1" applyBorder="1" applyAlignment="1">
      <alignment horizontal="center"/>
      <protection/>
    </xf>
    <xf numFmtId="15" fontId="0" fillId="0" borderId="2" xfId="25" applyNumberFormat="1" applyFont="1" applyFill="1" applyBorder="1" applyAlignment="1">
      <alignment horizontal="center"/>
      <protection/>
    </xf>
    <xf numFmtId="15" fontId="0" fillId="0" borderId="11" xfId="0" applyNumberForma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5" fontId="0" fillId="0" borderId="11" xfId="25" applyNumberFormat="1" applyFont="1" applyFill="1" applyBorder="1" applyAlignment="1">
      <alignment horizontal="center"/>
      <protection/>
    </xf>
    <xf numFmtId="168" fontId="0" fillId="0" borderId="11" xfId="27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6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5" fontId="0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168" fontId="0" fillId="0" borderId="14" xfId="25" applyNumberFormat="1" applyFont="1" applyFill="1" applyBorder="1" applyAlignment="1">
      <alignment horizontal="center"/>
      <protection/>
    </xf>
    <xf numFmtId="172" fontId="0" fillId="0" borderId="8" xfId="0" applyNumberForma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5" fontId="0" fillId="0" borderId="14" xfId="25" applyNumberFormat="1" applyFont="1" applyFill="1" applyBorder="1" applyAlignment="1">
      <alignment horizontal="center"/>
      <protection/>
    </xf>
    <xf numFmtId="15" fontId="0" fillId="0" borderId="2" xfId="23" applyNumberFormat="1" applyFont="1" applyFill="1" applyBorder="1" applyAlignment="1">
      <alignment horizontal="center"/>
      <protection/>
    </xf>
    <xf numFmtId="15" fontId="0" fillId="0" borderId="0" xfId="23" applyNumberFormat="1" applyFont="1" applyFill="1" applyBorder="1" applyAlignment="1">
      <alignment horizontal="center"/>
      <protection/>
    </xf>
    <xf numFmtId="15" fontId="0" fillId="0" borderId="17" xfId="25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65" fontId="0" fillId="0" borderId="15" xfId="0" applyNumberFormat="1" applyBorder="1" applyAlignment="1">
      <alignment horizontal="center"/>
    </xf>
    <xf numFmtId="165" fontId="13" fillId="0" borderId="0" xfId="0" applyNumberFormat="1" applyFont="1" applyAlignment="1">
      <alignment horizontal="left"/>
    </xf>
    <xf numFmtId="165" fontId="0" fillId="0" borderId="15" xfId="0" applyNumberFormat="1" applyBorder="1" applyAlignment="1">
      <alignment horizontal="center" wrapText="1"/>
    </xf>
    <xf numFmtId="165" fontId="1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/>
    </xf>
    <xf numFmtId="165" fontId="27" fillId="0" borderId="1" xfId="30" applyNumberFormat="1" applyFont="1" applyBorder="1" applyAlignment="1">
      <alignment horizontal="center"/>
      <protection/>
    </xf>
    <xf numFmtId="0" fontId="11" fillId="0" borderId="0" xfId="30" applyFont="1" applyAlignment="1">
      <alignment horizontal="center"/>
      <protection/>
    </xf>
    <xf numFmtId="0" fontId="27" fillId="0" borderId="21" xfId="29" applyFont="1" applyFill="1" applyBorder="1" applyAlignment="1">
      <alignment horizontal="center" wrapText="1"/>
      <protection/>
    </xf>
    <xf numFmtId="171" fontId="27" fillId="0" borderId="21" xfId="30" applyNumberFormat="1" applyFont="1" applyFill="1" applyBorder="1" applyAlignment="1">
      <alignment horizontal="center" wrapText="1"/>
      <protection/>
    </xf>
    <xf numFmtId="171" fontId="27" fillId="0" borderId="1" xfId="30" applyNumberFormat="1" applyFont="1" applyFill="1" applyBorder="1" applyAlignment="1">
      <alignment horizontal="center" wrapText="1"/>
      <protection/>
    </xf>
    <xf numFmtId="1" fontId="27" fillId="0" borderId="21" xfId="30" applyNumberFormat="1" applyFont="1" applyFill="1" applyBorder="1" applyAlignment="1">
      <alignment horizontal="center" wrapText="1"/>
      <protection/>
    </xf>
    <xf numFmtId="165" fontId="27" fillId="0" borderId="1" xfId="30" applyNumberFormat="1" applyFont="1" applyFill="1" applyBorder="1" applyAlignment="1">
      <alignment horizontal="center" wrapText="1"/>
      <protection/>
    </xf>
    <xf numFmtId="0" fontId="27" fillId="0" borderId="21" xfId="30" applyFont="1" applyBorder="1" applyAlignment="1">
      <alignment horizontal="center"/>
      <protection/>
    </xf>
    <xf numFmtId="2" fontId="27" fillId="0" borderId="0" xfId="30" applyNumberFormat="1" applyFont="1" applyBorder="1" applyAlignment="1">
      <alignment horizontal="center"/>
      <protection/>
    </xf>
    <xf numFmtId="0" fontId="27" fillId="0" borderId="0" xfId="30" applyFont="1" applyBorder="1" applyAlignment="1">
      <alignment horizontal="center"/>
      <protection/>
    </xf>
    <xf numFmtId="171" fontId="27" fillId="0" borderId="0" xfId="30" applyNumberFormat="1" applyFont="1" applyBorder="1" applyAlignment="1">
      <alignment horizontal="center"/>
      <protection/>
    </xf>
    <xf numFmtId="171" fontId="27" fillId="0" borderId="0" xfId="30" applyNumberFormat="1" applyFont="1" applyAlignment="1">
      <alignment horizontal="center"/>
      <protection/>
    </xf>
    <xf numFmtId="1" fontId="27" fillId="0" borderId="0" xfId="30" applyNumberFormat="1" applyFont="1" applyBorder="1" applyAlignment="1">
      <alignment horizontal="center"/>
      <protection/>
    </xf>
    <xf numFmtId="165" fontId="27" fillId="0" borderId="0" xfId="30" applyNumberFormat="1" applyFont="1" applyAlignment="1">
      <alignment horizontal="center"/>
      <protection/>
    </xf>
    <xf numFmtId="2" fontId="27" fillId="0" borderId="0" xfId="30" applyNumberFormat="1" applyFont="1" applyAlignment="1">
      <alignment horizontal="center"/>
      <protection/>
    </xf>
    <xf numFmtId="0" fontId="27" fillId="0" borderId="0" xfId="30" applyFont="1" applyAlignment="1">
      <alignment horizontal="center"/>
      <protection/>
    </xf>
    <xf numFmtId="0" fontId="28" fillId="0" borderId="0" xfId="30" applyFont="1" applyBorder="1" applyAlignment="1">
      <alignment horizontal="center"/>
      <protection/>
    </xf>
    <xf numFmtId="1" fontId="27" fillId="0" borderId="0" xfId="30" applyNumberFormat="1" applyFont="1" applyAlignment="1">
      <alignment horizontal="center"/>
      <protection/>
    </xf>
    <xf numFmtId="0" fontId="27" fillId="0" borderId="0" xfId="30" applyFont="1" applyAlignment="1">
      <alignment horizontal="left"/>
      <protection/>
    </xf>
    <xf numFmtId="1" fontId="11" fillId="0" borderId="0" xfId="30" applyNumberFormat="1" applyFont="1" applyAlignment="1">
      <alignment horizontal="center"/>
      <protection/>
    </xf>
    <xf numFmtId="165" fontId="11" fillId="0" borderId="0" xfId="30" applyNumberFormat="1" applyFont="1" applyAlignment="1">
      <alignment horizontal="center"/>
      <protection/>
    </xf>
    <xf numFmtId="1" fontId="27" fillId="0" borderId="0" xfId="30" applyNumberFormat="1" applyFont="1" applyFill="1" applyAlignment="1">
      <alignment horizontal="lef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Tables1&amp;2.xls" xfId="20"/>
    <cellStyle name="Hyperlink" xfId="21"/>
    <cellStyle name="Hyperlink_Tables1&amp;2.xls" xfId="22"/>
    <cellStyle name="Normal__HF_blitz_to_2002.xls" xfId="23"/>
    <cellStyle name="Normal_2003HF_blitz_resultsJL1029.xls" xfId="24"/>
    <cellStyle name="Normal_2004HF_blitz_resultsCopy.xls" xfId="25"/>
    <cellStyle name="Normal_Dwight2006.xls" xfId="26"/>
    <cellStyle name="Normal_HF_creep_rev2001&amp;Dwight.xls" xfId="27"/>
    <cellStyle name="Normal_STADIUM93.spr" xfId="28"/>
    <cellStyle name="Normal_Table1.xls" xfId="29"/>
    <cellStyle name="Normal_Tables1&amp;2.xl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'08.37 Olive'!$C$5:$C$19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'08.37 Olive'!$A$5:$A$19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'08.37 Olive'!$C$5:$C$19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'08.37 Olive'!#REF!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778253"/>
        <c:axId val="5242230"/>
      </c:scatterChart>
      <c:valAx>
        <c:axId val="5277825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5242230"/>
        <c:crosses val="autoZero"/>
        <c:crossBetween val="midCat"/>
        <c:dispUnits/>
      </c:valAx>
      <c:valAx>
        <c:axId val="5242230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52778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'25.98 Lincoln'!$D$5:$D$20</c:f>
              <c:numCache>
                <c:ptCount val="16"/>
                <c:pt idx="0">
                  <c:v>1970.29</c:v>
                </c:pt>
                <c:pt idx="1">
                  <c:v>1988.358</c:v>
                </c:pt>
                <c:pt idx="2">
                  <c:v>1992.62</c:v>
                </c:pt>
                <c:pt idx="3">
                  <c:v>1994.584</c:v>
                </c:pt>
                <c:pt idx="4">
                  <c:v>1995.641</c:v>
                </c:pt>
                <c:pt idx="5">
                  <c:v>1996.637</c:v>
                </c:pt>
                <c:pt idx="6">
                  <c:v>1997.63</c:v>
                </c:pt>
                <c:pt idx="7">
                  <c:v>1998.685</c:v>
                </c:pt>
                <c:pt idx="8">
                  <c:v>1999.696</c:v>
                </c:pt>
                <c:pt idx="9">
                  <c:v>2000.866</c:v>
                </c:pt>
                <c:pt idx="10">
                  <c:v>2001.805</c:v>
                </c:pt>
                <c:pt idx="11">
                  <c:v>2002.848</c:v>
                </c:pt>
                <c:pt idx="12">
                  <c:v>2003.812</c:v>
                </c:pt>
                <c:pt idx="13">
                  <c:v>2004.792</c:v>
                </c:pt>
                <c:pt idx="14">
                  <c:v>2005.7749999999999</c:v>
                </c:pt>
                <c:pt idx="15">
                  <c:v>2006.8229999999999</c:v>
                </c:pt>
              </c:numCache>
            </c:numRef>
          </c:xVal>
          <c:yVal>
            <c:numRef>
              <c:f>'25.98 Lincoln'!$A$5:$A$20</c:f>
              <c:numCache>
                <c:ptCount val="16"/>
                <c:pt idx="0">
                  <c:v>0</c:v>
                </c:pt>
                <c:pt idx="1">
                  <c:v>72</c:v>
                </c:pt>
                <c:pt idx="2">
                  <c:v>82.9</c:v>
                </c:pt>
                <c:pt idx="3">
                  <c:v>90.7</c:v>
                </c:pt>
                <c:pt idx="4">
                  <c:v>93.6</c:v>
                </c:pt>
                <c:pt idx="5">
                  <c:v>98.5</c:v>
                </c:pt>
                <c:pt idx="6">
                  <c:v>101.2</c:v>
                </c:pt>
                <c:pt idx="7">
                  <c:v>103.5</c:v>
                </c:pt>
                <c:pt idx="8">
                  <c:v>107.1</c:v>
                </c:pt>
                <c:pt idx="9">
                  <c:v>110.5</c:v>
                </c:pt>
                <c:pt idx="10">
                  <c:v>112.1</c:v>
                </c:pt>
                <c:pt idx="11">
                  <c:v>115.19999999999999</c:v>
                </c:pt>
                <c:pt idx="12">
                  <c:v>118.29999999999998</c:v>
                </c:pt>
                <c:pt idx="13">
                  <c:v>119.79999999999998</c:v>
                </c:pt>
                <c:pt idx="14">
                  <c:v>123.59999999999998</c:v>
                </c:pt>
                <c:pt idx="15">
                  <c:v>126.99999999999999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'25.98 Lincoln'!$D$5:$D$20</c:f>
              <c:numCache>
                <c:ptCount val="16"/>
                <c:pt idx="0">
                  <c:v>1970.29</c:v>
                </c:pt>
                <c:pt idx="1">
                  <c:v>1988.358</c:v>
                </c:pt>
                <c:pt idx="2">
                  <c:v>1992.62</c:v>
                </c:pt>
                <c:pt idx="3">
                  <c:v>1994.584</c:v>
                </c:pt>
                <c:pt idx="4">
                  <c:v>1995.641</c:v>
                </c:pt>
                <c:pt idx="5">
                  <c:v>1996.637</c:v>
                </c:pt>
                <c:pt idx="6">
                  <c:v>1997.63</c:v>
                </c:pt>
                <c:pt idx="7">
                  <c:v>1998.685</c:v>
                </c:pt>
                <c:pt idx="8">
                  <c:v>1999.696</c:v>
                </c:pt>
                <c:pt idx="9">
                  <c:v>2000.866</c:v>
                </c:pt>
                <c:pt idx="10">
                  <c:v>2001.805</c:v>
                </c:pt>
                <c:pt idx="11">
                  <c:v>2002.848</c:v>
                </c:pt>
                <c:pt idx="12">
                  <c:v>2003.812</c:v>
                </c:pt>
                <c:pt idx="13">
                  <c:v>2004.792</c:v>
                </c:pt>
                <c:pt idx="14">
                  <c:v>2005.7749999999999</c:v>
                </c:pt>
                <c:pt idx="15">
                  <c:v>2006.8229999999999</c:v>
                </c:pt>
              </c:numCache>
            </c:numRef>
          </c:xVal>
          <c:yVal>
            <c:numRef>
              <c:f>'25.98 Lincoln'!#REF!</c:f>
              <c:numCache>
                <c:ptCount val="16"/>
                <c:pt idx="0">
                  <c:v>5.628940422323165</c:v>
                </c:pt>
                <c:pt idx="1">
                  <c:v>67.17537519909067</c:v>
                </c:pt>
                <c:pt idx="2">
                  <c:v>81.69335754459541</c:v>
                </c:pt>
                <c:pt idx="3">
                  <c:v>88.38348361840447</c:v>
                </c:pt>
                <c:pt idx="4">
                  <c:v>91.98402499315786</c:v>
                </c:pt>
                <c:pt idx="5">
                  <c:v>95.37677731979348</c:v>
                </c:pt>
                <c:pt idx="6">
                  <c:v>98.75931051291614</c:v>
                </c:pt>
                <c:pt idx="7">
                  <c:v>102.35303913199296</c:v>
                </c:pt>
                <c:pt idx="8">
                  <c:v>105.79688712619873</c:v>
                </c:pt>
                <c:pt idx="9">
                  <c:v>109.78234919664496</c:v>
                </c:pt>
                <c:pt idx="10">
                  <c:v>112.98093798651598</c:v>
                </c:pt>
                <c:pt idx="11">
                  <c:v>116.53379007153713</c:v>
                </c:pt>
                <c:pt idx="12">
                  <c:v>119.81753830735737</c:v>
                </c:pt>
                <c:pt idx="13">
                  <c:v>123.1557885885857</c:v>
                </c:pt>
                <c:pt idx="14">
                  <c:v>126.50425800332773</c:v>
                </c:pt>
                <c:pt idx="15">
                  <c:v>130.0741419775392</c:v>
                </c:pt>
              </c:numCache>
            </c:numRef>
          </c:yVal>
          <c:smooth val="0"/>
        </c:ser>
        <c:axId val="34715255"/>
        <c:axId val="44001840"/>
      </c:scatterChart>
      <c:valAx>
        <c:axId val="3471525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44001840"/>
        <c:crosses val="autoZero"/>
        <c:crossBetween val="midCat"/>
        <c:dispUnits/>
      </c:valAx>
      <c:valAx>
        <c:axId val="4400184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4715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'27.81 39th'!$D$5:$D$21</c:f>
              <c:numCache>
                <c:ptCount val="17"/>
                <c:pt idx="0">
                  <c:v>1974.274</c:v>
                </c:pt>
                <c:pt idx="1">
                  <c:v>1988.358</c:v>
                </c:pt>
                <c:pt idx="2">
                  <c:v>1992.617</c:v>
                </c:pt>
                <c:pt idx="3">
                  <c:v>1993.975</c:v>
                </c:pt>
                <c:pt idx="4">
                  <c:v>1994.584</c:v>
                </c:pt>
                <c:pt idx="5">
                  <c:v>1995.636</c:v>
                </c:pt>
                <c:pt idx="6">
                  <c:v>1996.631</c:v>
                </c:pt>
                <c:pt idx="7">
                  <c:v>1997.627</c:v>
                </c:pt>
                <c:pt idx="8">
                  <c:v>1998.663</c:v>
                </c:pt>
                <c:pt idx="9">
                  <c:v>1999.66</c:v>
                </c:pt>
                <c:pt idx="10">
                  <c:v>2000.863</c:v>
                </c:pt>
                <c:pt idx="11">
                  <c:v>2001.818</c:v>
                </c:pt>
                <c:pt idx="12">
                  <c:v>2002.834</c:v>
                </c:pt>
                <c:pt idx="13">
                  <c:v>2003.795</c:v>
                </c:pt>
                <c:pt idx="14">
                  <c:v>2004.792</c:v>
                </c:pt>
                <c:pt idx="15">
                  <c:v>2005.769</c:v>
                </c:pt>
                <c:pt idx="16">
                  <c:v>2006.807</c:v>
                </c:pt>
              </c:numCache>
            </c:numRef>
          </c:xVal>
          <c:yVal>
            <c:numRef>
              <c:f>'27.81 39th'!$A$5:$A$21</c:f>
              <c:numCache>
                <c:ptCount val="17"/>
                <c:pt idx="0">
                  <c:v>0</c:v>
                </c:pt>
                <c:pt idx="1">
                  <c:v>52</c:v>
                </c:pt>
                <c:pt idx="2">
                  <c:v>58.6</c:v>
                </c:pt>
                <c:pt idx="3">
                  <c:v>75.2</c:v>
                </c:pt>
                <c:pt idx="4">
                  <c:v>68.1</c:v>
                </c:pt>
                <c:pt idx="5">
                  <c:v>78</c:v>
                </c:pt>
                <c:pt idx="6">
                  <c:v>80</c:v>
                </c:pt>
                <c:pt idx="7">
                  <c:v>84.6</c:v>
                </c:pt>
                <c:pt idx="8">
                  <c:v>89.9</c:v>
                </c:pt>
                <c:pt idx="9">
                  <c:v>93.4</c:v>
                </c:pt>
                <c:pt idx="10">
                  <c:v>98.4</c:v>
                </c:pt>
                <c:pt idx="11">
                  <c:v>102</c:v>
                </c:pt>
                <c:pt idx="12">
                  <c:v>105.1</c:v>
                </c:pt>
                <c:pt idx="13">
                  <c:v>108.5</c:v>
                </c:pt>
                <c:pt idx="14">
                  <c:v>114</c:v>
                </c:pt>
                <c:pt idx="15">
                  <c:v>118.4</c:v>
                </c:pt>
                <c:pt idx="16">
                  <c:v>126.30000000000001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'27.81 39th'!$D$5:$D$21</c:f>
              <c:numCache>
                <c:ptCount val="17"/>
                <c:pt idx="0">
                  <c:v>1974.274</c:v>
                </c:pt>
                <c:pt idx="1">
                  <c:v>1988.358</c:v>
                </c:pt>
                <c:pt idx="2">
                  <c:v>1992.617</c:v>
                </c:pt>
                <c:pt idx="3">
                  <c:v>1993.975</c:v>
                </c:pt>
                <c:pt idx="4">
                  <c:v>1994.584</c:v>
                </c:pt>
                <c:pt idx="5">
                  <c:v>1995.636</c:v>
                </c:pt>
                <c:pt idx="6">
                  <c:v>1996.631</c:v>
                </c:pt>
                <c:pt idx="7">
                  <c:v>1997.627</c:v>
                </c:pt>
                <c:pt idx="8">
                  <c:v>1998.663</c:v>
                </c:pt>
                <c:pt idx="9">
                  <c:v>1999.66</c:v>
                </c:pt>
                <c:pt idx="10">
                  <c:v>2000.863</c:v>
                </c:pt>
                <c:pt idx="11">
                  <c:v>2001.818</c:v>
                </c:pt>
                <c:pt idx="12">
                  <c:v>2002.834</c:v>
                </c:pt>
                <c:pt idx="13">
                  <c:v>2003.795</c:v>
                </c:pt>
                <c:pt idx="14">
                  <c:v>2004.792</c:v>
                </c:pt>
                <c:pt idx="15">
                  <c:v>2005.769</c:v>
                </c:pt>
                <c:pt idx="16">
                  <c:v>2006.807</c:v>
                </c:pt>
              </c:numCache>
            </c:numRef>
          </c:xVal>
          <c:yVal>
            <c:numRef>
              <c:f>'27.81 39th'!#REF!</c:f>
              <c:numCache>
                <c:ptCount val="17"/>
                <c:pt idx="0">
                  <c:v>-3.9164211583986024</c:v>
                </c:pt>
                <c:pt idx="1">
                  <c:v>50.104487791627065</c:v>
                </c:pt>
                <c:pt idx="2">
                  <c:v>66.44040452111862</c:v>
                </c:pt>
                <c:pt idx="3">
                  <c:v>71.64918003618052</c:v>
                </c:pt>
                <c:pt idx="4">
                  <c:v>73.98507421046152</c:v>
                </c:pt>
                <c:pt idx="5">
                  <c:v>78.02014920445625</c:v>
                </c:pt>
                <c:pt idx="6">
                  <c:v>81.83659370923343</c:v>
                </c:pt>
                <c:pt idx="7">
                  <c:v>85.6568738366275</c:v>
                </c:pt>
                <c:pt idx="8">
                  <c:v>89.63057886873695</c:v>
                </c:pt>
                <c:pt idx="9">
                  <c:v>93.45469461874967</c:v>
                </c:pt>
                <c:pt idx="10">
                  <c:v>98.06894862804243</c:v>
                </c:pt>
                <c:pt idx="11">
                  <c:v>101.73196822810424</c:v>
                </c:pt>
                <c:pt idx="12">
                  <c:v>105.62896080785643</c:v>
                </c:pt>
                <c:pt idx="13">
                  <c:v>109.31499414362575</c:v>
                </c:pt>
                <c:pt idx="14">
                  <c:v>113.1391098936376</c:v>
                </c:pt>
                <c:pt idx="15">
                  <c:v>116.88651319129308</c:v>
                </c:pt>
                <c:pt idx="16">
                  <c:v>120.86788946863807</c:v>
                </c:pt>
              </c:numCache>
            </c:numRef>
          </c:yVal>
          <c:smooth val="0"/>
        </c:ser>
        <c:axId val="60472241"/>
        <c:axId val="7379258"/>
      </c:scatterChart>
      <c:valAx>
        <c:axId val="6047224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7379258"/>
        <c:crosses val="autoZero"/>
        <c:crossBetween val="midCat"/>
        <c:dispUnits/>
      </c:valAx>
      <c:valAx>
        <c:axId val="737925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0472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'30.68 73rd'!$D$5:$D$18</c:f>
              <c:numCache>
                <c:ptCount val="14"/>
                <c:pt idx="0">
                  <c:v>1993.389</c:v>
                </c:pt>
                <c:pt idx="1">
                  <c:v>1994.584</c:v>
                </c:pt>
                <c:pt idx="2">
                  <c:v>1995.636</c:v>
                </c:pt>
                <c:pt idx="3">
                  <c:v>1996.631</c:v>
                </c:pt>
                <c:pt idx="4">
                  <c:v>1997.627</c:v>
                </c:pt>
                <c:pt idx="5">
                  <c:v>1998.699</c:v>
                </c:pt>
                <c:pt idx="6">
                  <c:v>1999.66</c:v>
                </c:pt>
                <c:pt idx="7">
                  <c:v>2000.825</c:v>
                </c:pt>
                <c:pt idx="8">
                  <c:v>2001.802</c:v>
                </c:pt>
                <c:pt idx="9">
                  <c:v>2002.837</c:v>
                </c:pt>
                <c:pt idx="10">
                  <c:v>2003.809</c:v>
                </c:pt>
                <c:pt idx="11">
                  <c:v>2004.792</c:v>
                </c:pt>
                <c:pt idx="12">
                  <c:v>2005.769</c:v>
                </c:pt>
                <c:pt idx="13">
                  <c:v>2006.8229999999999</c:v>
                </c:pt>
              </c:numCache>
            </c:numRef>
          </c:xVal>
          <c:yVal>
            <c:numRef>
              <c:f>'30.68 73rd'!$A$5:$A$18</c:f>
              <c:numCache>
                <c:ptCount val="14"/>
                <c:pt idx="0">
                  <c:v>0</c:v>
                </c:pt>
                <c:pt idx="1">
                  <c:v>4.1</c:v>
                </c:pt>
                <c:pt idx="2">
                  <c:v>5.5</c:v>
                </c:pt>
                <c:pt idx="3">
                  <c:v>7.6</c:v>
                </c:pt>
                <c:pt idx="4">
                  <c:v>11.8</c:v>
                </c:pt>
                <c:pt idx="5">
                  <c:v>12.2</c:v>
                </c:pt>
                <c:pt idx="6">
                  <c:v>17.5</c:v>
                </c:pt>
                <c:pt idx="7">
                  <c:v>21.3</c:v>
                </c:pt>
                <c:pt idx="8">
                  <c:v>23.2</c:v>
                </c:pt>
                <c:pt idx="9">
                  <c:v>26.2</c:v>
                </c:pt>
                <c:pt idx="10">
                  <c:v>31</c:v>
                </c:pt>
                <c:pt idx="11">
                  <c:v>34.4</c:v>
                </c:pt>
                <c:pt idx="12">
                  <c:v>36</c:v>
                </c:pt>
                <c:pt idx="13">
                  <c:v>39.1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'30.68 73rd'!$D$5:$D$18</c:f>
              <c:numCache>
                <c:ptCount val="14"/>
                <c:pt idx="0">
                  <c:v>1993.389</c:v>
                </c:pt>
                <c:pt idx="1">
                  <c:v>1994.584</c:v>
                </c:pt>
                <c:pt idx="2">
                  <c:v>1995.636</c:v>
                </c:pt>
                <c:pt idx="3">
                  <c:v>1996.631</c:v>
                </c:pt>
                <c:pt idx="4">
                  <c:v>1997.627</c:v>
                </c:pt>
                <c:pt idx="5">
                  <c:v>1998.699</c:v>
                </c:pt>
                <c:pt idx="6">
                  <c:v>1999.66</c:v>
                </c:pt>
                <c:pt idx="7">
                  <c:v>2000.825</c:v>
                </c:pt>
                <c:pt idx="8">
                  <c:v>2001.802</c:v>
                </c:pt>
                <c:pt idx="9">
                  <c:v>2002.837</c:v>
                </c:pt>
                <c:pt idx="10">
                  <c:v>2003.809</c:v>
                </c:pt>
                <c:pt idx="11">
                  <c:v>2004.792</c:v>
                </c:pt>
                <c:pt idx="12">
                  <c:v>2005.769</c:v>
                </c:pt>
                <c:pt idx="13">
                  <c:v>2006.8229999999999</c:v>
                </c:pt>
              </c:numCache>
            </c:numRef>
          </c:xVal>
          <c:yVal>
            <c:numRef>
              <c:f>'30.68 73rd'!#REF!</c:f>
              <c:numCache>
                <c:ptCount val="14"/>
                <c:pt idx="0">
                  <c:v>-1.0354885417876731</c:v>
                </c:pt>
                <c:pt idx="1">
                  <c:v>2.5255435873041403</c:v>
                </c:pt>
                <c:pt idx="2">
                  <c:v>5.660443838185935</c:v>
                </c:pt>
                <c:pt idx="3">
                  <c:v>8.625487326425509</c:v>
                </c:pt>
                <c:pt idx="4">
                  <c:v>11.593510757868595</c:v>
                </c:pt>
                <c:pt idx="5">
                  <c:v>14.788009872836222</c:v>
                </c:pt>
                <c:pt idx="6">
                  <c:v>17.651735292130624</c:v>
                </c:pt>
                <c:pt idx="7">
                  <c:v>21.123369125094026</c:v>
                </c:pt>
                <c:pt idx="8">
                  <c:v>24.034773635656144</c:v>
                </c:pt>
                <c:pt idx="9">
                  <c:v>27.11901485206603</c:v>
                </c:pt>
                <c:pt idx="10">
                  <c:v>30.0155196466072</c:v>
                </c:pt>
                <c:pt idx="11">
                  <c:v>32.94480381639514</c:v>
                </c:pt>
                <c:pt idx="12">
                  <c:v>35.85620832695793</c:v>
                </c:pt>
                <c:pt idx="13">
                  <c:v>38.99706846424811</c:v>
                </c:pt>
              </c:numCache>
            </c:numRef>
          </c:yVal>
          <c:smooth val="0"/>
        </c:ser>
        <c:axId val="66413323"/>
        <c:axId val="60848996"/>
      </c:scatterChart>
      <c:valAx>
        <c:axId val="66413323"/>
        <c:scaling>
          <c:orientation val="minMax"/>
          <c:max val="2007"/>
          <c:min val="1993"/>
        </c:scaling>
        <c:axPos val="b"/>
        <c:delete val="0"/>
        <c:numFmt formatCode="0" sourceLinked="0"/>
        <c:majorTickMark val="in"/>
        <c:minorTickMark val="none"/>
        <c:tickLblPos val="nextTo"/>
        <c:crossAx val="60848996"/>
        <c:crosses val="autoZero"/>
        <c:crossBetween val="midCat"/>
        <c:dispUnits/>
      </c:valAx>
      <c:valAx>
        <c:axId val="6084899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6413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'36.55 Chabot Park'!$D$5:$D$18</c:f>
              <c:numCache>
                <c:ptCount val="14"/>
                <c:pt idx="0">
                  <c:v>1993.389</c:v>
                </c:pt>
                <c:pt idx="1">
                  <c:v>1994.586</c:v>
                </c:pt>
                <c:pt idx="2">
                  <c:v>1995.644</c:v>
                </c:pt>
                <c:pt idx="3">
                  <c:v>1996.634</c:v>
                </c:pt>
                <c:pt idx="4">
                  <c:v>1997.633</c:v>
                </c:pt>
                <c:pt idx="5">
                  <c:v>1998.679</c:v>
                </c:pt>
                <c:pt idx="6">
                  <c:v>1999.679</c:v>
                </c:pt>
                <c:pt idx="7">
                  <c:v>2000.825</c:v>
                </c:pt>
                <c:pt idx="8">
                  <c:v>2001.802</c:v>
                </c:pt>
                <c:pt idx="9">
                  <c:v>2002.834</c:v>
                </c:pt>
                <c:pt idx="10">
                  <c:v>2003.812</c:v>
                </c:pt>
                <c:pt idx="11">
                  <c:v>2004.792</c:v>
                </c:pt>
                <c:pt idx="12">
                  <c:v>2005.7749999999999</c:v>
                </c:pt>
                <c:pt idx="13">
                  <c:v>2006.8229999999999</c:v>
                </c:pt>
              </c:numCache>
            </c:numRef>
          </c:xVal>
          <c:yVal>
            <c:numRef>
              <c:f>'36.55 Chabot Park'!$A$5:$A$18</c:f>
              <c:numCache>
                <c:ptCount val="14"/>
                <c:pt idx="0">
                  <c:v>0</c:v>
                </c:pt>
                <c:pt idx="1">
                  <c:v>5.2</c:v>
                </c:pt>
                <c:pt idx="2">
                  <c:v>12.7</c:v>
                </c:pt>
                <c:pt idx="3">
                  <c:v>18.3</c:v>
                </c:pt>
                <c:pt idx="4">
                  <c:v>23</c:v>
                </c:pt>
                <c:pt idx="5">
                  <c:v>28.7</c:v>
                </c:pt>
                <c:pt idx="6">
                  <c:v>37.9</c:v>
                </c:pt>
                <c:pt idx="7">
                  <c:v>37.3</c:v>
                </c:pt>
                <c:pt idx="8">
                  <c:v>36.599999999999994</c:v>
                </c:pt>
                <c:pt idx="9">
                  <c:v>36.99999999999999</c:v>
                </c:pt>
                <c:pt idx="10">
                  <c:v>43.699999999999996</c:v>
                </c:pt>
                <c:pt idx="11">
                  <c:v>47.99999999999999</c:v>
                </c:pt>
                <c:pt idx="12">
                  <c:v>52.599999999999994</c:v>
                </c:pt>
                <c:pt idx="13">
                  <c:v>59.099999999999994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'36.55 Chabot Park'!$D$5:$D$18</c:f>
              <c:numCache>
                <c:ptCount val="14"/>
                <c:pt idx="0">
                  <c:v>1993.389</c:v>
                </c:pt>
                <c:pt idx="1">
                  <c:v>1994.586</c:v>
                </c:pt>
                <c:pt idx="2">
                  <c:v>1995.644</c:v>
                </c:pt>
                <c:pt idx="3">
                  <c:v>1996.634</c:v>
                </c:pt>
                <c:pt idx="4">
                  <c:v>1997.633</c:v>
                </c:pt>
                <c:pt idx="5">
                  <c:v>1998.679</c:v>
                </c:pt>
                <c:pt idx="6">
                  <c:v>1999.679</c:v>
                </c:pt>
                <c:pt idx="7">
                  <c:v>2000.825</c:v>
                </c:pt>
                <c:pt idx="8">
                  <c:v>2001.802</c:v>
                </c:pt>
                <c:pt idx="9">
                  <c:v>2002.834</c:v>
                </c:pt>
                <c:pt idx="10">
                  <c:v>2003.812</c:v>
                </c:pt>
                <c:pt idx="11">
                  <c:v>2004.792</c:v>
                </c:pt>
                <c:pt idx="12">
                  <c:v>2005.7749999999999</c:v>
                </c:pt>
                <c:pt idx="13">
                  <c:v>2006.8229999999999</c:v>
                </c:pt>
              </c:numCache>
            </c:numRef>
          </c:xVal>
          <c:yVal>
            <c:numRef>
              <c:f>'36.55 Chabot Park'!#REF!</c:f>
              <c:numCache>
                <c:ptCount val="14"/>
                <c:pt idx="0">
                  <c:v>3.9872840949289263</c:v>
                </c:pt>
                <c:pt idx="1">
                  <c:v>8.805804675450796</c:v>
                </c:pt>
                <c:pt idx="2">
                  <c:v>13.064781094992657</c:v>
                </c:pt>
                <c:pt idx="3">
                  <c:v>17.050023680386335</c:v>
                </c:pt>
                <c:pt idx="4">
                  <c:v>21.071495743829104</c:v>
                </c:pt>
                <c:pt idx="5">
                  <c:v>25.282166192639146</c:v>
                </c:pt>
                <c:pt idx="6">
                  <c:v>29.307663753642824</c:v>
                </c:pt>
                <c:pt idx="7">
                  <c:v>33.92088395855287</c:v>
                </c:pt>
                <c:pt idx="8">
                  <c:v>37.853795075652904</c:v>
                </c:pt>
                <c:pt idx="9">
                  <c:v>42.008108558609315</c:v>
                </c:pt>
                <c:pt idx="10">
                  <c:v>45.94504517327026</c:v>
                </c:pt>
                <c:pt idx="11">
                  <c:v>49.89003278305393</c:v>
                </c:pt>
                <c:pt idx="12">
                  <c:v>53.84709688552034</c:v>
                </c:pt>
                <c:pt idx="13">
                  <c:v>58.0658183294522</c:v>
                </c:pt>
              </c:numCache>
            </c:numRef>
          </c:yVal>
          <c:smooth val="0"/>
        </c:ser>
        <c:axId val="10770053"/>
        <c:axId val="29821614"/>
      </c:scatterChart>
      <c:valAx>
        <c:axId val="10770053"/>
        <c:scaling>
          <c:orientation val="minMax"/>
          <c:max val="2007"/>
          <c:min val="1993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9821614"/>
        <c:crosses val="autoZero"/>
        <c:crossBetween val="midCat"/>
        <c:dispUnits/>
      </c:valAx>
      <c:valAx>
        <c:axId val="2982161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770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'38.28 Fairmount'!$D$5:$D$14</c:f>
              <c:numCache>
                <c:ptCount val="10"/>
                <c:pt idx="0">
                  <c:v>1997.627</c:v>
                </c:pt>
                <c:pt idx="1">
                  <c:v>1998.663</c:v>
                </c:pt>
                <c:pt idx="2">
                  <c:v>1999.66</c:v>
                </c:pt>
                <c:pt idx="3">
                  <c:v>2000.825</c:v>
                </c:pt>
                <c:pt idx="4">
                  <c:v>2001.818</c:v>
                </c:pt>
                <c:pt idx="5">
                  <c:v>2002.848</c:v>
                </c:pt>
                <c:pt idx="6">
                  <c:v>2003.809</c:v>
                </c:pt>
                <c:pt idx="7">
                  <c:v>2004.792</c:v>
                </c:pt>
                <c:pt idx="8">
                  <c:v>2005.769</c:v>
                </c:pt>
                <c:pt idx="9">
                  <c:v>2006.8229999999999</c:v>
                </c:pt>
              </c:numCache>
            </c:numRef>
          </c:xVal>
          <c:yVal>
            <c:numRef>
              <c:f>'38.28 Fairmount'!$A$5:$A$14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7.6</c:v>
                </c:pt>
                <c:pt idx="3">
                  <c:v>12.7</c:v>
                </c:pt>
                <c:pt idx="4">
                  <c:v>14.299999999999999</c:v>
                </c:pt>
                <c:pt idx="5">
                  <c:v>17.599999999999998</c:v>
                </c:pt>
                <c:pt idx="6">
                  <c:v>20.499999999999996</c:v>
                </c:pt>
                <c:pt idx="7">
                  <c:v>22.899999999999995</c:v>
                </c:pt>
                <c:pt idx="8">
                  <c:v>27.099999999999994</c:v>
                </c:pt>
                <c:pt idx="9">
                  <c:v>27.499999999999993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'38.28 Fairmount'!$D$5:$D$14</c:f>
              <c:numCache>
                <c:ptCount val="10"/>
                <c:pt idx="0">
                  <c:v>1997.627</c:v>
                </c:pt>
                <c:pt idx="1">
                  <c:v>1998.663</c:v>
                </c:pt>
                <c:pt idx="2">
                  <c:v>1999.66</c:v>
                </c:pt>
                <c:pt idx="3">
                  <c:v>2000.825</c:v>
                </c:pt>
                <c:pt idx="4">
                  <c:v>2001.818</c:v>
                </c:pt>
                <c:pt idx="5">
                  <c:v>2002.848</c:v>
                </c:pt>
                <c:pt idx="6">
                  <c:v>2003.809</c:v>
                </c:pt>
                <c:pt idx="7">
                  <c:v>2004.792</c:v>
                </c:pt>
                <c:pt idx="8">
                  <c:v>2005.769</c:v>
                </c:pt>
                <c:pt idx="9">
                  <c:v>2006.8229999999999</c:v>
                </c:pt>
              </c:numCache>
            </c:numRef>
          </c:xVal>
          <c:yVal>
            <c:numRef>
              <c:f>'38.28 Fairmount'!#REF!</c:f>
              <c:numCache>
                <c:ptCount val="10"/>
                <c:pt idx="0">
                  <c:v>0.6874827382548828</c:v>
                </c:pt>
                <c:pt idx="1">
                  <c:v>3.934762499097188</c:v>
                </c:pt>
                <c:pt idx="2">
                  <c:v>7.059799102919415</c:v>
                </c:pt>
                <c:pt idx="3">
                  <c:v>10.711421613904893</c:v>
                </c:pt>
                <c:pt idx="4">
                  <c:v>13.823920458032331</c:v>
                </c:pt>
                <c:pt idx="5">
                  <c:v>17.05239357933281</c:v>
                </c:pt>
                <c:pt idx="6">
                  <c:v>20.06459034590552</c:v>
                </c:pt>
                <c:pt idx="7">
                  <c:v>23.145744790797057</c:v>
                </c:pt>
                <c:pt idx="8">
                  <c:v>26.208092596147484</c:v>
                </c:pt>
                <c:pt idx="9">
                  <c:v>29.51179227561384</c:v>
                </c:pt>
              </c:numCache>
            </c:numRef>
          </c:yVal>
          <c:smooth val="0"/>
        </c:ser>
        <c:axId val="67067935"/>
        <c:axId val="66740504"/>
      </c:scatterChart>
      <c:valAx>
        <c:axId val="67067935"/>
        <c:scaling>
          <c:orientation val="minMax"/>
          <c:max val="2007"/>
          <c:min val="1997"/>
        </c:scaling>
        <c:axPos val="b"/>
        <c:delete val="0"/>
        <c:numFmt formatCode="0" sourceLinked="0"/>
        <c:majorTickMark val="in"/>
        <c:minorTickMark val="none"/>
        <c:tickLblPos val="nextTo"/>
        <c:crossAx val="66740504"/>
        <c:crosses val="autoZero"/>
        <c:crossBetween val="midCat"/>
        <c:dispUnits/>
      </c:valAx>
      <c:valAx>
        <c:axId val="6674050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7067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'41.11 167th'!$D$5:$D$18</c:f>
              <c:numCache>
                <c:ptCount val="14"/>
                <c:pt idx="0">
                  <c:v>1992.62</c:v>
                </c:pt>
                <c:pt idx="1">
                  <c:v>1994.586</c:v>
                </c:pt>
                <c:pt idx="2">
                  <c:v>1995.636</c:v>
                </c:pt>
                <c:pt idx="3">
                  <c:v>1996.631</c:v>
                </c:pt>
                <c:pt idx="4">
                  <c:v>1997.627</c:v>
                </c:pt>
                <c:pt idx="5">
                  <c:v>1998.663</c:v>
                </c:pt>
                <c:pt idx="6">
                  <c:v>1999.66</c:v>
                </c:pt>
                <c:pt idx="7">
                  <c:v>2000.825</c:v>
                </c:pt>
                <c:pt idx="8">
                  <c:v>2001.818</c:v>
                </c:pt>
                <c:pt idx="9">
                  <c:v>2002.834</c:v>
                </c:pt>
                <c:pt idx="10">
                  <c:v>2003.798</c:v>
                </c:pt>
                <c:pt idx="11">
                  <c:v>2004.7939999999999</c:v>
                </c:pt>
                <c:pt idx="12">
                  <c:v>2005.769</c:v>
                </c:pt>
                <c:pt idx="13">
                  <c:v>2006.8229999999999</c:v>
                </c:pt>
              </c:numCache>
            </c:numRef>
          </c:xVal>
          <c:yVal>
            <c:numRef>
              <c:f>'41.11 167th'!$A$5:$A$18</c:f>
              <c:numCache>
                <c:ptCount val="14"/>
                <c:pt idx="0">
                  <c:v>0</c:v>
                </c:pt>
                <c:pt idx="1">
                  <c:v>18.2</c:v>
                </c:pt>
                <c:pt idx="2">
                  <c:v>22.9</c:v>
                </c:pt>
                <c:pt idx="3">
                  <c:v>26.3</c:v>
                </c:pt>
                <c:pt idx="4">
                  <c:v>30.5</c:v>
                </c:pt>
                <c:pt idx="5">
                  <c:v>36.1</c:v>
                </c:pt>
                <c:pt idx="6">
                  <c:v>40.6</c:v>
                </c:pt>
                <c:pt idx="7">
                  <c:v>44.9</c:v>
                </c:pt>
                <c:pt idx="8">
                  <c:v>48.9</c:v>
                </c:pt>
                <c:pt idx="9">
                  <c:v>54.199999999999996</c:v>
                </c:pt>
                <c:pt idx="10">
                  <c:v>59.3</c:v>
                </c:pt>
                <c:pt idx="11">
                  <c:v>62.599999999999994</c:v>
                </c:pt>
                <c:pt idx="12">
                  <c:v>67.3</c:v>
                </c:pt>
                <c:pt idx="13">
                  <c:v>71.5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'41.11 167th'!$D$5:$D$18</c:f>
              <c:numCache>
                <c:ptCount val="14"/>
                <c:pt idx="0">
                  <c:v>1992.62</c:v>
                </c:pt>
                <c:pt idx="1">
                  <c:v>1994.586</c:v>
                </c:pt>
                <c:pt idx="2">
                  <c:v>1995.636</c:v>
                </c:pt>
                <c:pt idx="3">
                  <c:v>1996.631</c:v>
                </c:pt>
                <c:pt idx="4">
                  <c:v>1997.627</c:v>
                </c:pt>
                <c:pt idx="5">
                  <c:v>1998.663</c:v>
                </c:pt>
                <c:pt idx="6">
                  <c:v>1999.66</c:v>
                </c:pt>
                <c:pt idx="7">
                  <c:v>2000.825</c:v>
                </c:pt>
                <c:pt idx="8">
                  <c:v>2001.818</c:v>
                </c:pt>
                <c:pt idx="9">
                  <c:v>2002.834</c:v>
                </c:pt>
                <c:pt idx="10">
                  <c:v>2003.798</c:v>
                </c:pt>
                <c:pt idx="11">
                  <c:v>2004.7939999999999</c:v>
                </c:pt>
                <c:pt idx="12">
                  <c:v>2005.769</c:v>
                </c:pt>
                <c:pt idx="13">
                  <c:v>2006.8229999999999</c:v>
                </c:pt>
              </c:numCache>
            </c:numRef>
          </c:xVal>
          <c:yVal>
            <c:numRef>
              <c:f>'41.11 167th'!#REF!</c:f>
              <c:numCache>
                <c:ptCount val="14"/>
                <c:pt idx="0">
                  <c:v>6.442444636249346</c:v>
                </c:pt>
                <c:pt idx="1">
                  <c:v>15.639875035777548</c:v>
                </c:pt>
                <c:pt idx="2">
                  <c:v>20.55203267540298</c:v>
                </c:pt>
                <c:pt idx="3">
                  <c:v>25.206886819620212</c:v>
                </c:pt>
                <c:pt idx="4">
                  <c:v>29.866419209207343</c:v>
                </c:pt>
                <c:pt idx="5">
                  <c:v>34.71308141363825</c:v>
                </c:pt>
                <c:pt idx="6">
                  <c:v>39.37729204859741</c:v>
                </c:pt>
                <c:pt idx="7">
                  <c:v>44.827447905896165</c:v>
                </c:pt>
                <c:pt idx="8">
                  <c:v>49.472945559370416</c:v>
                </c:pt>
                <c:pt idx="9">
                  <c:v>54.22604285637996</c:v>
                </c:pt>
                <c:pt idx="10">
                  <c:v>58.73587139409314</c:v>
                </c:pt>
                <c:pt idx="11">
                  <c:v>63.39540378368027</c:v>
                </c:pt>
                <c:pt idx="12">
                  <c:v>67.95669302047615</c:v>
                </c:pt>
                <c:pt idx="13">
                  <c:v>72.88756364158543</c:v>
                </c:pt>
              </c:numCache>
            </c:numRef>
          </c:yVal>
          <c:smooth val="0"/>
        </c:ser>
        <c:axId val="63793625"/>
        <c:axId val="37271714"/>
      </c:scatterChart>
      <c:valAx>
        <c:axId val="63793625"/>
        <c:scaling>
          <c:orientation val="minMax"/>
          <c:max val="2007"/>
          <c:min val="1992"/>
        </c:scaling>
        <c:axPos val="b"/>
        <c:delete val="0"/>
        <c:numFmt formatCode="0" sourceLinked="0"/>
        <c:majorTickMark val="in"/>
        <c:minorTickMark val="none"/>
        <c:tickLblPos val="nextTo"/>
        <c:crossAx val="37271714"/>
        <c:crosses val="autoZero"/>
        <c:crossBetween val="midCat"/>
        <c:dispUnits/>
      </c:valAx>
      <c:valAx>
        <c:axId val="3727171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3793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'45.64 Palisade'!$D$5:$D$16</c:f>
              <c:numCache>
                <c:ptCount val="12"/>
                <c:pt idx="0">
                  <c:v>1977.074</c:v>
                </c:pt>
                <c:pt idx="1">
                  <c:v>1992.809</c:v>
                </c:pt>
                <c:pt idx="2">
                  <c:v>1997.63</c:v>
                </c:pt>
                <c:pt idx="3">
                  <c:v>1998.663</c:v>
                </c:pt>
                <c:pt idx="4">
                  <c:v>1999.677</c:v>
                </c:pt>
                <c:pt idx="5">
                  <c:v>2000.806</c:v>
                </c:pt>
                <c:pt idx="6">
                  <c:v>2001.805</c:v>
                </c:pt>
                <c:pt idx="7">
                  <c:v>2002.84</c:v>
                </c:pt>
                <c:pt idx="8">
                  <c:v>2003.798</c:v>
                </c:pt>
                <c:pt idx="9">
                  <c:v>2004.811</c:v>
                </c:pt>
                <c:pt idx="10">
                  <c:v>2005.7749999999999</c:v>
                </c:pt>
                <c:pt idx="11">
                  <c:v>2006.84</c:v>
                </c:pt>
              </c:numCache>
            </c:numRef>
          </c:xVal>
          <c:yVal>
            <c:numRef>
              <c:f>'45.64 Palisade'!$A$5:$A$16</c:f>
              <c:numCache>
                <c:ptCount val="12"/>
                <c:pt idx="0">
                  <c:v>0</c:v>
                </c:pt>
                <c:pt idx="1">
                  <c:v>73.1</c:v>
                </c:pt>
                <c:pt idx="2">
                  <c:v>78.5</c:v>
                </c:pt>
                <c:pt idx="3">
                  <c:v>86.2</c:v>
                </c:pt>
                <c:pt idx="4">
                  <c:v>92.3</c:v>
                </c:pt>
                <c:pt idx="5">
                  <c:v>100</c:v>
                </c:pt>
                <c:pt idx="6">
                  <c:v>110.1</c:v>
                </c:pt>
                <c:pt idx="7">
                  <c:v>114.69999999999999</c:v>
                </c:pt>
                <c:pt idx="8">
                  <c:v>122.69999999999999</c:v>
                </c:pt>
                <c:pt idx="9">
                  <c:v>127.39999999999999</c:v>
                </c:pt>
                <c:pt idx="10">
                  <c:v>131.89999999999998</c:v>
                </c:pt>
                <c:pt idx="11">
                  <c:v>136.09999999999997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'45.64 Palisade'!$D$5:$D$16</c:f>
              <c:numCache>
                <c:ptCount val="12"/>
                <c:pt idx="0">
                  <c:v>1977.074</c:v>
                </c:pt>
                <c:pt idx="1">
                  <c:v>1992.809</c:v>
                </c:pt>
                <c:pt idx="2">
                  <c:v>1997.63</c:v>
                </c:pt>
                <c:pt idx="3">
                  <c:v>1998.663</c:v>
                </c:pt>
                <c:pt idx="4">
                  <c:v>1999.677</c:v>
                </c:pt>
                <c:pt idx="5">
                  <c:v>2000.806</c:v>
                </c:pt>
                <c:pt idx="6">
                  <c:v>2001.805</c:v>
                </c:pt>
                <c:pt idx="7">
                  <c:v>2002.84</c:v>
                </c:pt>
                <c:pt idx="8">
                  <c:v>2003.798</c:v>
                </c:pt>
                <c:pt idx="9">
                  <c:v>2004.811</c:v>
                </c:pt>
                <c:pt idx="10">
                  <c:v>2005.7749999999999</c:v>
                </c:pt>
                <c:pt idx="11">
                  <c:v>2006.84</c:v>
                </c:pt>
              </c:numCache>
            </c:numRef>
          </c:xVal>
          <c:yVal>
            <c:numRef>
              <c:f>'45.64 Palisade'!#REF!</c:f>
              <c:numCache>
                <c:ptCount val="12"/>
                <c:pt idx="0">
                  <c:v>-4.373340281187499</c:v>
                </c:pt>
                <c:pt idx="1">
                  <c:v>67.67466865579443</c:v>
                </c:pt>
                <c:pt idx="2">
                  <c:v>89.74924451122516</c:v>
                </c:pt>
                <c:pt idx="3">
                  <c:v>94.47918370613432</c:v>
                </c:pt>
                <c:pt idx="4">
                  <c:v>99.12212498748752</c:v>
                </c:pt>
                <c:pt idx="5">
                  <c:v>104.291632587733</c:v>
                </c:pt>
                <c:pt idx="6">
                  <c:v>108.86589130575317</c:v>
                </c:pt>
                <c:pt idx="7">
                  <c:v>113.60498817577326</c:v>
                </c:pt>
                <c:pt idx="8">
                  <c:v>117.9915145540151</c:v>
                </c:pt>
                <c:pt idx="9">
                  <c:v>122.62987699781283</c:v>
                </c:pt>
                <c:pt idx="10">
                  <c:v>127.04387640138746</c:v>
                </c:pt>
                <c:pt idx="11">
                  <c:v>131.92033839807576</c:v>
                </c:pt>
              </c:numCache>
            </c:numRef>
          </c:yVal>
          <c:smooth val="0"/>
        </c:ser>
        <c:axId val="67009971"/>
        <c:axId val="66218828"/>
      </c:scatterChart>
      <c:valAx>
        <c:axId val="67009971"/>
        <c:scaling>
          <c:orientation val="minMax"/>
          <c:max val="2007"/>
          <c:min val="1977"/>
        </c:scaling>
        <c:axPos val="b"/>
        <c:delete val="0"/>
        <c:numFmt formatCode="0" sourceLinked="0"/>
        <c:majorTickMark val="in"/>
        <c:minorTickMark val="none"/>
        <c:tickLblPos val="nextTo"/>
        <c:crossAx val="66218828"/>
        <c:crosses val="autoZero"/>
        <c:crossBetween val="midCat"/>
        <c:dispUnits/>
      </c:valAx>
      <c:valAx>
        <c:axId val="66218828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67009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'45.64 Palisade'!$D$7:$D$16</c:f>
              <c:numCache>
                <c:ptCount val="10"/>
                <c:pt idx="0">
                  <c:v>1997.63</c:v>
                </c:pt>
                <c:pt idx="1">
                  <c:v>1998.663</c:v>
                </c:pt>
                <c:pt idx="2">
                  <c:v>1999.677</c:v>
                </c:pt>
                <c:pt idx="3">
                  <c:v>2000.806</c:v>
                </c:pt>
                <c:pt idx="4">
                  <c:v>2001.805</c:v>
                </c:pt>
                <c:pt idx="5">
                  <c:v>2002.84</c:v>
                </c:pt>
                <c:pt idx="6">
                  <c:v>2003.798</c:v>
                </c:pt>
                <c:pt idx="7">
                  <c:v>2004.811</c:v>
                </c:pt>
                <c:pt idx="8">
                  <c:v>2005.7749999999999</c:v>
                </c:pt>
                <c:pt idx="9">
                  <c:v>2006.84</c:v>
                </c:pt>
              </c:numCache>
            </c:numRef>
          </c:xVal>
          <c:yVal>
            <c:numRef>
              <c:f>'45.64 Palisade'!$A$7:$A$16</c:f>
              <c:numCache>
                <c:ptCount val="10"/>
                <c:pt idx="0">
                  <c:v>78.5</c:v>
                </c:pt>
                <c:pt idx="1">
                  <c:v>86.2</c:v>
                </c:pt>
                <c:pt idx="2">
                  <c:v>92.3</c:v>
                </c:pt>
                <c:pt idx="3">
                  <c:v>100</c:v>
                </c:pt>
                <c:pt idx="4">
                  <c:v>110.1</c:v>
                </c:pt>
                <c:pt idx="5">
                  <c:v>114.69999999999999</c:v>
                </c:pt>
                <c:pt idx="6">
                  <c:v>122.69999999999999</c:v>
                </c:pt>
                <c:pt idx="7">
                  <c:v>127.39999999999999</c:v>
                </c:pt>
                <c:pt idx="8">
                  <c:v>131.89999999999998</c:v>
                </c:pt>
                <c:pt idx="9">
                  <c:v>136.09999999999997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'45.64 Palisade'!$D$7:$D$16</c:f>
              <c:numCache>
                <c:ptCount val="10"/>
                <c:pt idx="0">
                  <c:v>1997.63</c:v>
                </c:pt>
                <c:pt idx="1">
                  <c:v>1998.663</c:v>
                </c:pt>
                <c:pt idx="2">
                  <c:v>1999.677</c:v>
                </c:pt>
                <c:pt idx="3">
                  <c:v>2000.806</c:v>
                </c:pt>
                <c:pt idx="4">
                  <c:v>2001.805</c:v>
                </c:pt>
                <c:pt idx="5">
                  <c:v>2002.84</c:v>
                </c:pt>
                <c:pt idx="6">
                  <c:v>2003.798</c:v>
                </c:pt>
                <c:pt idx="7">
                  <c:v>2004.811</c:v>
                </c:pt>
                <c:pt idx="8">
                  <c:v>2005.7749999999999</c:v>
                </c:pt>
                <c:pt idx="9">
                  <c:v>2006.84</c:v>
                </c:pt>
              </c:numCache>
            </c:numRef>
          </c:xVal>
          <c:yVal>
            <c:numRef>
              <c:f>'45.64 Palisade'!#REF!</c:f>
              <c:numCache>
                <c:ptCount val="10"/>
                <c:pt idx="0">
                  <c:v>80.05886182701644</c:v>
                </c:pt>
                <c:pt idx="1">
                  <c:v>86.7303184529071</c:v>
                </c:pt>
                <c:pt idx="2">
                  <c:v>93.27906677686941</c:v>
                </c:pt>
                <c:pt idx="3">
                  <c:v>100.57052324408349</c:v>
                </c:pt>
                <c:pt idx="4">
                  <c:v>107.02239659284007</c:v>
                </c:pt>
                <c:pt idx="5">
                  <c:v>113.7067698820913</c:v>
                </c:pt>
                <c:pt idx="6">
                  <c:v>119.89385163195035</c:v>
                </c:pt>
                <c:pt idx="7">
                  <c:v>126.43614162423238</c:v>
                </c:pt>
                <c:pt idx="8">
                  <c:v>132.66197336417315</c:v>
                </c:pt>
                <c:pt idx="9">
                  <c:v>139.54009660383878</c:v>
                </c:pt>
              </c:numCache>
            </c:numRef>
          </c:yVal>
          <c:smooth val="0"/>
        </c:ser>
        <c:axId val="59098541"/>
        <c:axId val="62124822"/>
      </c:scatterChart>
      <c:valAx>
        <c:axId val="5909854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62124822"/>
        <c:crosses val="autoZero"/>
        <c:crossBetween val="midCat"/>
        <c:dispUnits/>
      </c:valAx>
      <c:valAx>
        <c:axId val="62124822"/>
        <c:scaling>
          <c:orientation val="minMax"/>
          <c:min val="50"/>
        </c:scaling>
        <c:axPos val="l"/>
        <c:delete val="0"/>
        <c:numFmt formatCode="0" sourceLinked="0"/>
        <c:majorTickMark val="in"/>
        <c:minorTickMark val="none"/>
        <c:tickLblPos val="nextTo"/>
        <c:crossAx val="59098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'47.72 Sepulchre'!$D$5:$D$17</c:f>
              <c:numCache>
                <c:ptCount val="13"/>
                <c:pt idx="0">
                  <c:v>1994.589</c:v>
                </c:pt>
                <c:pt idx="1">
                  <c:v>1995.641</c:v>
                </c:pt>
                <c:pt idx="2">
                  <c:v>1996.634</c:v>
                </c:pt>
                <c:pt idx="3">
                  <c:v>1997.63</c:v>
                </c:pt>
                <c:pt idx="4">
                  <c:v>1998.679</c:v>
                </c:pt>
                <c:pt idx="5">
                  <c:v>1999.677</c:v>
                </c:pt>
                <c:pt idx="6">
                  <c:v>2000.806</c:v>
                </c:pt>
                <c:pt idx="7">
                  <c:v>2001.805</c:v>
                </c:pt>
                <c:pt idx="8">
                  <c:v>2002.84</c:v>
                </c:pt>
                <c:pt idx="9">
                  <c:v>2003.798</c:v>
                </c:pt>
                <c:pt idx="10">
                  <c:v>2004.811</c:v>
                </c:pt>
                <c:pt idx="11">
                  <c:v>2005.7749999999999</c:v>
                </c:pt>
                <c:pt idx="12">
                  <c:v>2006.826</c:v>
                </c:pt>
              </c:numCache>
            </c:numRef>
          </c:xVal>
          <c:yVal>
            <c:numRef>
              <c:f>'47.72 Sepulchre'!$A$5:$A$17</c:f>
              <c:numCache>
                <c:ptCount val="13"/>
                <c:pt idx="0">
                  <c:v>0</c:v>
                </c:pt>
                <c:pt idx="1">
                  <c:v>9.2</c:v>
                </c:pt>
                <c:pt idx="2">
                  <c:v>15.7</c:v>
                </c:pt>
                <c:pt idx="3">
                  <c:v>22.5</c:v>
                </c:pt>
                <c:pt idx="4">
                  <c:v>28.3</c:v>
                </c:pt>
                <c:pt idx="5">
                  <c:v>34.8</c:v>
                </c:pt>
                <c:pt idx="6">
                  <c:v>41.5</c:v>
                </c:pt>
                <c:pt idx="7">
                  <c:v>44.5</c:v>
                </c:pt>
                <c:pt idx="8">
                  <c:v>50.6</c:v>
                </c:pt>
                <c:pt idx="9">
                  <c:v>55.800000000000004</c:v>
                </c:pt>
                <c:pt idx="10">
                  <c:v>61.900000000000006</c:v>
                </c:pt>
                <c:pt idx="11">
                  <c:v>63.300000000000004</c:v>
                </c:pt>
                <c:pt idx="12">
                  <c:v>71.2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'47.72 Sepulchre'!$D$5:$D$17</c:f>
              <c:numCache>
                <c:ptCount val="13"/>
                <c:pt idx="0">
                  <c:v>1994.589</c:v>
                </c:pt>
                <c:pt idx="1">
                  <c:v>1995.641</c:v>
                </c:pt>
                <c:pt idx="2">
                  <c:v>1996.634</c:v>
                </c:pt>
                <c:pt idx="3">
                  <c:v>1997.63</c:v>
                </c:pt>
                <c:pt idx="4">
                  <c:v>1998.679</c:v>
                </c:pt>
                <c:pt idx="5">
                  <c:v>1999.677</c:v>
                </c:pt>
                <c:pt idx="6">
                  <c:v>2000.806</c:v>
                </c:pt>
                <c:pt idx="7">
                  <c:v>2001.805</c:v>
                </c:pt>
                <c:pt idx="8">
                  <c:v>2002.84</c:v>
                </c:pt>
                <c:pt idx="9">
                  <c:v>2003.798</c:v>
                </c:pt>
                <c:pt idx="10">
                  <c:v>2004.811</c:v>
                </c:pt>
                <c:pt idx="11">
                  <c:v>2005.7749999999999</c:v>
                </c:pt>
                <c:pt idx="12">
                  <c:v>2006.826</c:v>
                </c:pt>
              </c:numCache>
            </c:numRef>
          </c:xVal>
          <c:yVal>
            <c:numRef>
              <c:f>'47.72 Sepulchre'!#REF!</c:f>
              <c:numCache>
                <c:ptCount val="13"/>
                <c:pt idx="0">
                  <c:v>4.113239048792151</c:v>
                </c:pt>
                <c:pt idx="1">
                  <c:v>9.986594707479053</c:v>
                </c:pt>
                <c:pt idx="2">
                  <c:v>15.530551141960979</c:v>
                </c:pt>
                <c:pt idx="3">
                  <c:v>21.09125668953889</c:v>
                </c:pt>
                <c:pt idx="4">
                  <c:v>26.94786323512981</c:v>
                </c:pt>
                <c:pt idx="5">
                  <c:v>32.51973485810293</c:v>
                </c:pt>
                <c:pt idx="6">
                  <c:v>38.82298441956438</c:v>
                </c:pt>
                <c:pt idx="7">
                  <c:v>44.40043908023701</c:v>
                </c:pt>
                <c:pt idx="8">
                  <c:v>50.17888309805004</c:v>
                </c:pt>
                <c:pt idx="9">
                  <c:v>55.5274332130898</c:v>
                </c:pt>
                <c:pt idx="10">
                  <c:v>61.18305040153904</c:v>
                </c:pt>
                <c:pt idx="11">
                  <c:v>66.56509874276823</c:v>
                </c:pt>
                <c:pt idx="12">
                  <c:v>72.4328713637569</c:v>
                </c:pt>
              </c:numCache>
            </c:numRef>
          </c:yVal>
          <c:smooth val="0"/>
        </c:ser>
        <c:axId val="22252487"/>
        <c:axId val="66054656"/>
      </c:scatterChart>
      <c:valAx>
        <c:axId val="22252487"/>
        <c:scaling>
          <c:orientation val="minMax"/>
          <c:max val="2007"/>
          <c:min val="1994"/>
        </c:scaling>
        <c:axPos val="b"/>
        <c:delete val="0"/>
        <c:numFmt formatCode="0" sourceLinked="0"/>
        <c:majorTickMark val="in"/>
        <c:minorTickMark val="none"/>
        <c:tickLblPos val="nextTo"/>
        <c:crossAx val="66054656"/>
        <c:crosses val="autoZero"/>
        <c:crossBetween val="midCat"/>
        <c:dispUnits/>
      </c:valAx>
      <c:valAx>
        <c:axId val="6605465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2252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'50.15 Woodland'!$D$5:$D$16</c:f>
              <c:numCache>
                <c:ptCount val="12"/>
                <c:pt idx="0">
                  <c:v>1970.074</c:v>
                </c:pt>
                <c:pt idx="1">
                  <c:v>1992.866</c:v>
                </c:pt>
                <c:pt idx="2">
                  <c:v>1997.636</c:v>
                </c:pt>
                <c:pt idx="3">
                  <c:v>1998.679</c:v>
                </c:pt>
                <c:pt idx="4">
                  <c:v>1999.677</c:v>
                </c:pt>
                <c:pt idx="5">
                  <c:v>2000.806</c:v>
                </c:pt>
                <c:pt idx="6">
                  <c:v>2001.818</c:v>
                </c:pt>
                <c:pt idx="7">
                  <c:v>2002.84</c:v>
                </c:pt>
                <c:pt idx="8">
                  <c:v>2003.809</c:v>
                </c:pt>
                <c:pt idx="9">
                  <c:v>2004.811</c:v>
                </c:pt>
                <c:pt idx="10">
                  <c:v>2005.772</c:v>
                </c:pt>
                <c:pt idx="11">
                  <c:v>2006.826</c:v>
                </c:pt>
              </c:numCache>
            </c:numRef>
          </c:xVal>
          <c:yVal>
            <c:numRef>
              <c:f>'50.15 Woodland'!$A$5:$A$16</c:f>
              <c:numCache>
                <c:ptCount val="12"/>
                <c:pt idx="0">
                  <c:v>0</c:v>
                </c:pt>
                <c:pt idx="1">
                  <c:v>104.6</c:v>
                </c:pt>
                <c:pt idx="2">
                  <c:v>119</c:v>
                </c:pt>
                <c:pt idx="3">
                  <c:v>125</c:v>
                </c:pt>
                <c:pt idx="4">
                  <c:v>129.2</c:v>
                </c:pt>
                <c:pt idx="5">
                  <c:v>141.1</c:v>
                </c:pt>
                <c:pt idx="6">
                  <c:v>141.2</c:v>
                </c:pt>
                <c:pt idx="7">
                  <c:v>140.29999999999998</c:v>
                </c:pt>
                <c:pt idx="8">
                  <c:v>142.2</c:v>
                </c:pt>
                <c:pt idx="9">
                  <c:v>153.29999999999998</c:v>
                </c:pt>
                <c:pt idx="10">
                  <c:v>156.7</c:v>
                </c:pt>
                <c:pt idx="11">
                  <c:v>159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'50.15 Woodland'!$D$5:$D$16</c:f>
              <c:numCache>
                <c:ptCount val="12"/>
                <c:pt idx="0">
                  <c:v>1970.074</c:v>
                </c:pt>
                <c:pt idx="1">
                  <c:v>1992.866</c:v>
                </c:pt>
                <c:pt idx="2">
                  <c:v>1997.636</c:v>
                </c:pt>
                <c:pt idx="3">
                  <c:v>1998.679</c:v>
                </c:pt>
                <c:pt idx="4">
                  <c:v>1999.677</c:v>
                </c:pt>
                <c:pt idx="5">
                  <c:v>2000.806</c:v>
                </c:pt>
                <c:pt idx="6">
                  <c:v>2001.818</c:v>
                </c:pt>
                <c:pt idx="7">
                  <c:v>2002.84</c:v>
                </c:pt>
                <c:pt idx="8">
                  <c:v>2003.809</c:v>
                </c:pt>
                <c:pt idx="9">
                  <c:v>2004.811</c:v>
                </c:pt>
                <c:pt idx="10">
                  <c:v>2005.772</c:v>
                </c:pt>
                <c:pt idx="11">
                  <c:v>2006.826</c:v>
                </c:pt>
              </c:numCache>
            </c:numRef>
          </c:xVal>
          <c:yVal>
            <c:numRef>
              <c:f>'50.15 Woodland'!#REF!</c:f>
              <c:numCache>
                <c:ptCount val="12"/>
                <c:pt idx="0">
                  <c:v>1.6098388613108046</c:v>
                </c:pt>
                <c:pt idx="1">
                  <c:v>100.27396582613245</c:v>
                </c:pt>
                <c:pt idx="2">
                  <c:v>120.92278495662558</c:v>
                </c:pt>
                <c:pt idx="3">
                  <c:v>125.43782025077796</c:v>
                </c:pt>
                <c:pt idx="4">
                  <c:v>129.7580553644527</c:v>
                </c:pt>
                <c:pt idx="5">
                  <c:v>134.64537544795994</c:v>
                </c:pt>
                <c:pt idx="6">
                  <c:v>139.02621506222786</c:v>
                </c:pt>
                <c:pt idx="7">
                  <c:v>143.45034360549047</c:v>
                </c:pt>
                <c:pt idx="8">
                  <c:v>147.64504082508145</c:v>
                </c:pt>
                <c:pt idx="9">
                  <c:v>151.98259151035467</c:v>
                </c:pt>
                <c:pt idx="10">
                  <c:v>156.1426575867497</c:v>
                </c:pt>
                <c:pt idx="11">
                  <c:v>160.70531070279614</c:v>
                </c:pt>
              </c:numCache>
            </c:numRef>
          </c:yVal>
          <c:smooth val="0"/>
        </c:ser>
        <c:axId val="57620993"/>
        <c:axId val="48826890"/>
      </c:scatterChart>
      <c:valAx>
        <c:axId val="57620993"/>
        <c:scaling>
          <c:orientation val="minMax"/>
          <c:max val="2007"/>
          <c:min val="1970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826890"/>
        <c:crosses val="autoZero"/>
        <c:crossBetween val="midCat"/>
        <c:dispUnits/>
      </c:valAx>
      <c:valAx>
        <c:axId val="4882689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7620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Florida'!$A$5:$A$12</c:f>
              <c:numCache>
                <c:ptCount val="8"/>
                <c:pt idx="0">
                  <c:v>0</c:v>
                </c:pt>
                <c:pt idx="1">
                  <c:v>2.3</c:v>
                </c:pt>
                <c:pt idx="2">
                  <c:v>4.9</c:v>
                </c:pt>
                <c:pt idx="3">
                  <c:v>9</c:v>
                </c:pt>
                <c:pt idx="4">
                  <c:v>10.7</c:v>
                </c:pt>
                <c:pt idx="5">
                  <c:v>15.3</c:v>
                </c:pt>
                <c:pt idx="6">
                  <c:v>17.4</c:v>
                </c:pt>
                <c:pt idx="7">
                  <c:v>21.2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Florida'!$A$5:$A$12</c:f>
              <c:numCache>
                <c:ptCount val="8"/>
                <c:pt idx="0">
                  <c:v>0</c:v>
                </c:pt>
                <c:pt idx="1">
                  <c:v>2.3</c:v>
                </c:pt>
                <c:pt idx="2">
                  <c:v>4.9</c:v>
                </c:pt>
                <c:pt idx="3">
                  <c:v>9</c:v>
                </c:pt>
                <c:pt idx="4">
                  <c:v>10.7</c:v>
                </c:pt>
                <c:pt idx="5">
                  <c:v>15.3</c:v>
                </c:pt>
                <c:pt idx="6">
                  <c:v>17.4</c:v>
                </c:pt>
                <c:pt idx="7">
                  <c:v>21.2</c:v>
                </c:pt>
              </c:numCache>
            </c:numRef>
          </c:yVal>
          <c:smooth val="0"/>
        </c:ser>
        <c:ser>
          <c:idx val="3"/>
          <c:order val="3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Florida'!$A$5:$A$12</c:f>
              <c:numCache>
                <c:ptCount val="8"/>
                <c:pt idx="0">
                  <c:v>0</c:v>
                </c:pt>
                <c:pt idx="1">
                  <c:v>2.3</c:v>
                </c:pt>
                <c:pt idx="2">
                  <c:v>4.9</c:v>
                </c:pt>
                <c:pt idx="3">
                  <c:v>9</c:v>
                </c:pt>
                <c:pt idx="4">
                  <c:v>10.7</c:v>
                </c:pt>
                <c:pt idx="5">
                  <c:v>15.3</c:v>
                </c:pt>
                <c:pt idx="6">
                  <c:v>17.4</c:v>
                </c:pt>
                <c:pt idx="7">
                  <c:v>21.2</c:v>
                </c:pt>
              </c:numCache>
            </c:numRef>
          </c:yVal>
          <c:smooth val="0"/>
        </c:ser>
        <c:ser>
          <c:idx val="5"/>
          <c:order val="5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Florida'!$A$5:$A$12</c:f>
              <c:numCache>
                <c:ptCount val="8"/>
                <c:pt idx="0">
                  <c:v>0</c:v>
                </c:pt>
                <c:pt idx="1">
                  <c:v>2.3</c:v>
                </c:pt>
                <c:pt idx="2">
                  <c:v>4.9</c:v>
                </c:pt>
                <c:pt idx="3">
                  <c:v>9</c:v>
                </c:pt>
                <c:pt idx="4">
                  <c:v>10.7</c:v>
                </c:pt>
                <c:pt idx="5">
                  <c:v>15.3</c:v>
                </c:pt>
                <c:pt idx="6">
                  <c:v>17.4</c:v>
                </c:pt>
                <c:pt idx="7">
                  <c:v>21.2</c:v>
                </c:pt>
              </c:numCache>
            </c:numRef>
          </c:yVal>
          <c:smooth val="0"/>
        </c:ser>
        <c:ser>
          <c:idx val="7"/>
          <c:order val="7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Florida'!#REF!</c:f>
              <c:numCache>
                <c:ptCount val="8"/>
                <c:pt idx="0">
                  <c:v>-0.7081158246211747</c:v>
                </c:pt>
                <c:pt idx="1">
                  <c:v>2.3716281022786436</c:v>
                </c:pt>
                <c:pt idx="2">
                  <c:v>5.394835667236026</c:v>
                </c:pt>
                <c:pt idx="3">
                  <c:v>8.938772881669161</c:v>
                </c:pt>
                <c:pt idx="4">
                  <c:v>11.723932606865677</c:v>
                </c:pt>
                <c:pt idx="5">
                  <c:v>14.803676533766172</c:v>
                </c:pt>
                <c:pt idx="6">
                  <c:v>17.65429941489728</c:v>
                </c:pt>
                <c:pt idx="7">
                  <c:v>20.620970617910874</c:v>
                </c:pt>
              </c:numCache>
            </c:numRef>
          </c:yVal>
          <c:smooth val="0"/>
        </c:ser>
        <c:axId val="47180071"/>
        <c:axId val="21967456"/>
      </c:scatterChart>
      <c:valAx>
        <c:axId val="47180071"/>
        <c:scaling>
          <c:orientation val="minMax"/>
          <c:max val="2007"/>
          <c:min val="1997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25" b="1" i="0" u="none" baseline="0"/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1967456"/>
        <c:crosses val="autoZero"/>
        <c:crossBetween val="midCat"/>
        <c:dispUnits/>
      </c:valAx>
      <c:valAx>
        <c:axId val="2196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180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'52.60 Chimes'!$D$5:$D$17</c:f>
              <c:numCache>
                <c:ptCount val="13"/>
                <c:pt idx="0">
                  <c:v>1994.592</c:v>
                </c:pt>
                <c:pt idx="1">
                  <c:v>1995.644</c:v>
                </c:pt>
                <c:pt idx="2">
                  <c:v>1996.634</c:v>
                </c:pt>
                <c:pt idx="3">
                  <c:v>1997.633</c:v>
                </c:pt>
                <c:pt idx="4">
                  <c:v>1998.696</c:v>
                </c:pt>
                <c:pt idx="5">
                  <c:v>1999.696</c:v>
                </c:pt>
                <c:pt idx="6">
                  <c:v>2000.863</c:v>
                </c:pt>
                <c:pt idx="7">
                  <c:v>2001.818</c:v>
                </c:pt>
                <c:pt idx="8">
                  <c:v>2002.848</c:v>
                </c:pt>
                <c:pt idx="9">
                  <c:v>2003.809</c:v>
                </c:pt>
                <c:pt idx="10">
                  <c:v>2004.811</c:v>
                </c:pt>
                <c:pt idx="11">
                  <c:v>2005.772</c:v>
                </c:pt>
                <c:pt idx="12">
                  <c:v>2006.826</c:v>
                </c:pt>
              </c:numCache>
            </c:numRef>
          </c:xVal>
          <c:yVal>
            <c:numRef>
              <c:f>'52.60 Chimes'!$A$5:$A$17</c:f>
              <c:numCache>
                <c:ptCount val="13"/>
                <c:pt idx="0">
                  <c:v>0</c:v>
                </c:pt>
                <c:pt idx="1">
                  <c:v>5.9</c:v>
                </c:pt>
                <c:pt idx="2">
                  <c:v>7.2</c:v>
                </c:pt>
                <c:pt idx="3">
                  <c:v>14.6</c:v>
                </c:pt>
                <c:pt idx="4">
                  <c:v>20.8</c:v>
                </c:pt>
                <c:pt idx="5">
                  <c:v>26.1</c:v>
                </c:pt>
                <c:pt idx="6">
                  <c:v>34.5</c:v>
                </c:pt>
                <c:pt idx="7">
                  <c:v>39.9</c:v>
                </c:pt>
                <c:pt idx="8">
                  <c:v>45.3</c:v>
                </c:pt>
                <c:pt idx="9">
                  <c:v>49.8</c:v>
                </c:pt>
                <c:pt idx="10">
                  <c:v>56.099999999999994</c:v>
                </c:pt>
                <c:pt idx="11">
                  <c:v>61.49999999999999</c:v>
                </c:pt>
                <c:pt idx="12">
                  <c:v>76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'52.60 Chimes'!$D$5:$D$17</c:f>
              <c:numCache>
                <c:ptCount val="13"/>
                <c:pt idx="0">
                  <c:v>1994.592</c:v>
                </c:pt>
                <c:pt idx="1">
                  <c:v>1995.644</c:v>
                </c:pt>
                <c:pt idx="2">
                  <c:v>1996.634</c:v>
                </c:pt>
                <c:pt idx="3">
                  <c:v>1997.633</c:v>
                </c:pt>
                <c:pt idx="4">
                  <c:v>1998.696</c:v>
                </c:pt>
                <c:pt idx="5">
                  <c:v>1999.696</c:v>
                </c:pt>
                <c:pt idx="6">
                  <c:v>2000.863</c:v>
                </c:pt>
                <c:pt idx="7">
                  <c:v>2001.818</c:v>
                </c:pt>
                <c:pt idx="8">
                  <c:v>2002.848</c:v>
                </c:pt>
                <c:pt idx="9">
                  <c:v>2003.809</c:v>
                </c:pt>
                <c:pt idx="10">
                  <c:v>2004.811</c:v>
                </c:pt>
                <c:pt idx="11">
                  <c:v>2005.772</c:v>
                </c:pt>
                <c:pt idx="12">
                  <c:v>2006.826</c:v>
                </c:pt>
              </c:numCache>
            </c:numRef>
          </c:xVal>
          <c:yVal>
            <c:numRef>
              <c:f>'52.60 Chimes'!#REF!</c:f>
              <c:numCache>
                <c:ptCount val="13"/>
                <c:pt idx="0">
                  <c:v>-2.688680438116342</c:v>
                </c:pt>
                <c:pt idx="1">
                  <c:v>3.530902701397803</c:v>
                </c:pt>
                <c:pt idx="2">
                  <c:v>9.383932461967769</c:v>
                </c:pt>
                <c:pt idx="3">
                  <c:v>15.290171583997546</c:v>
                </c:pt>
                <c:pt idx="4">
                  <c:v>21.57478838751783</c:v>
                </c:pt>
                <c:pt idx="5">
                  <c:v>27.48693966082077</c:v>
                </c:pt>
                <c:pt idx="6">
                  <c:v>34.38642019676615</c:v>
                </c:pt>
                <c:pt idx="7">
                  <c:v>40.03252466277003</c:v>
                </c:pt>
                <c:pt idx="8">
                  <c:v>46.1220404742719</c:v>
                </c:pt>
                <c:pt idx="9">
                  <c:v>51.8036178479161</c:v>
                </c:pt>
                <c:pt idx="10">
                  <c:v>57.72759342376537</c:v>
                </c:pt>
                <c:pt idx="11">
                  <c:v>63.409170797409566</c:v>
                </c:pt>
                <c:pt idx="12">
                  <c:v>69.64057823947138</c:v>
                </c:pt>
              </c:numCache>
            </c:numRef>
          </c:yVal>
          <c:smooth val="0"/>
        </c:ser>
        <c:axId val="36788827"/>
        <c:axId val="62663988"/>
      </c:scatterChart>
      <c:valAx>
        <c:axId val="36788827"/>
        <c:scaling>
          <c:orientation val="minMax"/>
          <c:max val="2007"/>
          <c:min val="1994"/>
        </c:scaling>
        <c:axPos val="b"/>
        <c:delete val="0"/>
        <c:numFmt formatCode="0" sourceLinked="0"/>
        <c:majorTickMark val="in"/>
        <c:minorTickMark val="none"/>
        <c:tickLblPos val="nextTo"/>
        <c:crossAx val="62663988"/>
        <c:crosses val="autoZero"/>
        <c:crossBetween val="midCat"/>
        <c:dispUnits/>
      </c:valAx>
      <c:valAx>
        <c:axId val="62663988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36788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'59.09 Gilbert'!#REF!</c:f>
              <c:strCache>
                <c:ptCount val="26"/>
                <c:pt idx="0">
                  <c:v>1983.759</c:v>
                </c:pt>
                <c:pt idx="1">
                  <c:v>1983.82</c:v>
                </c:pt>
                <c:pt idx="2">
                  <c:v>1984.225</c:v>
                </c:pt>
                <c:pt idx="3">
                  <c:v>1984.233</c:v>
                </c:pt>
                <c:pt idx="4">
                  <c:v>1984.244</c:v>
                </c:pt>
                <c:pt idx="5">
                  <c:v>1984.619</c:v>
                </c:pt>
                <c:pt idx="6">
                  <c:v>1985.079</c:v>
                </c:pt>
                <c:pt idx="7">
                  <c:v>1985.528</c:v>
                </c:pt>
                <c:pt idx="8">
                  <c:v>1986.4669999999999</c:v>
                </c:pt>
                <c:pt idx="9">
                  <c:v>1987.012</c:v>
                </c:pt>
                <c:pt idx="10">
                  <c:v>1988.036</c:v>
                </c:pt>
                <c:pt idx="11">
                  <c:v>1988.568</c:v>
                </c:pt>
                <c:pt idx="12">
                  <c:v>1989.847</c:v>
                </c:pt>
                <c:pt idx="13">
                  <c:v>1992.628</c:v>
                </c:pt>
                <c:pt idx="14">
                  <c:v>1992.885</c:v>
                </c:pt>
                <c:pt idx="15">
                  <c:v>1994.592</c:v>
                </c:pt>
                <c:pt idx="16">
                  <c:v>1995.644</c:v>
                </c:pt>
                <c:pt idx="17">
                  <c:v>1996.645</c:v>
                </c:pt>
                <c:pt idx="18">
                  <c:v>1998.679</c:v>
                </c:pt>
                <c:pt idx="19">
                  <c:v>1999.679</c:v>
                </c:pt>
                <c:pt idx="20">
                  <c:v>2000.844</c:v>
                </c:pt>
                <c:pt idx="21">
                  <c:v>2001.805</c:v>
                </c:pt>
                <c:pt idx="22">
                  <c:v>2002.848</c:v>
                </c:pt>
                <c:pt idx="23">
                  <c:v>2003.809</c:v>
                </c:pt>
                <c:pt idx="24">
                  <c:v>2004.811</c:v>
                </c:pt>
                <c:pt idx="25">
                  <c:v>2006.84</c:v>
                </c:pt>
              </c:strCache>
            </c:strRef>
          </c:xVal>
          <c:yVal>
            <c:numRef>
              <c:f>'59.09 Gilbert'!#REF!</c:f>
              <c:numCache>
                <c:ptCount val="26"/>
                <c:pt idx="0">
                  <c:v>0</c:v>
                </c:pt>
                <c:pt idx="1">
                  <c:v>0.33069271843837733</c:v>
                </c:pt>
                <c:pt idx="2">
                  <c:v>0.9507415654983029</c:v>
                </c:pt>
                <c:pt idx="3">
                  <c:v>1.4054440533135553</c:v>
                </c:pt>
                <c:pt idx="4">
                  <c:v>0.33069271843837733</c:v>
                </c:pt>
                <c:pt idx="5">
                  <c:v>-0</c:v>
                </c:pt>
                <c:pt idx="6">
                  <c:v>0.5373756674760134</c:v>
                </c:pt>
                <c:pt idx="7">
                  <c:v>1.5707904125079486</c:v>
                </c:pt>
                <c:pt idx="8">
                  <c:v>14.922508843529519</c:v>
                </c:pt>
                <c:pt idx="9">
                  <c:v>14.550479540847682</c:v>
                </c:pt>
                <c:pt idx="10">
                  <c:v>17.4</c:v>
                </c:pt>
                <c:pt idx="11">
                  <c:v>28.7</c:v>
                </c:pt>
                <c:pt idx="12">
                  <c:v>28.7</c:v>
                </c:pt>
                <c:pt idx="13">
                  <c:v>27.5</c:v>
                </c:pt>
                <c:pt idx="14">
                  <c:v>30.6</c:v>
                </c:pt>
                <c:pt idx="15">
                  <c:v>42.7</c:v>
                </c:pt>
                <c:pt idx="16">
                  <c:v>54.3</c:v>
                </c:pt>
                <c:pt idx="17">
                  <c:v>58.9</c:v>
                </c:pt>
                <c:pt idx="18">
                  <c:v>67.4</c:v>
                </c:pt>
                <c:pt idx="19">
                  <c:v>76.2</c:v>
                </c:pt>
                <c:pt idx="20">
                  <c:v>86.6</c:v>
                </c:pt>
                <c:pt idx="21">
                  <c:v>87.19999999999999</c:v>
                </c:pt>
                <c:pt idx="22">
                  <c:v>93.89999999999999</c:v>
                </c:pt>
                <c:pt idx="23">
                  <c:v>105.39999999999999</c:v>
                </c:pt>
                <c:pt idx="24">
                  <c:v>104.89999999999999</c:v>
                </c:pt>
                <c:pt idx="25">
                  <c:v>116.19999999999999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'59.09 Gilbert'!#REF!</c:f>
              <c:strCache>
                <c:ptCount val="26"/>
                <c:pt idx="0">
                  <c:v>1983.759</c:v>
                </c:pt>
                <c:pt idx="1">
                  <c:v>1983.82</c:v>
                </c:pt>
                <c:pt idx="2">
                  <c:v>1984.225</c:v>
                </c:pt>
                <c:pt idx="3">
                  <c:v>1984.233</c:v>
                </c:pt>
                <c:pt idx="4">
                  <c:v>1984.244</c:v>
                </c:pt>
                <c:pt idx="5">
                  <c:v>1984.619</c:v>
                </c:pt>
                <c:pt idx="6">
                  <c:v>1985.079</c:v>
                </c:pt>
                <c:pt idx="7">
                  <c:v>1985.528</c:v>
                </c:pt>
                <c:pt idx="8">
                  <c:v>1986.4669999999999</c:v>
                </c:pt>
                <c:pt idx="9">
                  <c:v>1987.012</c:v>
                </c:pt>
                <c:pt idx="10">
                  <c:v>1988.036</c:v>
                </c:pt>
                <c:pt idx="11">
                  <c:v>1988.568</c:v>
                </c:pt>
                <c:pt idx="12">
                  <c:v>1989.847</c:v>
                </c:pt>
                <c:pt idx="13">
                  <c:v>1992.628</c:v>
                </c:pt>
                <c:pt idx="14">
                  <c:v>1992.885</c:v>
                </c:pt>
                <c:pt idx="15">
                  <c:v>1994.592</c:v>
                </c:pt>
                <c:pt idx="16">
                  <c:v>1995.644</c:v>
                </c:pt>
                <c:pt idx="17">
                  <c:v>1996.645</c:v>
                </c:pt>
                <c:pt idx="18">
                  <c:v>1998.679</c:v>
                </c:pt>
                <c:pt idx="19">
                  <c:v>1999.679</c:v>
                </c:pt>
                <c:pt idx="20">
                  <c:v>2000.844</c:v>
                </c:pt>
                <c:pt idx="21">
                  <c:v>2001.805</c:v>
                </c:pt>
                <c:pt idx="22">
                  <c:v>2002.848</c:v>
                </c:pt>
                <c:pt idx="23">
                  <c:v>2003.809</c:v>
                </c:pt>
                <c:pt idx="24">
                  <c:v>2004.811</c:v>
                </c:pt>
                <c:pt idx="25">
                  <c:v>2006.84</c:v>
                </c:pt>
              </c:strCache>
            </c:strRef>
          </c:xVal>
          <c:yVal>
            <c:numRef>
              <c:f>'59.09 Gilbert'!#REF!</c:f>
              <c:numCache>
                <c:ptCount val="26"/>
                <c:pt idx="0">
                  <c:v>-3.7096157449028926</c:v>
                </c:pt>
                <c:pt idx="1">
                  <c:v>-3.4018002303350037</c:v>
                </c:pt>
                <c:pt idx="2">
                  <c:v>-1.3581070598407994</c:v>
                </c:pt>
                <c:pt idx="3">
                  <c:v>-1.3177378120283727</c:v>
                </c:pt>
                <c:pt idx="4">
                  <c:v>-1.2622300962867163</c:v>
                </c:pt>
                <c:pt idx="5">
                  <c:v>0.6300783949117484</c:v>
                </c:pt>
                <c:pt idx="6">
                  <c:v>2.951310144115382</c:v>
                </c:pt>
                <c:pt idx="7">
                  <c:v>5.21703417757736</c:v>
                </c:pt>
                <c:pt idx="8">
                  <c:v>9.955374639537563</c:v>
                </c:pt>
                <c:pt idx="9">
                  <c:v>12.705529646746365</c:v>
                </c:pt>
                <c:pt idx="10">
                  <c:v>17.872793366712884</c:v>
                </c:pt>
                <c:pt idx="11">
                  <c:v>20.557348346226064</c:v>
                </c:pt>
                <c:pt idx="12">
                  <c:v>27.011381840206944</c:v>
                </c:pt>
                <c:pt idx="13">
                  <c:v>41.0447416109345</c:v>
                </c:pt>
                <c:pt idx="14">
                  <c:v>42.34160369690283</c:v>
                </c:pt>
                <c:pt idx="15">
                  <c:v>50.95539194883878</c:v>
                </c:pt>
                <c:pt idx="16">
                  <c:v>56.26394803614707</c:v>
                </c:pt>
                <c:pt idx="17">
                  <c:v>61.31515016865272</c:v>
                </c:pt>
                <c:pt idx="18">
                  <c:v>71.57903142491372</c:v>
                </c:pt>
                <c:pt idx="19">
                  <c:v>76.62518740144297</c:v>
                </c:pt>
                <c:pt idx="20">
                  <c:v>82.50395911409935</c:v>
                </c:pt>
                <c:pt idx="21">
                  <c:v>87.35331500754401</c:v>
                </c:pt>
                <c:pt idx="22">
                  <c:v>92.61645569106346</c:v>
                </c:pt>
                <c:pt idx="23">
                  <c:v>97.46581158450813</c:v>
                </c:pt>
                <c:pt idx="24">
                  <c:v>102.52205987299018</c:v>
                </c:pt>
                <c:pt idx="25">
                  <c:v>112.760710349368</c:v>
                </c:pt>
              </c:numCache>
            </c:numRef>
          </c:yVal>
          <c:smooth val="0"/>
        </c:ser>
        <c:axId val="27104981"/>
        <c:axId val="42618238"/>
      </c:scatterChart>
      <c:valAx>
        <c:axId val="27104981"/>
        <c:scaling>
          <c:orientation val="minMax"/>
          <c:max val="2007"/>
          <c:min val="1983"/>
        </c:scaling>
        <c:axPos val="b"/>
        <c:delete val="0"/>
        <c:numFmt formatCode="0" sourceLinked="0"/>
        <c:majorTickMark val="cross"/>
        <c:minorTickMark val="in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2618238"/>
        <c:crosses val="autoZero"/>
        <c:crossBetween val="midCat"/>
        <c:dispUnits/>
      </c:valAx>
      <c:valAx>
        <c:axId val="42618238"/>
        <c:scaling>
          <c:orientation val="minMax"/>
          <c:max val="120"/>
          <c:min val="-20"/>
        </c:scaling>
        <c:axPos val="l"/>
        <c:delete val="0"/>
        <c:numFmt formatCode="0" sourceLinked="0"/>
        <c:majorTickMark val="cross"/>
        <c:minorTickMark val="in"/>
        <c:tickLblPos val="nextTo"/>
        <c:spPr>
          <a:ln w="3175">
            <a:solidFill/>
          </a:ln>
        </c:spPr>
        <c:crossAx val="27104981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'62.64 Hancock'!$D$5:$D$17</c:f>
              <c:numCache>
                <c:ptCount val="13"/>
                <c:pt idx="0">
                  <c:v>1982.041</c:v>
                </c:pt>
                <c:pt idx="1">
                  <c:v>1994.627</c:v>
                </c:pt>
                <c:pt idx="2">
                  <c:v>1996.645</c:v>
                </c:pt>
                <c:pt idx="3">
                  <c:v>1997.644</c:v>
                </c:pt>
                <c:pt idx="4">
                  <c:v>1998.682</c:v>
                </c:pt>
                <c:pt idx="5">
                  <c:v>1999.679</c:v>
                </c:pt>
                <c:pt idx="6">
                  <c:v>2000.844</c:v>
                </c:pt>
                <c:pt idx="7">
                  <c:v>2001.821</c:v>
                </c:pt>
                <c:pt idx="8">
                  <c:v>2002.856</c:v>
                </c:pt>
                <c:pt idx="9">
                  <c:v>2003.814</c:v>
                </c:pt>
                <c:pt idx="10">
                  <c:v>2004.83</c:v>
                </c:pt>
                <c:pt idx="11">
                  <c:v>2005.777</c:v>
                </c:pt>
                <c:pt idx="12">
                  <c:v>2006.8419999999999</c:v>
                </c:pt>
              </c:numCache>
            </c:numRef>
          </c:xVal>
          <c:yVal>
            <c:numRef>
              <c:f>'62.64 Hancock'!$A$5:$A$17</c:f>
              <c:numCache>
                <c:ptCount val="13"/>
                <c:pt idx="0">
                  <c:v>0</c:v>
                </c:pt>
                <c:pt idx="1">
                  <c:v>61.6</c:v>
                </c:pt>
                <c:pt idx="2">
                  <c:v>73</c:v>
                </c:pt>
                <c:pt idx="3">
                  <c:v>81.7</c:v>
                </c:pt>
                <c:pt idx="4">
                  <c:v>83.8</c:v>
                </c:pt>
                <c:pt idx="5">
                  <c:v>88.1</c:v>
                </c:pt>
                <c:pt idx="6">
                  <c:v>98.1</c:v>
                </c:pt>
                <c:pt idx="7">
                  <c:v>103.8</c:v>
                </c:pt>
                <c:pt idx="8">
                  <c:v>110.6</c:v>
                </c:pt>
                <c:pt idx="9">
                  <c:v>117.89999999999999</c:v>
                </c:pt>
                <c:pt idx="10">
                  <c:v>124.19999999999999</c:v>
                </c:pt>
                <c:pt idx="11">
                  <c:v>131</c:v>
                </c:pt>
                <c:pt idx="12">
                  <c:v>141.4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'62.64 Hancock'!$D$5:$D$17</c:f>
              <c:numCache>
                <c:ptCount val="13"/>
                <c:pt idx="0">
                  <c:v>1982.041</c:v>
                </c:pt>
                <c:pt idx="1">
                  <c:v>1994.627</c:v>
                </c:pt>
                <c:pt idx="2">
                  <c:v>1996.645</c:v>
                </c:pt>
                <c:pt idx="3">
                  <c:v>1997.644</c:v>
                </c:pt>
                <c:pt idx="4">
                  <c:v>1998.682</c:v>
                </c:pt>
                <c:pt idx="5">
                  <c:v>1999.679</c:v>
                </c:pt>
                <c:pt idx="6">
                  <c:v>2000.844</c:v>
                </c:pt>
                <c:pt idx="7">
                  <c:v>2001.821</c:v>
                </c:pt>
                <c:pt idx="8">
                  <c:v>2002.856</c:v>
                </c:pt>
                <c:pt idx="9">
                  <c:v>2003.814</c:v>
                </c:pt>
                <c:pt idx="10">
                  <c:v>2004.83</c:v>
                </c:pt>
                <c:pt idx="11">
                  <c:v>2005.777</c:v>
                </c:pt>
                <c:pt idx="12">
                  <c:v>2006.8419999999999</c:v>
                </c:pt>
              </c:numCache>
            </c:numRef>
          </c:xVal>
          <c:yVal>
            <c:numRef>
              <c:f>'62.64 Hancock'!#REF!</c:f>
              <c:numCache>
                <c:ptCount val="13"/>
                <c:pt idx="0">
                  <c:v>-6.252377111185848</c:v>
                </c:pt>
                <c:pt idx="1">
                  <c:v>64.82650827045268</c:v>
                </c:pt>
                <c:pt idx="2">
                  <c:v>76.22307514635833</c:v>
                </c:pt>
                <c:pt idx="3">
                  <c:v>81.86488402100146</c:v>
                </c:pt>
                <c:pt idx="4">
                  <c:v>87.72694369255251</c:v>
                </c:pt>
                <c:pt idx="5">
                  <c:v>93.35745765453396</c:v>
                </c:pt>
                <c:pt idx="6">
                  <c:v>99.93674428011843</c:v>
                </c:pt>
                <c:pt idx="7">
                  <c:v>105.45430911547923</c:v>
                </c:pt>
                <c:pt idx="8">
                  <c:v>111.29942641803775</c:v>
                </c:pt>
                <c:pt idx="9">
                  <c:v>116.7096895831113</c:v>
                </c:pt>
                <c:pt idx="10">
                  <c:v>122.44750521538</c:v>
                </c:pt>
                <c:pt idx="11">
                  <c:v>127.79564636081302</c:v>
                </c:pt>
                <c:pt idx="12">
                  <c:v>133.8101873532993</c:v>
                </c:pt>
              </c:numCache>
            </c:numRef>
          </c:yVal>
          <c:smooth val="0"/>
        </c:ser>
        <c:axId val="48019823"/>
        <c:axId val="29525224"/>
      </c:scatterChart>
      <c:valAx>
        <c:axId val="48019823"/>
        <c:scaling>
          <c:orientation val="minMax"/>
          <c:max val="2007"/>
          <c:min val="1982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9525224"/>
        <c:crosses val="autoZero"/>
        <c:crossBetween val="midCat"/>
        <c:dispUnits/>
      </c:valAx>
      <c:valAx>
        <c:axId val="29525224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019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'63.10 Union'!$D$5:$D$21</c:f>
              <c:numCache>
                <c:ptCount val="17"/>
                <c:pt idx="0">
                  <c:v>1993.019</c:v>
                </c:pt>
                <c:pt idx="1">
                  <c:v>1993.888</c:v>
                </c:pt>
                <c:pt idx="2">
                  <c:v>1994.592</c:v>
                </c:pt>
                <c:pt idx="3">
                  <c:v>1995.647</c:v>
                </c:pt>
                <c:pt idx="4">
                  <c:v>1996.15</c:v>
                </c:pt>
                <c:pt idx="5">
                  <c:v>1996.21</c:v>
                </c:pt>
                <c:pt idx="6">
                  <c:v>1996.648</c:v>
                </c:pt>
                <c:pt idx="7">
                  <c:v>1997.647</c:v>
                </c:pt>
                <c:pt idx="8">
                  <c:v>1998.682</c:v>
                </c:pt>
                <c:pt idx="9">
                  <c:v>1999.679</c:v>
                </c:pt>
                <c:pt idx="10">
                  <c:v>2000.844</c:v>
                </c:pt>
                <c:pt idx="11">
                  <c:v>2001.818</c:v>
                </c:pt>
                <c:pt idx="12">
                  <c:v>2002.856</c:v>
                </c:pt>
                <c:pt idx="13">
                  <c:v>2003.814</c:v>
                </c:pt>
                <c:pt idx="14">
                  <c:v>2004.83</c:v>
                </c:pt>
                <c:pt idx="15">
                  <c:v>2005.777</c:v>
                </c:pt>
                <c:pt idx="16">
                  <c:v>2006.8419999999999</c:v>
                </c:pt>
              </c:numCache>
            </c:numRef>
          </c:xVal>
          <c:yVal>
            <c:numRef>
              <c:f>'63.10 Union'!$A$5:$A$21</c:f>
              <c:numCache>
                <c:ptCount val="17"/>
                <c:pt idx="0">
                  <c:v>0</c:v>
                </c:pt>
                <c:pt idx="1">
                  <c:v>4.8</c:v>
                </c:pt>
                <c:pt idx="2">
                  <c:v>9.4</c:v>
                </c:pt>
                <c:pt idx="3">
                  <c:v>16.7</c:v>
                </c:pt>
                <c:pt idx="4">
                  <c:v>20.7</c:v>
                </c:pt>
                <c:pt idx="5">
                  <c:v>20.4</c:v>
                </c:pt>
                <c:pt idx="6">
                  <c:v>20.3</c:v>
                </c:pt>
                <c:pt idx="7">
                  <c:v>36.6</c:v>
                </c:pt>
                <c:pt idx="8">
                  <c:v>42.5</c:v>
                </c:pt>
                <c:pt idx="9">
                  <c:v>43.4</c:v>
                </c:pt>
                <c:pt idx="10">
                  <c:v>52.8</c:v>
                </c:pt>
                <c:pt idx="11">
                  <c:v>60.5</c:v>
                </c:pt>
                <c:pt idx="12">
                  <c:v>70.3</c:v>
                </c:pt>
                <c:pt idx="13">
                  <c:v>73.6</c:v>
                </c:pt>
                <c:pt idx="14">
                  <c:v>80.19999999999999</c:v>
                </c:pt>
                <c:pt idx="15">
                  <c:v>85.6</c:v>
                </c:pt>
                <c:pt idx="16">
                  <c:v>94.5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'63.10 Union'!$D$5:$D$21</c:f>
              <c:numCache>
                <c:ptCount val="17"/>
                <c:pt idx="0">
                  <c:v>1993.019</c:v>
                </c:pt>
                <c:pt idx="1">
                  <c:v>1993.888</c:v>
                </c:pt>
                <c:pt idx="2">
                  <c:v>1994.592</c:v>
                </c:pt>
                <c:pt idx="3">
                  <c:v>1995.647</c:v>
                </c:pt>
                <c:pt idx="4">
                  <c:v>1996.15</c:v>
                </c:pt>
                <c:pt idx="5">
                  <c:v>1996.21</c:v>
                </c:pt>
                <c:pt idx="6">
                  <c:v>1996.648</c:v>
                </c:pt>
                <c:pt idx="7">
                  <c:v>1997.647</c:v>
                </c:pt>
                <c:pt idx="8">
                  <c:v>1998.682</c:v>
                </c:pt>
                <c:pt idx="9">
                  <c:v>1999.679</c:v>
                </c:pt>
                <c:pt idx="10">
                  <c:v>2000.844</c:v>
                </c:pt>
                <c:pt idx="11">
                  <c:v>2001.818</c:v>
                </c:pt>
                <c:pt idx="12">
                  <c:v>2002.856</c:v>
                </c:pt>
                <c:pt idx="13">
                  <c:v>2003.814</c:v>
                </c:pt>
                <c:pt idx="14">
                  <c:v>2004.83</c:v>
                </c:pt>
                <c:pt idx="15">
                  <c:v>2005.777</c:v>
                </c:pt>
                <c:pt idx="16">
                  <c:v>2006.8419999999999</c:v>
                </c:pt>
              </c:numCache>
            </c:numRef>
          </c:xVal>
          <c:yVal>
            <c:numRef>
              <c:f>'63.10 Union'!#REF!</c:f>
              <c:numCache>
                <c:ptCount val="17"/>
                <c:pt idx="0">
                  <c:v>-0.6335133775308629</c:v>
                </c:pt>
                <c:pt idx="1">
                  <c:v>5.366557177442352</c:v>
                </c:pt>
                <c:pt idx="2">
                  <c:v>10.22737382957426</c:v>
                </c:pt>
                <c:pt idx="3">
                  <c:v>17.511694238661004</c:v>
                </c:pt>
                <c:pt idx="4">
                  <c:v>20.98469250005659</c:v>
                </c:pt>
                <c:pt idx="5">
                  <c:v>21.398966646544622</c:v>
                </c:pt>
                <c:pt idx="6">
                  <c:v>24.423167915909147</c:v>
                </c:pt>
                <c:pt idx="7">
                  <c:v>31.32083245494134</c:v>
                </c:pt>
                <c:pt idx="8">
                  <c:v>38.46706148186698</c:v>
                </c:pt>
                <c:pt idx="9">
                  <c:v>45.35091688268321</c:v>
                </c:pt>
                <c:pt idx="10">
                  <c:v>53.394739893666255</c:v>
                </c:pt>
                <c:pt idx="11">
                  <c:v>60.11979020499431</c:v>
                </c:pt>
                <c:pt idx="12">
                  <c:v>67.28673293924388</c:v>
                </c:pt>
                <c:pt idx="13">
                  <c:v>73.90131014484274</c:v>
                </c:pt>
                <c:pt idx="14">
                  <c:v>80.9163523587121</c:v>
                </c:pt>
                <c:pt idx="15">
                  <c:v>87.45497930412165</c:v>
                </c:pt>
                <c:pt idx="16">
                  <c:v>94.80834540428972</c:v>
                </c:pt>
              </c:numCache>
            </c:numRef>
          </c:yVal>
          <c:smooth val="0"/>
        </c:ser>
        <c:axId val="64400425"/>
        <c:axId val="42732914"/>
      </c:scatterChart>
      <c:valAx>
        <c:axId val="6440042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42732914"/>
        <c:crosses val="autoZero"/>
        <c:crossBetween val="midCat"/>
        <c:dispUnits/>
      </c:valAx>
      <c:valAx>
        <c:axId val="42732914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64400425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'65.29 Pine'!$D$5:$D$22</c:f>
              <c:numCache>
                <c:ptCount val="18"/>
                <c:pt idx="0">
                  <c:v>1989.216</c:v>
                </c:pt>
                <c:pt idx="1">
                  <c:v>1993.022</c:v>
                </c:pt>
                <c:pt idx="2">
                  <c:v>1993.888</c:v>
                </c:pt>
                <c:pt idx="3">
                  <c:v>1994.592</c:v>
                </c:pt>
                <c:pt idx="4">
                  <c:v>1995.652</c:v>
                </c:pt>
                <c:pt idx="5">
                  <c:v>1996.15</c:v>
                </c:pt>
                <c:pt idx="6">
                  <c:v>1996.191</c:v>
                </c:pt>
                <c:pt idx="7">
                  <c:v>1996.642</c:v>
                </c:pt>
                <c:pt idx="8">
                  <c:v>1997.647</c:v>
                </c:pt>
                <c:pt idx="9">
                  <c:v>1998.682</c:v>
                </c:pt>
                <c:pt idx="10">
                  <c:v>1999.696</c:v>
                </c:pt>
                <c:pt idx="11">
                  <c:v>2000.863</c:v>
                </c:pt>
                <c:pt idx="12">
                  <c:v>2001.821</c:v>
                </c:pt>
                <c:pt idx="13">
                  <c:v>2002.856</c:v>
                </c:pt>
                <c:pt idx="14">
                  <c:v>2003.809</c:v>
                </c:pt>
                <c:pt idx="15">
                  <c:v>2004.83</c:v>
                </c:pt>
                <c:pt idx="16">
                  <c:v>2005.777</c:v>
                </c:pt>
                <c:pt idx="17">
                  <c:v>2006.845</c:v>
                </c:pt>
              </c:numCache>
            </c:numRef>
          </c:xVal>
          <c:yVal>
            <c:numRef>
              <c:f>'65.29 Pine'!$A$5:$A$22</c:f>
              <c:numCache>
                <c:ptCount val="18"/>
                <c:pt idx="0">
                  <c:v>0</c:v>
                </c:pt>
                <c:pt idx="1">
                  <c:v>19</c:v>
                </c:pt>
                <c:pt idx="2">
                  <c:v>19.2</c:v>
                </c:pt>
                <c:pt idx="3">
                  <c:v>20.6</c:v>
                </c:pt>
                <c:pt idx="4">
                  <c:v>25.4</c:v>
                </c:pt>
                <c:pt idx="5">
                  <c:v>39.1</c:v>
                </c:pt>
                <c:pt idx="6">
                  <c:v>40.9</c:v>
                </c:pt>
                <c:pt idx="7">
                  <c:v>41.9</c:v>
                </c:pt>
                <c:pt idx="8">
                  <c:v>44.9</c:v>
                </c:pt>
                <c:pt idx="9">
                  <c:v>45.1</c:v>
                </c:pt>
                <c:pt idx="10">
                  <c:v>49.4</c:v>
                </c:pt>
                <c:pt idx="11">
                  <c:v>58.6</c:v>
                </c:pt>
                <c:pt idx="12">
                  <c:v>67.2</c:v>
                </c:pt>
                <c:pt idx="13">
                  <c:v>73.60000000000001</c:v>
                </c:pt>
                <c:pt idx="14">
                  <c:v>82.30000000000001</c:v>
                </c:pt>
                <c:pt idx="15">
                  <c:v>86.50000000000001</c:v>
                </c:pt>
                <c:pt idx="16">
                  <c:v>94.50000000000001</c:v>
                </c:pt>
                <c:pt idx="17">
                  <c:v>101.80000000000001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'65.29 Pine'!$D$5:$D$22</c:f>
              <c:numCache>
                <c:ptCount val="18"/>
                <c:pt idx="0">
                  <c:v>1989.216</c:v>
                </c:pt>
                <c:pt idx="1">
                  <c:v>1993.022</c:v>
                </c:pt>
                <c:pt idx="2">
                  <c:v>1993.888</c:v>
                </c:pt>
                <c:pt idx="3">
                  <c:v>1994.592</c:v>
                </c:pt>
                <c:pt idx="4">
                  <c:v>1995.652</c:v>
                </c:pt>
                <c:pt idx="5">
                  <c:v>1996.15</c:v>
                </c:pt>
                <c:pt idx="6">
                  <c:v>1996.191</c:v>
                </c:pt>
                <c:pt idx="7">
                  <c:v>1996.642</c:v>
                </c:pt>
                <c:pt idx="8">
                  <c:v>1997.647</c:v>
                </c:pt>
                <c:pt idx="9">
                  <c:v>1998.682</c:v>
                </c:pt>
                <c:pt idx="10">
                  <c:v>1999.696</c:v>
                </c:pt>
                <c:pt idx="11">
                  <c:v>2000.863</c:v>
                </c:pt>
                <c:pt idx="12">
                  <c:v>2001.821</c:v>
                </c:pt>
                <c:pt idx="13">
                  <c:v>2002.856</c:v>
                </c:pt>
                <c:pt idx="14">
                  <c:v>2003.809</c:v>
                </c:pt>
                <c:pt idx="15">
                  <c:v>2004.83</c:v>
                </c:pt>
                <c:pt idx="16">
                  <c:v>2005.777</c:v>
                </c:pt>
                <c:pt idx="17">
                  <c:v>2006.845</c:v>
                </c:pt>
              </c:numCache>
            </c:numRef>
          </c:xVal>
          <c:yVal>
            <c:numRef>
              <c:f>'65.29 Pine'!#REF!</c:f>
              <c:numCache>
                <c:ptCount val="18"/>
                <c:pt idx="0">
                  <c:v>-5.629070367606687</c:v>
                </c:pt>
                <c:pt idx="1">
                  <c:v>16.711599503390723</c:v>
                </c:pt>
                <c:pt idx="2">
                  <c:v>21.79489432952925</c:v>
                </c:pt>
                <c:pt idx="3">
                  <c:v>25.927272571564455</c:v>
                </c:pt>
                <c:pt idx="4">
                  <c:v>32.14931935644511</c:v>
                </c:pt>
                <c:pt idx="5">
                  <c:v>35.07250737424796</c:v>
                </c:pt>
                <c:pt idx="6">
                  <c:v>35.31317144800244</c:v>
                </c:pt>
                <c:pt idx="7">
                  <c:v>37.9604762593057</c:v>
                </c:pt>
                <c:pt idx="8">
                  <c:v>43.85968099402707</c:v>
                </c:pt>
                <c:pt idx="9">
                  <c:v>49.93498139247266</c:v>
                </c:pt>
                <c:pt idx="10">
                  <c:v>55.887014826311024</c:v>
                </c:pt>
                <c:pt idx="11">
                  <c:v>62.73713614513838</c:v>
                </c:pt>
                <c:pt idx="12">
                  <c:v>68.36045767336016</c:v>
                </c:pt>
                <c:pt idx="13">
                  <c:v>74.43575807180574</c:v>
                </c:pt>
                <c:pt idx="14">
                  <c:v>80.02973032274105</c:v>
                </c:pt>
                <c:pt idx="15">
                  <c:v>86.02285274478182</c:v>
                </c:pt>
                <c:pt idx="16">
                  <c:v>91.58160586297333</c:v>
                </c:pt>
                <c:pt idx="17">
                  <c:v>97.85061149151369</c:v>
                </c:pt>
              </c:numCache>
            </c:numRef>
          </c:yVal>
          <c:smooth val="0"/>
        </c:ser>
        <c:axId val="49051907"/>
        <c:axId val="38813980"/>
      </c:scatterChart>
      <c:valAx>
        <c:axId val="49051907"/>
        <c:scaling>
          <c:orientation val="minMax"/>
          <c:max val="2007"/>
          <c:min val="1989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813980"/>
        <c:crosses val="autoZero"/>
        <c:crossBetween val="midCat"/>
        <c:dispUnits/>
      </c:valAx>
      <c:valAx>
        <c:axId val="38813980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49051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'65.29 Pine'!$D$15:$D$22</c:f>
              <c:numCache>
                <c:ptCount val="8"/>
                <c:pt idx="0">
                  <c:v>1999.696</c:v>
                </c:pt>
                <c:pt idx="1">
                  <c:v>2000.863</c:v>
                </c:pt>
                <c:pt idx="2">
                  <c:v>2001.821</c:v>
                </c:pt>
                <c:pt idx="3">
                  <c:v>2002.856</c:v>
                </c:pt>
                <c:pt idx="4">
                  <c:v>2003.809</c:v>
                </c:pt>
                <c:pt idx="5">
                  <c:v>2004.83</c:v>
                </c:pt>
                <c:pt idx="6">
                  <c:v>2005.777</c:v>
                </c:pt>
                <c:pt idx="7">
                  <c:v>2006.845</c:v>
                </c:pt>
              </c:numCache>
            </c:numRef>
          </c:xVal>
          <c:yVal>
            <c:numRef>
              <c:f>'65.29 Pine'!$A$15:$A$22</c:f>
              <c:numCache>
                <c:ptCount val="8"/>
                <c:pt idx="0">
                  <c:v>49.4</c:v>
                </c:pt>
                <c:pt idx="1">
                  <c:v>58.6</c:v>
                </c:pt>
                <c:pt idx="2">
                  <c:v>67.2</c:v>
                </c:pt>
                <c:pt idx="3">
                  <c:v>73.60000000000001</c:v>
                </c:pt>
                <c:pt idx="4">
                  <c:v>82.30000000000001</c:v>
                </c:pt>
                <c:pt idx="5">
                  <c:v>86.50000000000001</c:v>
                </c:pt>
                <c:pt idx="6">
                  <c:v>94.50000000000001</c:v>
                </c:pt>
                <c:pt idx="7">
                  <c:v>101.80000000000001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'65.29 Pine'!$D$15:$D$22</c:f>
              <c:numCache>
                <c:ptCount val="8"/>
                <c:pt idx="0">
                  <c:v>1999.696</c:v>
                </c:pt>
                <c:pt idx="1">
                  <c:v>2000.863</c:v>
                </c:pt>
                <c:pt idx="2">
                  <c:v>2001.821</c:v>
                </c:pt>
                <c:pt idx="3">
                  <c:v>2002.856</c:v>
                </c:pt>
                <c:pt idx="4">
                  <c:v>2003.809</c:v>
                </c:pt>
                <c:pt idx="5">
                  <c:v>2004.83</c:v>
                </c:pt>
                <c:pt idx="6">
                  <c:v>2005.777</c:v>
                </c:pt>
                <c:pt idx="7">
                  <c:v>2006.845</c:v>
                </c:pt>
              </c:numCache>
            </c:numRef>
          </c:xVal>
          <c:yVal>
            <c:numRef>
              <c:f>'65.29 Pine'!#REF!</c:f>
              <c:numCache>
                <c:ptCount val="8"/>
                <c:pt idx="0">
                  <c:v>50.53016693465536</c:v>
                </c:pt>
                <c:pt idx="1">
                  <c:v>58.9878274655448</c:v>
                </c:pt>
                <c:pt idx="2">
                  <c:v>65.93079129467064</c:v>
                </c:pt>
                <c:pt idx="3">
                  <c:v>73.43180127707868</c:v>
                </c:pt>
                <c:pt idx="4">
                  <c:v>80.33852834300535</c:v>
                </c:pt>
                <c:pt idx="5">
                  <c:v>87.73807538845239</c:v>
                </c:pt>
                <c:pt idx="6">
                  <c:v>94.60131833854004</c:v>
                </c:pt>
                <c:pt idx="7">
                  <c:v>102.34149095806761</c:v>
                </c:pt>
              </c:numCache>
            </c:numRef>
          </c:yVal>
          <c:smooth val="0"/>
        </c:ser>
        <c:axId val="13781501"/>
        <c:axId val="56924646"/>
      </c:scatterChart>
      <c:valAx>
        <c:axId val="1378150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924646"/>
        <c:crosses val="autoZero"/>
        <c:crossBetween val="midCat"/>
        <c:dispUnits/>
      </c:valAx>
      <c:valAx>
        <c:axId val="5692464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781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0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'67.02 S. Grimmer'!$C$6:$C$20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'67.02 S. Grimmer'!$A$6:$A$20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'67.02 S. Grimmer'!$C$6:$C$20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'67.02 S. Grimmer'!#REF!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559767"/>
        <c:axId val="47493584"/>
      </c:scatterChart>
      <c:valAx>
        <c:axId val="4255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25" b="1" i="0" u="none" baseline="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93584"/>
        <c:crosses val="autoZero"/>
        <c:crossBetween val="midCat"/>
        <c:dispUnits/>
      </c:valAx>
      <c:valAx>
        <c:axId val="4749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59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'67.02 S. Grimmer'!#REF!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'67.02 S. Grimmer'!#REF!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789073"/>
        <c:axId val="21775066"/>
      </c:scatterChart>
      <c:valAx>
        <c:axId val="247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75066"/>
        <c:crosses val="autoZero"/>
        <c:crossBetween val="midCat"/>
        <c:dispUnits/>
      </c:valAx>
      <c:valAx>
        <c:axId val="21775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789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'67.02 S. Grimmer'!$C$5:$C$20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'67.02 S. Grimmer'!$A$5:$A$20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'67.02 S. Grimmer'!$C$5:$C$20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'67.02 S. Grimmer'!#REF!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757867"/>
        <c:axId val="18949892"/>
      </c:scatterChart>
      <c:valAx>
        <c:axId val="6175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25" b="1" i="0" u="none" baseline="0"/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49892"/>
        <c:crosses val="autoZero"/>
        <c:crossBetween val="midCat"/>
        <c:dispUnits/>
      </c:valAx>
      <c:valAx>
        <c:axId val="1894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7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'67.02 S. Grimmer'!$D$5:$D$20</c:f>
              <c:numCache>
                <c:ptCount val="16"/>
                <c:pt idx="0">
                  <c:v>1982.46</c:v>
                </c:pt>
                <c:pt idx="1">
                  <c:v>1993.438</c:v>
                </c:pt>
                <c:pt idx="2">
                  <c:v>1994.627</c:v>
                </c:pt>
                <c:pt idx="3">
                  <c:v>1996.15</c:v>
                </c:pt>
                <c:pt idx="4">
                  <c:v>1996.21</c:v>
                </c:pt>
                <c:pt idx="5">
                  <c:v>1996.648</c:v>
                </c:pt>
                <c:pt idx="6">
                  <c:v>1997.647</c:v>
                </c:pt>
                <c:pt idx="7">
                  <c:v>1998.685</c:v>
                </c:pt>
                <c:pt idx="8">
                  <c:v>1999.699</c:v>
                </c:pt>
                <c:pt idx="9">
                  <c:v>2000.863</c:v>
                </c:pt>
                <c:pt idx="10">
                  <c:v>2001.824</c:v>
                </c:pt>
                <c:pt idx="11">
                  <c:v>2002.859</c:v>
                </c:pt>
                <c:pt idx="12">
                  <c:v>2003.817</c:v>
                </c:pt>
                <c:pt idx="13">
                  <c:v>2004.814</c:v>
                </c:pt>
                <c:pt idx="14">
                  <c:v>2005.788</c:v>
                </c:pt>
                <c:pt idx="15">
                  <c:v>2006.845</c:v>
                </c:pt>
              </c:numCache>
            </c:numRef>
          </c:xVal>
          <c:yVal>
            <c:numRef>
              <c:f>'67.02 S. Grimmer'!$A$5:$A$20</c:f>
              <c:numCache>
                <c:ptCount val="16"/>
                <c:pt idx="0">
                  <c:v>0</c:v>
                </c:pt>
                <c:pt idx="1">
                  <c:v>77.7</c:v>
                </c:pt>
                <c:pt idx="2">
                  <c:v>76.2</c:v>
                </c:pt>
                <c:pt idx="3">
                  <c:v>103.4</c:v>
                </c:pt>
                <c:pt idx="4">
                  <c:v>105.8</c:v>
                </c:pt>
                <c:pt idx="5">
                  <c:v>104.1</c:v>
                </c:pt>
                <c:pt idx="6">
                  <c:v>106.7</c:v>
                </c:pt>
                <c:pt idx="7">
                  <c:v>106.8</c:v>
                </c:pt>
                <c:pt idx="8">
                  <c:v>109.7</c:v>
                </c:pt>
                <c:pt idx="9">
                  <c:v>117.8</c:v>
                </c:pt>
                <c:pt idx="10">
                  <c:v>120.3</c:v>
                </c:pt>
                <c:pt idx="11">
                  <c:v>126.8</c:v>
                </c:pt>
                <c:pt idx="12">
                  <c:v>131.8</c:v>
                </c:pt>
                <c:pt idx="13">
                  <c:v>141.2</c:v>
                </c:pt>
                <c:pt idx="14">
                  <c:v>144.7</c:v>
                </c:pt>
                <c:pt idx="15">
                  <c:v>154.1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'67.02 S. Grimmer'!$D$5:$D$20</c:f>
              <c:numCache>
                <c:ptCount val="16"/>
                <c:pt idx="0">
                  <c:v>1982.46</c:v>
                </c:pt>
                <c:pt idx="1">
                  <c:v>1993.438</c:v>
                </c:pt>
                <c:pt idx="2">
                  <c:v>1994.627</c:v>
                </c:pt>
                <c:pt idx="3">
                  <c:v>1996.15</c:v>
                </c:pt>
                <c:pt idx="4">
                  <c:v>1996.21</c:v>
                </c:pt>
                <c:pt idx="5">
                  <c:v>1996.648</c:v>
                </c:pt>
                <c:pt idx="6">
                  <c:v>1997.647</c:v>
                </c:pt>
                <c:pt idx="7">
                  <c:v>1998.685</c:v>
                </c:pt>
                <c:pt idx="8">
                  <c:v>1999.699</c:v>
                </c:pt>
                <c:pt idx="9">
                  <c:v>2000.863</c:v>
                </c:pt>
                <c:pt idx="10">
                  <c:v>2001.824</c:v>
                </c:pt>
                <c:pt idx="11">
                  <c:v>2002.859</c:v>
                </c:pt>
                <c:pt idx="12">
                  <c:v>2003.817</c:v>
                </c:pt>
                <c:pt idx="13">
                  <c:v>2004.814</c:v>
                </c:pt>
                <c:pt idx="14">
                  <c:v>2005.788</c:v>
                </c:pt>
                <c:pt idx="15">
                  <c:v>2006.845</c:v>
                </c:pt>
              </c:numCache>
            </c:numRef>
          </c:xVal>
          <c:yVal>
            <c:numRef>
              <c:f>'67.02 S. Grimmer'!#REF!</c:f>
              <c:numCache>
                <c:ptCount val="16"/>
                <c:pt idx="0">
                  <c:v>11.151047088480897</c:v>
                </c:pt>
                <c:pt idx="1">
                  <c:v>75.7918824850867</c:v>
                </c:pt>
                <c:pt idx="2">
                  <c:v>82.79297132518091</c:v>
                </c:pt>
                <c:pt idx="3">
                  <c:v>91.76072431379805</c:v>
                </c:pt>
                <c:pt idx="4">
                  <c:v>92.11401727460994</c:v>
                </c:pt>
                <c:pt idx="5">
                  <c:v>94.69305588853825</c:v>
                </c:pt>
                <c:pt idx="6">
                  <c:v>100.57538368606151</c:v>
                </c:pt>
                <c:pt idx="7">
                  <c:v>106.68735190811262</c:v>
                </c:pt>
                <c:pt idx="8">
                  <c:v>112.65800294583953</c:v>
                </c:pt>
                <c:pt idx="9">
                  <c:v>119.51188638559611</c:v>
                </c:pt>
                <c:pt idx="10">
                  <c:v>125.17046197460492</c:v>
                </c:pt>
                <c:pt idx="11">
                  <c:v>131.2647655486145</c:v>
                </c:pt>
                <c:pt idx="12">
                  <c:v>136.9056764895831</c:v>
                </c:pt>
                <c:pt idx="13">
                  <c:v>142.77622785507958</c:v>
                </c:pt>
                <c:pt idx="14">
                  <c:v>148.5113502522639</c:v>
                </c:pt>
                <c:pt idx="15">
                  <c:v>154.73519457857222</c:v>
                </c:pt>
              </c:numCache>
            </c:numRef>
          </c:yVal>
          <c:smooth val="0"/>
        </c:ser>
        <c:axId val="36331301"/>
        <c:axId val="58546254"/>
      </c:scatterChart>
      <c:valAx>
        <c:axId val="36331301"/>
        <c:scaling>
          <c:orientation val="minMax"/>
          <c:max val="2007"/>
          <c:min val="1982"/>
        </c:scaling>
        <c:axPos val="b"/>
        <c:delete val="0"/>
        <c:numFmt formatCode="0" sourceLinked="0"/>
        <c:majorTickMark val="in"/>
        <c:minorTickMark val="in"/>
        <c:tickLblPos val="low"/>
        <c:crossAx val="58546254"/>
        <c:crosses val="autoZero"/>
        <c:crossBetween val="midCat"/>
        <c:dispUnits/>
        <c:majorUnit val="5"/>
        <c:minorUnit val="5"/>
      </c:valAx>
      <c:valAx>
        <c:axId val="58546254"/>
        <c:scaling>
          <c:orientation val="minMax"/>
          <c:max val="160"/>
        </c:scaling>
        <c:axPos val="l"/>
        <c:delete val="0"/>
        <c:numFmt formatCode="0" sourceLinked="0"/>
        <c:majorTickMark val="in"/>
        <c:minorTickMark val="none"/>
        <c:tickLblPos val="nextTo"/>
        <c:crossAx val="36331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63489377"/>
        <c:axId val="34533482"/>
      </c:scatterChart>
      <c:valAx>
        <c:axId val="6348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33482"/>
        <c:crosses val="autoZero"/>
        <c:crossBetween val="midCat"/>
        <c:dispUnits/>
      </c:valAx>
      <c:valAx>
        <c:axId val="34533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893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'67.21 Onondaga'!$D$5:$D$17</c:f>
              <c:numCache>
                <c:ptCount val="13"/>
                <c:pt idx="0">
                  <c:v>1982.4</c:v>
                </c:pt>
                <c:pt idx="1">
                  <c:v>1994.627</c:v>
                </c:pt>
                <c:pt idx="2">
                  <c:v>1996.645</c:v>
                </c:pt>
                <c:pt idx="3">
                  <c:v>1997.644</c:v>
                </c:pt>
                <c:pt idx="4">
                  <c:v>1998.685</c:v>
                </c:pt>
                <c:pt idx="5">
                  <c:v>1999.699</c:v>
                </c:pt>
                <c:pt idx="6">
                  <c:v>2000.863</c:v>
                </c:pt>
                <c:pt idx="7">
                  <c:v>2001.824</c:v>
                </c:pt>
                <c:pt idx="8">
                  <c:v>2002.859</c:v>
                </c:pt>
                <c:pt idx="9">
                  <c:v>2003.817</c:v>
                </c:pt>
                <c:pt idx="10">
                  <c:v>2004.811</c:v>
                </c:pt>
                <c:pt idx="11">
                  <c:v>2005.788</c:v>
                </c:pt>
                <c:pt idx="12">
                  <c:v>2006.845</c:v>
                </c:pt>
              </c:numCache>
            </c:numRef>
          </c:xVal>
          <c:yVal>
            <c:numRef>
              <c:f>'67.21 Onondaga'!$A$5:$A$17</c:f>
              <c:numCache>
                <c:ptCount val="13"/>
                <c:pt idx="0">
                  <c:v>0</c:v>
                </c:pt>
                <c:pt idx="1">
                  <c:v>41.5</c:v>
                </c:pt>
                <c:pt idx="2">
                  <c:v>39.9</c:v>
                </c:pt>
                <c:pt idx="3">
                  <c:v>42.1</c:v>
                </c:pt>
                <c:pt idx="4">
                  <c:v>41.2</c:v>
                </c:pt>
                <c:pt idx="5">
                  <c:v>41.2</c:v>
                </c:pt>
                <c:pt idx="6">
                  <c:v>41.7</c:v>
                </c:pt>
                <c:pt idx="7">
                  <c:v>43.400000000000006</c:v>
                </c:pt>
                <c:pt idx="8">
                  <c:v>48.10000000000001</c:v>
                </c:pt>
                <c:pt idx="9">
                  <c:v>52.00000000000001</c:v>
                </c:pt>
                <c:pt idx="10">
                  <c:v>58.70000000000001</c:v>
                </c:pt>
                <c:pt idx="11">
                  <c:v>60.20000000000001</c:v>
                </c:pt>
                <c:pt idx="12">
                  <c:v>67.9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'67.21 Onondaga'!$D$5:$D$17</c:f>
              <c:numCache>
                <c:ptCount val="13"/>
                <c:pt idx="0">
                  <c:v>1982.4</c:v>
                </c:pt>
                <c:pt idx="1">
                  <c:v>1994.627</c:v>
                </c:pt>
                <c:pt idx="2">
                  <c:v>1996.645</c:v>
                </c:pt>
                <c:pt idx="3">
                  <c:v>1997.644</c:v>
                </c:pt>
                <c:pt idx="4">
                  <c:v>1998.685</c:v>
                </c:pt>
                <c:pt idx="5">
                  <c:v>1999.699</c:v>
                </c:pt>
                <c:pt idx="6">
                  <c:v>2000.863</c:v>
                </c:pt>
                <c:pt idx="7">
                  <c:v>2001.824</c:v>
                </c:pt>
                <c:pt idx="8">
                  <c:v>2002.859</c:v>
                </c:pt>
                <c:pt idx="9">
                  <c:v>2003.817</c:v>
                </c:pt>
                <c:pt idx="10">
                  <c:v>2004.811</c:v>
                </c:pt>
                <c:pt idx="11">
                  <c:v>2005.788</c:v>
                </c:pt>
                <c:pt idx="12">
                  <c:v>2006.845</c:v>
                </c:pt>
              </c:numCache>
            </c:numRef>
          </c:xVal>
          <c:yVal>
            <c:numRef>
              <c:f>'67.21 Onondaga'!#REF!</c:f>
              <c:numCache>
                <c:ptCount val="13"/>
                <c:pt idx="0">
                  <c:v>2.448542133461792</c:v>
                </c:pt>
                <c:pt idx="1">
                  <c:v>32.0827083126931</c:v>
                </c:pt>
                <c:pt idx="2">
                  <c:v>36.97366663032541</c:v>
                </c:pt>
                <c:pt idx="3">
                  <c:v>39.394909127508136</c:v>
                </c:pt>
                <c:pt idx="4">
                  <c:v>41.91794560355118</c:v>
                </c:pt>
                <c:pt idx="5">
                  <c:v>44.37554309318433</c:v>
                </c:pt>
                <c:pt idx="6">
                  <c:v>47.196690507319055</c:v>
                </c:pt>
                <c:pt idx="7">
                  <c:v>49.525833690294604</c:v>
                </c:pt>
                <c:pt idx="8">
                  <c:v>52.034328169357366</c:v>
                </c:pt>
                <c:pt idx="9">
                  <c:v>54.35620035384304</c:v>
                </c:pt>
                <c:pt idx="10">
                  <c:v>56.76532452020877</c:v>
                </c:pt>
                <c:pt idx="11">
                  <c:v>59.13324636179804</c:v>
                </c:pt>
                <c:pt idx="12">
                  <c:v>61.695061496454805</c:v>
                </c:pt>
              </c:numCache>
            </c:numRef>
          </c:yVal>
          <c:smooth val="0"/>
        </c:ser>
        <c:ser>
          <c:idx val="2"/>
          <c:order val="2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'67.21 Onondaga'!$D$12:$D$17</c:f>
              <c:numCache>
                <c:ptCount val="6"/>
                <c:pt idx="0">
                  <c:v>2001.824</c:v>
                </c:pt>
                <c:pt idx="1">
                  <c:v>2002.859</c:v>
                </c:pt>
                <c:pt idx="2">
                  <c:v>2003.817</c:v>
                </c:pt>
                <c:pt idx="3">
                  <c:v>2004.811</c:v>
                </c:pt>
                <c:pt idx="4">
                  <c:v>2005.788</c:v>
                </c:pt>
                <c:pt idx="5">
                  <c:v>2006.845</c:v>
                </c:pt>
              </c:numCache>
            </c:numRef>
          </c:xVal>
          <c:yVal>
            <c:numRef>
              <c:f>'67.21 Onondaga'!$A$12:$A$17</c:f>
              <c:numCache>
                <c:ptCount val="6"/>
                <c:pt idx="0">
                  <c:v>43.400000000000006</c:v>
                </c:pt>
                <c:pt idx="1">
                  <c:v>48.10000000000001</c:v>
                </c:pt>
                <c:pt idx="2">
                  <c:v>52.00000000000001</c:v>
                </c:pt>
                <c:pt idx="3">
                  <c:v>58.70000000000001</c:v>
                </c:pt>
                <c:pt idx="4">
                  <c:v>60.20000000000001</c:v>
                </c:pt>
                <c:pt idx="5">
                  <c:v>67.9</c:v>
                </c:pt>
              </c:numCache>
            </c:numRef>
          </c:yVal>
          <c:smooth val="0"/>
        </c:ser>
        <c:axId val="57154239"/>
        <c:axId val="44626104"/>
      </c:scatterChart>
      <c:valAx>
        <c:axId val="5715423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44626104"/>
        <c:crosses val="autoZero"/>
        <c:crossBetween val="midCat"/>
        <c:dispUnits/>
      </c:valAx>
      <c:valAx>
        <c:axId val="4462610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7154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'68.45 Mission'!$D$5:$D$20</c:f>
              <c:numCache>
                <c:ptCount val="16"/>
                <c:pt idx="0">
                  <c:v>1993.189</c:v>
                </c:pt>
                <c:pt idx="1">
                  <c:v>1994.589</c:v>
                </c:pt>
                <c:pt idx="2">
                  <c:v>1995.647</c:v>
                </c:pt>
                <c:pt idx="3">
                  <c:v>1996.15</c:v>
                </c:pt>
                <c:pt idx="4">
                  <c:v>1996.21</c:v>
                </c:pt>
                <c:pt idx="5">
                  <c:v>1996.648</c:v>
                </c:pt>
                <c:pt idx="6">
                  <c:v>1997.644</c:v>
                </c:pt>
                <c:pt idx="7">
                  <c:v>1998.682</c:v>
                </c:pt>
                <c:pt idx="8">
                  <c:v>1999.699</c:v>
                </c:pt>
                <c:pt idx="9">
                  <c:v>2000.863</c:v>
                </c:pt>
                <c:pt idx="10">
                  <c:v>2001.824</c:v>
                </c:pt>
                <c:pt idx="11">
                  <c:v>2002.859</c:v>
                </c:pt>
                <c:pt idx="12">
                  <c:v>2003.817</c:v>
                </c:pt>
                <c:pt idx="13">
                  <c:v>2004.814</c:v>
                </c:pt>
                <c:pt idx="14">
                  <c:v>2005.786</c:v>
                </c:pt>
                <c:pt idx="15">
                  <c:v>2006.8419999999999</c:v>
                </c:pt>
              </c:numCache>
            </c:numRef>
          </c:xVal>
          <c:yVal>
            <c:numRef>
              <c:f>'68.45 Mission'!$A$5:$A$20</c:f>
              <c:numCache>
                <c:ptCount val="16"/>
                <c:pt idx="0">
                  <c:v>0</c:v>
                </c:pt>
                <c:pt idx="1">
                  <c:v>-0.5</c:v>
                </c:pt>
                <c:pt idx="2">
                  <c:v>-3.6</c:v>
                </c:pt>
                <c:pt idx="3">
                  <c:v>4.2</c:v>
                </c:pt>
                <c:pt idx="4">
                  <c:v>3.5</c:v>
                </c:pt>
                <c:pt idx="5">
                  <c:v>4</c:v>
                </c:pt>
                <c:pt idx="6">
                  <c:v>6.3</c:v>
                </c:pt>
                <c:pt idx="7">
                  <c:v>12.3</c:v>
                </c:pt>
                <c:pt idx="8">
                  <c:v>17.3</c:v>
                </c:pt>
                <c:pt idx="9">
                  <c:v>22.7</c:v>
                </c:pt>
                <c:pt idx="10">
                  <c:v>33.8</c:v>
                </c:pt>
                <c:pt idx="11">
                  <c:v>38.9</c:v>
                </c:pt>
                <c:pt idx="12">
                  <c:v>46.6</c:v>
                </c:pt>
                <c:pt idx="13">
                  <c:v>48.1</c:v>
                </c:pt>
                <c:pt idx="14">
                  <c:v>52.2</c:v>
                </c:pt>
                <c:pt idx="15">
                  <c:v>57.1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'68.45 Mission'!$D$5:$D$20</c:f>
              <c:numCache>
                <c:ptCount val="16"/>
                <c:pt idx="0">
                  <c:v>1993.189</c:v>
                </c:pt>
                <c:pt idx="1">
                  <c:v>1994.589</c:v>
                </c:pt>
                <c:pt idx="2">
                  <c:v>1995.647</c:v>
                </c:pt>
                <c:pt idx="3">
                  <c:v>1996.15</c:v>
                </c:pt>
                <c:pt idx="4">
                  <c:v>1996.21</c:v>
                </c:pt>
                <c:pt idx="5">
                  <c:v>1996.648</c:v>
                </c:pt>
                <c:pt idx="6">
                  <c:v>1997.644</c:v>
                </c:pt>
                <c:pt idx="7">
                  <c:v>1998.682</c:v>
                </c:pt>
                <c:pt idx="8">
                  <c:v>1999.699</c:v>
                </c:pt>
                <c:pt idx="9">
                  <c:v>2000.863</c:v>
                </c:pt>
                <c:pt idx="10">
                  <c:v>2001.824</c:v>
                </c:pt>
                <c:pt idx="11">
                  <c:v>2002.859</c:v>
                </c:pt>
                <c:pt idx="12">
                  <c:v>2003.817</c:v>
                </c:pt>
                <c:pt idx="13">
                  <c:v>2004.814</c:v>
                </c:pt>
                <c:pt idx="14">
                  <c:v>2005.786</c:v>
                </c:pt>
                <c:pt idx="15">
                  <c:v>2006.8419999999999</c:v>
                </c:pt>
              </c:numCache>
            </c:numRef>
          </c:xVal>
          <c:yVal>
            <c:numRef>
              <c:f>'68.45 Mission'!#REF!</c:f>
              <c:numCache>
                <c:ptCount val="16"/>
                <c:pt idx="0">
                  <c:v>-10.636735870954501</c:v>
                </c:pt>
                <c:pt idx="1">
                  <c:v>-3.7456213791686617</c:v>
                </c:pt>
                <c:pt idx="2">
                  <c:v>1.462092286767109</c:v>
                </c:pt>
                <c:pt idx="3">
                  <c:v>3.9379712791740324</c:v>
                </c:pt>
                <c:pt idx="4">
                  <c:v>4.233304757393186</c:v>
                </c:pt>
                <c:pt idx="5">
                  <c:v>6.389239148394348</c:v>
                </c:pt>
                <c:pt idx="6">
                  <c:v>11.291774886837217</c:v>
                </c:pt>
                <c:pt idx="7">
                  <c:v>16.40104406003327</c:v>
                </c:pt>
                <c:pt idx="8">
                  <c:v>21.40694651585273</c:v>
                </c:pt>
                <c:pt idx="9">
                  <c:v>27.136415993309456</c:v>
                </c:pt>
                <c:pt idx="10">
                  <c:v>31.86667386945726</c:v>
                </c:pt>
                <c:pt idx="11">
                  <c:v>36.96117636874157</c:v>
                </c:pt>
                <c:pt idx="12">
                  <c:v>41.67666757097875</c:v>
                </c:pt>
                <c:pt idx="13">
                  <c:v>46.584125534058494</c:v>
                </c:pt>
                <c:pt idx="14">
                  <c:v>51.36852788121303</c:v>
                </c:pt>
                <c:pt idx="15">
                  <c:v>56.56639709787393</c:v>
                </c:pt>
              </c:numCache>
            </c:numRef>
          </c:yVal>
          <c:smooth val="0"/>
        </c:ser>
        <c:ser>
          <c:idx val="2"/>
          <c:order val="2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'68.45 Mission'!$E$11:$E$20</c:f>
              <c:strCache>
                <c:ptCount val="10"/>
                <c:pt idx="0">
                  <c:v>34203</c:v>
                </c:pt>
                <c:pt idx="1">
                  <c:v>34582</c:v>
                </c:pt>
                <c:pt idx="2">
                  <c:v>34953</c:v>
                </c:pt>
                <c:pt idx="3">
                  <c:v>35379</c:v>
                </c:pt>
                <c:pt idx="4">
                  <c:v>35730</c:v>
                </c:pt>
                <c:pt idx="5">
                  <c:v>36108</c:v>
                </c:pt>
                <c:pt idx="6">
                  <c:v>36458</c:v>
                </c:pt>
                <c:pt idx="7">
                  <c:v>36822</c:v>
                </c:pt>
                <c:pt idx="8">
                  <c:v>37177</c:v>
                </c:pt>
                <c:pt idx="9">
                  <c:v>37563</c:v>
                </c:pt>
              </c:strCache>
            </c:strRef>
          </c:xVal>
          <c:yVal>
            <c:numRef>
              <c:f>'68.45 Mission'!$A$11:$A$20</c:f>
              <c:numCache>
                <c:ptCount val="10"/>
                <c:pt idx="0">
                  <c:v>6.3</c:v>
                </c:pt>
                <c:pt idx="1">
                  <c:v>12.3</c:v>
                </c:pt>
                <c:pt idx="2">
                  <c:v>17.3</c:v>
                </c:pt>
                <c:pt idx="3">
                  <c:v>22.7</c:v>
                </c:pt>
                <c:pt idx="4">
                  <c:v>33.8</c:v>
                </c:pt>
                <c:pt idx="5">
                  <c:v>38.9</c:v>
                </c:pt>
                <c:pt idx="6">
                  <c:v>46.6</c:v>
                </c:pt>
                <c:pt idx="7">
                  <c:v>48.1</c:v>
                </c:pt>
                <c:pt idx="8">
                  <c:v>52.2</c:v>
                </c:pt>
                <c:pt idx="9">
                  <c:v>57.1</c:v>
                </c:pt>
              </c:numCache>
            </c:numRef>
          </c:yVal>
          <c:smooth val="0"/>
        </c:ser>
        <c:axId val="66090617"/>
        <c:axId val="57944642"/>
      </c:scatterChart>
      <c:valAx>
        <c:axId val="66090617"/>
        <c:scaling>
          <c:orientation val="minMax"/>
          <c:max val="2007"/>
          <c:min val="1993"/>
        </c:scaling>
        <c:axPos val="b"/>
        <c:delete val="0"/>
        <c:numFmt formatCode="0" sourceLinked="0"/>
        <c:majorTickMark val="cross"/>
        <c:minorTickMark val="in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57944642"/>
        <c:crosses val="autoZero"/>
        <c:crossBetween val="midCat"/>
        <c:dispUnits/>
        <c:minorUnit val="0.5"/>
      </c:valAx>
      <c:valAx>
        <c:axId val="57944642"/>
        <c:scaling>
          <c:orientation val="minMax"/>
          <c:max val="60"/>
          <c:min val="-1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090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Florida'!$A$5:$A$12</c:f>
              <c:numCache>
                <c:ptCount val="8"/>
                <c:pt idx="0">
                  <c:v>0</c:v>
                </c:pt>
                <c:pt idx="1">
                  <c:v>2.3</c:v>
                </c:pt>
                <c:pt idx="2">
                  <c:v>4.9</c:v>
                </c:pt>
                <c:pt idx="3">
                  <c:v>9</c:v>
                </c:pt>
                <c:pt idx="4">
                  <c:v>10.7</c:v>
                </c:pt>
                <c:pt idx="5">
                  <c:v>15.3</c:v>
                </c:pt>
                <c:pt idx="6">
                  <c:v>17.4</c:v>
                </c:pt>
                <c:pt idx="7">
                  <c:v>21.2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'14.05 Florida'!$D$5:$D$12</c:f>
              <c:numCache>
                <c:ptCount val="8"/>
                <c:pt idx="0">
                  <c:v>1997.624</c:v>
                </c:pt>
                <c:pt idx="1">
                  <c:v>1998.6589999999999</c:v>
                </c:pt>
                <c:pt idx="2">
                  <c:v>1999.675</c:v>
                </c:pt>
                <c:pt idx="3">
                  <c:v>2000.866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2004.792</c:v>
                </c:pt>
              </c:numCache>
            </c:numRef>
          </c:xVal>
          <c:yVal>
            <c:numRef>
              <c:f>'14.05 Florida'!#REF!</c:f>
              <c:numCache>
                <c:ptCount val="8"/>
                <c:pt idx="0">
                  <c:v>-0.7081158246211747</c:v>
                </c:pt>
                <c:pt idx="1">
                  <c:v>2.3716281022786436</c:v>
                </c:pt>
                <c:pt idx="2">
                  <c:v>5.394835667236026</c:v>
                </c:pt>
                <c:pt idx="3">
                  <c:v>8.938772881669161</c:v>
                </c:pt>
                <c:pt idx="4">
                  <c:v>11.723932606865677</c:v>
                </c:pt>
                <c:pt idx="5">
                  <c:v>14.803676533766172</c:v>
                </c:pt>
                <c:pt idx="6">
                  <c:v>17.65429941489728</c:v>
                </c:pt>
                <c:pt idx="7">
                  <c:v>20.620970617910874</c:v>
                </c:pt>
              </c:numCache>
            </c:numRef>
          </c:yVal>
          <c:smooth val="0"/>
        </c:ser>
        <c:axId val="42365883"/>
        <c:axId val="45748628"/>
      </c:scatterChart>
      <c:valAx>
        <c:axId val="42365883"/>
        <c:scaling>
          <c:orientation val="minMax"/>
          <c:max val="2007"/>
          <c:min val="1997"/>
        </c:scaling>
        <c:axPos val="b"/>
        <c:delete val="0"/>
        <c:numFmt formatCode="0" sourceLinked="0"/>
        <c:majorTickMark val="in"/>
        <c:minorTickMark val="none"/>
        <c:tickLblPos val="nextTo"/>
        <c:crossAx val="45748628"/>
        <c:crosses val="autoZero"/>
        <c:crossBetween val="midCat"/>
        <c:dispUnits/>
        <c:majorUnit val="1"/>
        <c:minorUnit val="0.5"/>
      </c:valAx>
      <c:valAx>
        <c:axId val="4574862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2365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'17.82 Cal Stadium'!$C$5:$C$18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'17.82 Cal Stadium'!$A$5:$A$18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'17.82 Cal Stadium'!$C$5:$C$18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'17.82 Cal Stadium'!#REF!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084469"/>
        <c:axId val="14651358"/>
      </c:scatterChart>
      <c:valAx>
        <c:axId val="9084469"/>
        <c:scaling>
          <c:orientation val="minMax"/>
          <c:max val="40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651358"/>
        <c:crosses val="autoZero"/>
        <c:crossBetween val="midCat"/>
        <c:dispUnits/>
      </c:valAx>
      <c:valAx>
        <c:axId val="14651358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9084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'17.82 Cal Stadium'!$D$5:$D$18</c:f>
              <c:numCache>
                <c:ptCount val="14"/>
                <c:pt idx="0">
                  <c:v>1966.912</c:v>
                </c:pt>
                <c:pt idx="1">
                  <c:v>1988.415</c:v>
                </c:pt>
                <c:pt idx="2">
                  <c:v>1992.667</c:v>
                </c:pt>
                <c:pt idx="3">
                  <c:v>1993.488</c:v>
                </c:pt>
                <c:pt idx="4">
                  <c:v>1997.433</c:v>
                </c:pt>
                <c:pt idx="5">
                  <c:v>1998.66</c:v>
                </c:pt>
                <c:pt idx="6">
                  <c:v>1999.658</c:v>
                </c:pt>
                <c:pt idx="7">
                  <c:v>2000.828</c:v>
                </c:pt>
                <c:pt idx="8">
                  <c:v>2001.803</c:v>
                </c:pt>
                <c:pt idx="9">
                  <c:v>2002.837</c:v>
                </c:pt>
                <c:pt idx="10">
                  <c:v>2003.795</c:v>
                </c:pt>
                <c:pt idx="11">
                  <c:v>2004.814</c:v>
                </c:pt>
                <c:pt idx="12">
                  <c:v>2005.791</c:v>
                </c:pt>
                <c:pt idx="13">
                  <c:v>2006.807</c:v>
                </c:pt>
              </c:numCache>
            </c:numRef>
          </c:xVal>
          <c:yVal>
            <c:numRef>
              <c:f>'17.82 Cal Stadium'!$A$5:$A$18</c:f>
              <c:numCache>
                <c:ptCount val="14"/>
                <c:pt idx="0">
                  <c:v>0</c:v>
                </c:pt>
                <c:pt idx="1">
                  <c:v>101.5</c:v>
                </c:pt>
                <c:pt idx="2">
                  <c:v>120.4</c:v>
                </c:pt>
                <c:pt idx="3">
                  <c:v>124</c:v>
                </c:pt>
                <c:pt idx="4">
                  <c:v>141.1</c:v>
                </c:pt>
                <c:pt idx="5">
                  <c:v>148.4</c:v>
                </c:pt>
                <c:pt idx="6">
                  <c:v>153.8</c:v>
                </c:pt>
                <c:pt idx="7">
                  <c:v>158.9</c:v>
                </c:pt>
                <c:pt idx="8">
                  <c:v>162.7</c:v>
                </c:pt>
                <c:pt idx="9">
                  <c:v>168.5</c:v>
                </c:pt>
                <c:pt idx="10">
                  <c:v>175.8</c:v>
                </c:pt>
                <c:pt idx="11">
                  <c:v>175.9</c:v>
                </c:pt>
                <c:pt idx="12">
                  <c:v>182</c:v>
                </c:pt>
                <c:pt idx="13">
                  <c:v>188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'17.82 Cal Stadium'!$D$5:$D$18</c:f>
              <c:numCache>
                <c:ptCount val="14"/>
                <c:pt idx="0">
                  <c:v>1966.912</c:v>
                </c:pt>
                <c:pt idx="1">
                  <c:v>1988.415</c:v>
                </c:pt>
                <c:pt idx="2">
                  <c:v>1992.667</c:v>
                </c:pt>
                <c:pt idx="3">
                  <c:v>1993.488</c:v>
                </c:pt>
                <c:pt idx="4">
                  <c:v>1997.433</c:v>
                </c:pt>
                <c:pt idx="5">
                  <c:v>1998.66</c:v>
                </c:pt>
                <c:pt idx="6">
                  <c:v>1999.658</c:v>
                </c:pt>
                <c:pt idx="7">
                  <c:v>2000.828</c:v>
                </c:pt>
                <c:pt idx="8">
                  <c:v>2001.803</c:v>
                </c:pt>
                <c:pt idx="9">
                  <c:v>2002.837</c:v>
                </c:pt>
                <c:pt idx="10">
                  <c:v>2003.795</c:v>
                </c:pt>
                <c:pt idx="11">
                  <c:v>2004.814</c:v>
                </c:pt>
                <c:pt idx="12">
                  <c:v>2005.791</c:v>
                </c:pt>
                <c:pt idx="13">
                  <c:v>2006.807</c:v>
                </c:pt>
              </c:numCache>
            </c:numRef>
          </c:xVal>
          <c:yVal>
            <c:numRef>
              <c:f>'17.82 Cal Stadium'!#REF!</c:f>
              <c:numCache>
                <c:ptCount val="14"/>
                <c:pt idx="0">
                  <c:v>-0.24085240044976633</c:v>
                </c:pt>
                <c:pt idx="1">
                  <c:v>100.66285525590699</c:v>
                </c:pt>
                <c:pt idx="2">
                  <c:v>120.61553929789302</c:v>
                </c:pt>
                <c:pt idx="3">
                  <c:v>124.46811540289619</c:v>
                </c:pt>
                <c:pt idx="4">
                  <c:v>142.9801893788215</c:v>
                </c:pt>
                <c:pt idx="5">
                  <c:v>148.73793710213263</c:v>
                </c:pt>
                <c:pt idx="6">
                  <c:v>153.42109295206177</c:v>
                </c:pt>
                <c:pt idx="7">
                  <c:v>158.9113658422606</c:v>
                </c:pt>
                <c:pt idx="8">
                  <c:v>163.48659325075997</c:v>
                </c:pt>
                <c:pt idx="9">
                  <c:v>168.33868057423393</c:v>
                </c:pt>
                <c:pt idx="10">
                  <c:v>172.83413478689258</c:v>
                </c:pt>
                <c:pt idx="11">
                  <c:v>177.61583399639025</c:v>
                </c:pt>
                <c:pt idx="12">
                  <c:v>182.2004464867519</c:v>
                </c:pt>
                <c:pt idx="13">
                  <c:v>186.96806807345453</c:v>
                </c:pt>
              </c:numCache>
            </c:numRef>
          </c:yVal>
          <c:smooth val="0"/>
        </c:ser>
        <c:axId val="64753359"/>
        <c:axId val="45909320"/>
      </c:scatterChart>
      <c:valAx>
        <c:axId val="64753359"/>
        <c:scaling>
          <c:orientation val="minMax"/>
          <c:max val="2007"/>
          <c:min val="1965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909320"/>
        <c:crosses val="autoZero"/>
        <c:crossBetween val="midCat"/>
        <c:dispUnits/>
      </c:valAx>
      <c:valAx>
        <c:axId val="45909320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4753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'18.43 Dwight'!$D$5:$D$14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'18.43 Dwight'!$A$5:$A$14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'18.43 Dwight'!$D$5:$D$14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'18.43 Dwight'!#REF!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530697"/>
        <c:axId val="27667410"/>
      </c:scatterChart>
      <c:valAx>
        <c:axId val="1053069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27667410"/>
        <c:crosses val="autoZero"/>
        <c:crossBetween val="midCat"/>
        <c:dispUnits/>
      </c:valAx>
      <c:valAx>
        <c:axId val="27667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30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'18.43 Dwight'!$D$5:$D$14</c:f>
              <c:numCache>
                <c:ptCount val="10"/>
                <c:pt idx="0">
                  <c:v>1997.624</c:v>
                </c:pt>
                <c:pt idx="1">
                  <c:v>1998.6589999999999</c:v>
                </c:pt>
                <c:pt idx="2">
                  <c:v>1999.656</c:v>
                </c:pt>
                <c:pt idx="3">
                  <c:v>2000.827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2004.7939999999999</c:v>
                </c:pt>
                <c:pt idx="8">
                  <c:v>2005.769</c:v>
                </c:pt>
                <c:pt idx="9">
                  <c:v>2006.807</c:v>
                </c:pt>
              </c:numCache>
            </c:numRef>
          </c:xVal>
          <c:yVal>
            <c:numRef>
              <c:f>'18.43 Dwight'!$A$5:$A$14</c:f>
              <c:numCache>
                <c:ptCount val="10"/>
                <c:pt idx="0">
                  <c:v>0</c:v>
                </c:pt>
                <c:pt idx="1">
                  <c:v>-0.1645416202709325</c:v>
                </c:pt>
                <c:pt idx="2">
                  <c:v>7.630617635019693</c:v>
                </c:pt>
                <c:pt idx="3">
                  <c:v>16.310188057910036</c:v>
                </c:pt>
                <c:pt idx="4">
                  <c:v>14.726474976479507</c:v>
                </c:pt>
                <c:pt idx="5">
                  <c:v>24.208185713019834</c:v>
                </c:pt>
                <c:pt idx="6">
                  <c:v>31.11893357326202</c:v>
                </c:pt>
                <c:pt idx="7">
                  <c:v>30.008277673747536</c:v>
                </c:pt>
                <c:pt idx="8">
                  <c:v>33.916141011428955</c:v>
                </c:pt>
                <c:pt idx="9">
                  <c:v>33.957276414805605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'18.43 Dwight'!$D$5:$D$14</c:f>
              <c:numCache>
                <c:ptCount val="10"/>
                <c:pt idx="0">
                  <c:v>1997.624</c:v>
                </c:pt>
                <c:pt idx="1">
                  <c:v>1998.6589999999999</c:v>
                </c:pt>
                <c:pt idx="2">
                  <c:v>1999.656</c:v>
                </c:pt>
                <c:pt idx="3">
                  <c:v>2000.827</c:v>
                </c:pt>
                <c:pt idx="4">
                  <c:v>2001.802</c:v>
                </c:pt>
                <c:pt idx="5">
                  <c:v>2002.837</c:v>
                </c:pt>
                <c:pt idx="6">
                  <c:v>2003.795</c:v>
                </c:pt>
                <c:pt idx="7">
                  <c:v>2004.7939999999999</c:v>
                </c:pt>
                <c:pt idx="8">
                  <c:v>2005.769</c:v>
                </c:pt>
                <c:pt idx="9">
                  <c:v>2006.807</c:v>
                </c:pt>
              </c:numCache>
            </c:numRef>
          </c:xVal>
          <c:yVal>
            <c:numRef>
              <c:f>'18.43 Dwight'!#REF!</c:f>
              <c:numCache>
                <c:ptCount val="10"/>
                <c:pt idx="0">
                  <c:v>-0.44130774456220817</c:v>
                </c:pt>
                <c:pt idx="1">
                  <c:v>3.940064864154343</c:v>
                </c:pt>
                <c:pt idx="2">
                  <c:v>8.160575483373016</c:v>
                </c:pt>
                <c:pt idx="3">
                  <c:v>13.117664686086078</c:v>
                </c:pt>
                <c:pt idx="4">
                  <c:v>17.245044679804764</c:v>
                </c:pt>
                <c:pt idx="5">
                  <c:v>21.626417288522276</c:v>
                </c:pt>
                <c:pt idx="6">
                  <c:v>25.681832707992243</c:v>
                </c:pt>
                <c:pt idx="7">
                  <c:v>29.91080974770969</c:v>
                </c:pt>
                <c:pt idx="8">
                  <c:v>34.038189741429335</c:v>
                </c:pt>
                <c:pt idx="9">
                  <c:v>38.432261980896456</c:v>
                </c:pt>
              </c:numCache>
            </c:numRef>
          </c:yVal>
          <c:smooth val="0"/>
        </c:ser>
        <c:axId val="47680099"/>
        <c:axId val="26467708"/>
      </c:scatterChart>
      <c:valAx>
        <c:axId val="47680099"/>
        <c:scaling>
          <c:orientation val="minMax"/>
          <c:max val="2007"/>
          <c:min val="1997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6467708"/>
        <c:crosses val="autoZero"/>
        <c:crossBetween val="midCat"/>
        <c:dispUnits/>
      </c:valAx>
      <c:valAx>
        <c:axId val="26467708"/>
        <c:scaling>
          <c:orientation val="minMax"/>
          <c:max val="4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7680099"/>
        <c:crosses val="autoZero"/>
        <c:crossBetween val="midCat"/>
        <c:dispUnits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'20.84Temescal'!$D$5:$D$16</c:f>
              <c:numCache>
                <c:ptCount val="12"/>
                <c:pt idx="0">
                  <c:v>1974.258</c:v>
                </c:pt>
                <c:pt idx="1">
                  <c:v>1994.118</c:v>
                </c:pt>
                <c:pt idx="2">
                  <c:v>1994.584</c:v>
                </c:pt>
                <c:pt idx="3">
                  <c:v>1995.641</c:v>
                </c:pt>
                <c:pt idx="4">
                  <c:v>1998.74</c:v>
                </c:pt>
                <c:pt idx="5">
                  <c:v>1999.696</c:v>
                </c:pt>
                <c:pt idx="6">
                  <c:v>2000.866</c:v>
                </c:pt>
                <c:pt idx="7">
                  <c:v>2002.837</c:v>
                </c:pt>
                <c:pt idx="8">
                  <c:v>2003.795</c:v>
                </c:pt>
                <c:pt idx="9">
                  <c:v>2004.811</c:v>
                </c:pt>
                <c:pt idx="10">
                  <c:v>2005.772</c:v>
                </c:pt>
                <c:pt idx="11">
                  <c:v>2006.8229999999999</c:v>
                </c:pt>
              </c:numCache>
            </c:numRef>
          </c:xVal>
          <c:yVal>
            <c:numRef>
              <c:f>'20.84Temescal'!$A$5:$A$16</c:f>
              <c:numCache>
                <c:ptCount val="12"/>
                <c:pt idx="0">
                  <c:v>0</c:v>
                </c:pt>
                <c:pt idx="1">
                  <c:v>74.8</c:v>
                </c:pt>
                <c:pt idx="2">
                  <c:v>74.9</c:v>
                </c:pt>
                <c:pt idx="3">
                  <c:v>80.3</c:v>
                </c:pt>
                <c:pt idx="4">
                  <c:v>92.1</c:v>
                </c:pt>
                <c:pt idx="5">
                  <c:v>97.5</c:v>
                </c:pt>
                <c:pt idx="6">
                  <c:v>102.8</c:v>
                </c:pt>
                <c:pt idx="7">
                  <c:v>108.2</c:v>
                </c:pt>
                <c:pt idx="8">
                  <c:v>114.4</c:v>
                </c:pt>
                <c:pt idx="9">
                  <c:v>118.7</c:v>
                </c:pt>
                <c:pt idx="10">
                  <c:v>119.2</c:v>
                </c:pt>
                <c:pt idx="11">
                  <c:v>126.9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'20.84Temescal'!$D$5:$D$16</c:f>
              <c:numCache>
                <c:ptCount val="12"/>
                <c:pt idx="0">
                  <c:v>1974.258</c:v>
                </c:pt>
                <c:pt idx="1">
                  <c:v>1994.118</c:v>
                </c:pt>
                <c:pt idx="2">
                  <c:v>1994.584</c:v>
                </c:pt>
                <c:pt idx="3">
                  <c:v>1995.641</c:v>
                </c:pt>
                <c:pt idx="4">
                  <c:v>1998.74</c:v>
                </c:pt>
                <c:pt idx="5">
                  <c:v>1999.696</c:v>
                </c:pt>
                <c:pt idx="6">
                  <c:v>2000.866</c:v>
                </c:pt>
                <c:pt idx="7">
                  <c:v>2002.837</c:v>
                </c:pt>
                <c:pt idx="8">
                  <c:v>2003.795</c:v>
                </c:pt>
                <c:pt idx="9">
                  <c:v>2004.811</c:v>
                </c:pt>
                <c:pt idx="10">
                  <c:v>2005.772</c:v>
                </c:pt>
                <c:pt idx="11">
                  <c:v>2006.8229999999999</c:v>
                </c:pt>
              </c:numCache>
            </c:numRef>
          </c:xVal>
          <c:yVal>
            <c:numRef>
              <c:f>'20.84Temescal'!#REF!</c:f>
              <c:numCache>
                <c:ptCount val="12"/>
                <c:pt idx="0">
                  <c:v>-1.5630500249948653</c:v>
                </c:pt>
                <c:pt idx="1">
                  <c:v>75.49907613139882</c:v>
                </c:pt>
                <c:pt idx="2">
                  <c:v>77.30728110566314</c:v>
                </c:pt>
                <c:pt idx="3">
                  <c:v>81.40872457733029</c:v>
                </c:pt>
                <c:pt idx="4">
                  <c:v>93.433675683003</c:v>
                </c:pt>
                <c:pt idx="5">
                  <c:v>97.14321206797307</c:v>
                </c:pt>
                <c:pt idx="6">
                  <c:v>101.68312584455849</c:v>
                </c:pt>
                <c:pt idx="7">
                  <c:v>109.33113443742118</c:v>
                </c:pt>
                <c:pt idx="8">
                  <c:v>113.04843135876217</c:v>
                </c:pt>
                <c:pt idx="9">
                  <c:v>116.99078383483895</c:v>
                </c:pt>
                <c:pt idx="10">
                  <c:v>120.719721560735</c:v>
                </c:pt>
                <c:pt idx="11">
                  <c:v>124.79788342329114</c:v>
                </c:pt>
              </c:numCache>
            </c:numRef>
          </c:yVal>
          <c:smooth val="0"/>
        </c:ser>
        <c:axId val="36882781"/>
        <c:axId val="63509574"/>
      </c:scatterChart>
      <c:valAx>
        <c:axId val="36882781"/>
        <c:scaling>
          <c:orientation val="minMax"/>
          <c:max val="2007"/>
          <c:min val="1974"/>
        </c:scaling>
        <c:axPos val="b"/>
        <c:delete val="0"/>
        <c:numFmt formatCode="0" sourceLinked="0"/>
        <c:majorTickMark val="in"/>
        <c:minorTickMark val="none"/>
        <c:tickLblPos val="nextTo"/>
        <c:crossAx val="63509574"/>
        <c:crosses val="autoZero"/>
        <c:crossBetween val="midCat"/>
        <c:dispUnits/>
      </c:valAx>
      <c:valAx>
        <c:axId val="6350957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6882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42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0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3705225"/>
        <a:ext cx="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0</xdr:col>
      <xdr:colOff>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3086100"/>
        <a:ext cx="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0</xdr:col>
      <xdr:colOff>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0" y="3867150"/>
        <a:ext cx="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0</xdr:col>
      <xdr:colOff>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3686175"/>
        <a:ext cx="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0</xdr:col>
      <xdr:colOff>0</xdr:colOff>
      <xdr:row>82</xdr:row>
      <xdr:rowOff>28575</xdr:rowOff>
    </xdr:to>
    <xdr:graphicFrame>
      <xdr:nvGraphicFramePr>
        <xdr:cNvPr id="2" name="Chart 2"/>
        <xdr:cNvGraphicFramePr/>
      </xdr:nvGraphicFramePr>
      <xdr:xfrm>
        <a:off x="0" y="11125200"/>
        <a:ext cx="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0</xdr:col>
      <xdr:colOff>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4229100"/>
        <a:ext cx="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0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3571875"/>
        <a:ext cx="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3838575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28575</xdr:rowOff>
    </xdr:from>
    <xdr:to>
      <xdr:col>0</xdr:col>
      <xdr:colOff>0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0" y="5876925"/>
        <a:ext cx="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5219700"/>
        <a:ext cx="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648200"/>
        <a:ext cx="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0" y="3971925"/>
        <a:ext cx="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0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695825"/>
        <a:ext cx="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66675</xdr:rowOff>
    </xdr:from>
    <xdr:to>
      <xdr:col>0</xdr:col>
      <xdr:colOff>0</xdr:colOff>
      <xdr:row>90</xdr:row>
      <xdr:rowOff>28575</xdr:rowOff>
    </xdr:to>
    <xdr:graphicFrame>
      <xdr:nvGraphicFramePr>
        <xdr:cNvPr id="2" name="Chart 2"/>
        <xdr:cNvGraphicFramePr/>
      </xdr:nvGraphicFramePr>
      <xdr:xfrm>
        <a:off x="0" y="12001500"/>
        <a:ext cx="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7038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7038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133350</xdr:rowOff>
    </xdr:from>
    <xdr:to>
      <xdr:col>0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5553075"/>
        <a:ext cx="0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45</xdr:row>
      <xdr:rowOff>9525</xdr:rowOff>
    </xdr:to>
    <xdr:graphicFrame>
      <xdr:nvGraphicFramePr>
        <xdr:cNvPr id="4" name="Chart 4"/>
        <xdr:cNvGraphicFramePr/>
      </xdr:nvGraphicFramePr>
      <xdr:xfrm>
        <a:off x="0" y="4352925"/>
        <a:ext cx="0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47625</xdr:rowOff>
    </xdr:from>
    <xdr:to>
      <xdr:col>0</xdr:col>
      <xdr:colOff>0</xdr:colOff>
      <xdr:row>45</xdr:row>
      <xdr:rowOff>28575</xdr:rowOff>
    </xdr:to>
    <xdr:graphicFrame>
      <xdr:nvGraphicFramePr>
        <xdr:cNvPr id="1" name="Shape 1"/>
        <xdr:cNvGraphicFramePr/>
      </xdr:nvGraphicFramePr>
      <xdr:xfrm>
        <a:off x="0" y="4191000"/>
        <a:ext cx="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133350</xdr:rowOff>
    </xdr:from>
    <xdr:to>
      <xdr:col>0</xdr:col>
      <xdr:colOff>0</xdr:colOff>
      <xdr:row>43</xdr:row>
      <xdr:rowOff>133350</xdr:rowOff>
    </xdr:to>
    <xdr:graphicFrame>
      <xdr:nvGraphicFramePr>
        <xdr:cNvPr id="1" name="Shape 1"/>
        <xdr:cNvGraphicFramePr/>
      </xdr:nvGraphicFramePr>
      <xdr:xfrm>
        <a:off x="0" y="461010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104775</xdr:rowOff>
    </xdr:from>
    <xdr:to>
      <xdr:col>0</xdr:col>
      <xdr:colOff>0</xdr:colOff>
      <xdr:row>39</xdr:row>
      <xdr:rowOff>0</xdr:rowOff>
    </xdr:to>
    <xdr:graphicFrame>
      <xdr:nvGraphicFramePr>
        <xdr:cNvPr id="1" name="Shape 1"/>
        <xdr:cNvGraphicFramePr/>
      </xdr:nvGraphicFramePr>
      <xdr:xfrm>
        <a:off x="0" y="4276725"/>
        <a:ext cx="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Shape 2"/>
        <xdr:cNvGraphicFramePr/>
      </xdr:nvGraphicFramePr>
      <xdr:xfrm>
        <a:off x="0" y="4324350"/>
        <a:ext cx="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34</xdr:row>
      <xdr:rowOff>0</xdr:rowOff>
    </xdr:to>
    <xdr:graphicFrame>
      <xdr:nvGraphicFramePr>
        <xdr:cNvPr id="3" name="Chart 1"/>
        <xdr:cNvGraphicFramePr/>
      </xdr:nvGraphicFramePr>
      <xdr:xfrm>
        <a:off x="0" y="3276600"/>
        <a:ext cx="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0</xdr:col>
      <xdr:colOff>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0" y="377190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76200</xdr:rowOff>
    </xdr:from>
    <xdr:to>
      <xdr:col>0</xdr:col>
      <xdr:colOff>0</xdr:colOff>
      <xdr:row>45</xdr:row>
      <xdr:rowOff>0</xdr:rowOff>
    </xdr:to>
    <xdr:graphicFrame>
      <xdr:nvGraphicFramePr>
        <xdr:cNvPr id="2" name="Shape 1"/>
        <xdr:cNvGraphicFramePr/>
      </xdr:nvGraphicFramePr>
      <xdr:xfrm>
        <a:off x="0" y="4143375"/>
        <a:ext cx="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123825</xdr:rowOff>
    </xdr:from>
    <xdr:to>
      <xdr:col>0</xdr:col>
      <xdr:colOff>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0" y="3238500"/>
        <a:ext cx="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0</xdr:col>
      <xdr:colOff>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3467100"/>
        <a:ext cx="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123825</xdr:rowOff>
    </xdr:from>
    <xdr:to>
      <xdr:col>0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4905375"/>
        <a:ext cx="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0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4391025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133350</xdr:rowOff>
    </xdr:from>
    <xdr:to>
      <xdr:col>0</xdr:col>
      <xdr:colOff>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4286250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D48" sqref="D48"/>
    </sheetView>
  </sheetViews>
  <sheetFormatPr defaultColWidth="11.00390625" defaultRowHeight="12"/>
  <cols>
    <col min="7" max="7" width="7.125" style="0" customWidth="1"/>
    <col min="8" max="8" width="11.625" style="10" customWidth="1"/>
    <col min="9" max="9" width="9.375" style="10" customWidth="1"/>
    <col min="10" max="10" width="12.875" style="10" customWidth="1"/>
    <col min="11" max="11" width="16.00390625" style="10" customWidth="1"/>
    <col min="12" max="13" width="11.125" style="10" customWidth="1"/>
  </cols>
  <sheetData>
    <row r="1" spans="1:15" ht="40.5" customHeight="1">
      <c r="A1" s="37"/>
      <c r="B1" s="37"/>
      <c r="C1" s="37"/>
      <c r="D1" s="37"/>
      <c r="E1" s="37"/>
      <c r="F1" s="37"/>
      <c r="G1" s="37"/>
      <c r="H1" s="11"/>
      <c r="I1" s="11"/>
      <c r="J1" s="175" t="s">
        <v>134</v>
      </c>
      <c r="K1" s="176"/>
      <c r="L1" s="176"/>
      <c r="M1" s="176"/>
      <c r="N1" s="176"/>
      <c r="O1" s="177"/>
    </row>
    <row r="2" spans="1:15" s="12" customFormat="1" ht="48.75" customHeight="1">
      <c r="A2" s="38"/>
      <c r="B2" s="38"/>
      <c r="C2" s="38"/>
      <c r="D2" s="38"/>
      <c r="E2" s="38"/>
      <c r="F2" s="38"/>
      <c r="G2" s="38"/>
      <c r="H2" s="38"/>
      <c r="I2" s="38"/>
      <c r="J2" s="22" t="s">
        <v>190</v>
      </c>
      <c r="K2" s="34" t="s">
        <v>113</v>
      </c>
      <c r="L2" s="20" t="s">
        <v>121</v>
      </c>
      <c r="M2" s="20" t="s">
        <v>131</v>
      </c>
      <c r="N2" s="35" t="s">
        <v>122</v>
      </c>
      <c r="O2" s="21" t="s">
        <v>123</v>
      </c>
    </row>
    <row r="3" spans="1:15" ht="12">
      <c r="A3" s="37"/>
      <c r="B3" s="37"/>
      <c r="C3" s="37"/>
      <c r="D3" s="37"/>
      <c r="E3" s="37"/>
      <c r="F3" s="37"/>
      <c r="G3" s="37"/>
      <c r="H3" s="11"/>
      <c r="I3" s="11"/>
      <c r="J3" s="23">
        <v>8.37</v>
      </c>
      <c r="K3" s="26" t="s">
        <v>114</v>
      </c>
      <c r="L3" s="130">
        <v>149</v>
      </c>
      <c r="M3" s="131">
        <v>1</v>
      </c>
      <c r="N3" s="133">
        <v>31319</v>
      </c>
      <c r="O3" s="128">
        <v>37178</v>
      </c>
    </row>
    <row r="4" spans="1:15" ht="12">
      <c r="A4" s="37"/>
      <c r="B4" s="37"/>
      <c r="C4" s="37"/>
      <c r="D4" s="37"/>
      <c r="E4" s="37"/>
      <c r="F4" s="37"/>
      <c r="G4" s="37"/>
      <c r="H4" s="11"/>
      <c r="I4" s="11"/>
      <c r="J4" s="23"/>
      <c r="K4" s="26"/>
      <c r="L4" s="14" t="s">
        <v>130</v>
      </c>
      <c r="M4" s="155">
        <v>1</v>
      </c>
      <c r="N4" s="134">
        <v>37177</v>
      </c>
      <c r="O4" s="165">
        <v>37550</v>
      </c>
    </row>
    <row r="5" spans="1:15" ht="12">
      <c r="A5" s="37"/>
      <c r="B5" s="37"/>
      <c r="C5" s="37"/>
      <c r="D5" s="37"/>
      <c r="E5" s="37"/>
      <c r="F5" s="37"/>
      <c r="G5" s="37"/>
      <c r="H5" s="11"/>
      <c r="I5" s="11"/>
      <c r="J5" s="23">
        <v>14.05</v>
      </c>
      <c r="K5" s="26" t="s">
        <v>129</v>
      </c>
      <c r="L5" s="73">
        <v>126.7</v>
      </c>
      <c r="M5" s="131">
        <v>0.9986</v>
      </c>
      <c r="N5" s="127">
        <v>34196</v>
      </c>
      <c r="O5" s="128">
        <v>37171</v>
      </c>
    </row>
    <row r="6" spans="1:15" ht="12">
      <c r="A6" s="37"/>
      <c r="B6" s="37"/>
      <c r="C6" s="37"/>
      <c r="D6" s="37"/>
      <c r="E6" s="37"/>
      <c r="F6" s="37"/>
      <c r="G6" s="37"/>
      <c r="H6" s="11"/>
      <c r="I6" s="11"/>
      <c r="J6" s="23">
        <v>17.82</v>
      </c>
      <c r="K6" s="26" t="s">
        <v>115</v>
      </c>
      <c r="L6" s="130">
        <v>165.5</v>
      </c>
      <c r="M6" s="131">
        <v>0.9677</v>
      </c>
      <c r="N6" s="30">
        <v>32685</v>
      </c>
      <c r="O6" s="132">
        <v>37550</v>
      </c>
    </row>
    <row r="7" spans="1:15" ht="12">
      <c r="A7" s="37"/>
      <c r="B7" s="37"/>
      <c r="C7" s="37"/>
      <c r="D7" s="37"/>
      <c r="E7" s="37"/>
      <c r="F7" s="37"/>
      <c r="G7" s="37"/>
      <c r="H7" s="11"/>
      <c r="I7" s="11"/>
      <c r="J7" s="23">
        <v>18.43</v>
      </c>
      <c r="K7" s="26" t="s">
        <v>56</v>
      </c>
      <c r="L7" s="130">
        <v>105</v>
      </c>
      <c r="M7" s="131">
        <v>0.848</v>
      </c>
      <c r="N7" s="135">
        <v>34196</v>
      </c>
      <c r="O7" s="162">
        <v>37550</v>
      </c>
    </row>
    <row r="8" spans="1:15" ht="12">
      <c r="A8" s="37"/>
      <c r="B8" s="37"/>
      <c r="C8" s="37"/>
      <c r="D8" s="37"/>
      <c r="E8" s="37"/>
      <c r="F8" s="37"/>
      <c r="G8" s="37"/>
      <c r="H8" s="11"/>
      <c r="I8" s="11"/>
      <c r="J8" s="23">
        <v>20.84</v>
      </c>
      <c r="K8" s="26" t="s">
        <v>116</v>
      </c>
      <c r="L8" s="29">
        <v>148</v>
      </c>
      <c r="M8" s="157">
        <v>0.891</v>
      </c>
      <c r="N8" s="30">
        <v>32915</v>
      </c>
      <c r="O8" s="18">
        <v>33471</v>
      </c>
    </row>
    <row r="9" spans="1:15" ht="12">
      <c r="A9" s="37"/>
      <c r="B9" s="37"/>
      <c r="C9" s="37"/>
      <c r="D9" s="37"/>
      <c r="E9" s="37"/>
      <c r="F9" s="37"/>
      <c r="G9" s="37"/>
      <c r="H9" s="11"/>
      <c r="I9" s="11"/>
      <c r="J9" s="23"/>
      <c r="K9" s="26"/>
      <c r="L9" s="28">
        <v>153.9</v>
      </c>
      <c r="M9" s="164">
        <v>0.891</v>
      </c>
      <c r="N9" s="30">
        <v>34603</v>
      </c>
      <c r="O9" s="128">
        <v>37556</v>
      </c>
    </row>
    <row r="10" spans="1:15" ht="12">
      <c r="A10" s="37"/>
      <c r="B10" s="37"/>
      <c r="C10" s="37"/>
      <c r="D10" s="37"/>
      <c r="E10" s="37"/>
      <c r="F10" s="37"/>
      <c r="G10" s="37"/>
      <c r="H10" s="11"/>
      <c r="I10" s="11"/>
      <c r="J10" s="23">
        <v>25.98</v>
      </c>
      <c r="K10" s="26" t="s">
        <v>117</v>
      </c>
      <c r="L10" s="29">
        <v>92.8</v>
      </c>
      <c r="M10" s="157">
        <v>0.9377</v>
      </c>
      <c r="N10" s="30">
        <v>33085</v>
      </c>
      <c r="O10" s="18">
        <v>34583</v>
      </c>
    </row>
    <row r="11" spans="1:15" ht="12">
      <c r="A11" s="37"/>
      <c r="B11" s="37"/>
      <c r="C11" s="37"/>
      <c r="D11" s="37"/>
      <c r="E11" s="37"/>
      <c r="F11" s="37"/>
      <c r="G11" s="37"/>
      <c r="H11" s="11"/>
      <c r="I11" s="11"/>
      <c r="J11" s="24"/>
      <c r="K11" s="26"/>
      <c r="L11" s="28">
        <v>110.4</v>
      </c>
      <c r="M11" s="164">
        <v>0.9998</v>
      </c>
      <c r="N11" s="30">
        <v>34952</v>
      </c>
      <c r="O11" s="128">
        <v>37556</v>
      </c>
    </row>
    <row r="12" spans="1:15" ht="12">
      <c r="A12" s="37"/>
      <c r="B12" s="37"/>
      <c r="C12" s="37"/>
      <c r="D12" s="37"/>
      <c r="E12" s="37"/>
      <c r="F12" s="37"/>
      <c r="G12" s="37"/>
      <c r="H12" s="11"/>
      <c r="I12" s="11"/>
      <c r="J12" s="23">
        <v>27.81</v>
      </c>
      <c r="K12" s="26" t="s">
        <v>118</v>
      </c>
      <c r="L12" s="154">
        <v>131.9</v>
      </c>
      <c r="M12" s="157">
        <v>0.9925</v>
      </c>
      <c r="N12" s="30">
        <v>32367</v>
      </c>
      <c r="O12" s="128">
        <v>37171</v>
      </c>
    </row>
    <row r="13" spans="1:15" ht="12">
      <c r="A13" s="37"/>
      <c r="B13" s="37"/>
      <c r="C13" s="37"/>
      <c r="D13" s="37"/>
      <c r="E13" s="37"/>
      <c r="F13" s="37"/>
      <c r="G13" s="37"/>
      <c r="H13" s="11"/>
      <c r="I13" s="11"/>
      <c r="J13" s="23"/>
      <c r="K13" s="26"/>
      <c r="L13" s="28">
        <v>138.7</v>
      </c>
      <c r="M13" s="164">
        <v>0.9925</v>
      </c>
      <c r="N13" s="134">
        <v>37171</v>
      </c>
      <c r="O13" s="165">
        <v>37550</v>
      </c>
    </row>
    <row r="14" spans="1:15" ht="12">
      <c r="A14" s="37"/>
      <c r="B14" s="37"/>
      <c r="C14" s="37"/>
      <c r="D14" s="37"/>
      <c r="E14" s="37"/>
      <c r="F14" s="37"/>
      <c r="G14" s="37"/>
      <c r="H14" s="11"/>
      <c r="I14" s="11"/>
      <c r="J14" s="151">
        <v>30.68</v>
      </c>
      <c r="K14" s="152" t="s">
        <v>119</v>
      </c>
      <c r="L14" s="130">
        <v>89.8</v>
      </c>
      <c r="M14" s="131">
        <v>0.9998</v>
      </c>
      <c r="N14" s="153">
        <v>32649</v>
      </c>
      <c r="O14" s="128">
        <v>37556</v>
      </c>
    </row>
    <row r="15" spans="1:15" ht="12">
      <c r="A15" s="37"/>
      <c r="B15" s="37"/>
      <c r="C15" s="37"/>
      <c r="D15" s="37"/>
      <c r="E15" s="37"/>
      <c r="F15" s="37"/>
      <c r="G15" s="37"/>
      <c r="H15" s="11"/>
      <c r="I15" s="11"/>
      <c r="J15" s="23">
        <v>36.55</v>
      </c>
      <c r="K15" s="26" t="s">
        <v>120</v>
      </c>
      <c r="L15" s="154">
        <v>231.2</v>
      </c>
      <c r="M15" s="157">
        <v>0.9998</v>
      </c>
      <c r="N15" s="30">
        <v>32649</v>
      </c>
      <c r="O15" s="128">
        <v>37556</v>
      </c>
    </row>
    <row r="16" spans="1:15" ht="12">
      <c r="A16" s="37"/>
      <c r="B16" s="37"/>
      <c r="C16" s="37"/>
      <c r="D16" s="37"/>
      <c r="E16" s="37"/>
      <c r="F16" s="37"/>
      <c r="G16" s="37"/>
      <c r="H16" s="11"/>
      <c r="I16" s="11"/>
      <c r="J16" s="23">
        <v>38.28</v>
      </c>
      <c r="K16" s="26" t="s">
        <v>16</v>
      </c>
      <c r="L16" s="130">
        <v>166.6</v>
      </c>
      <c r="M16" s="131">
        <v>0.9397</v>
      </c>
      <c r="N16" s="30">
        <v>34197</v>
      </c>
      <c r="O16" s="128">
        <v>37556</v>
      </c>
    </row>
    <row r="17" spans="1:15" ht="12">
      <c r="A17" s="37"/>
      <c r="B17" s="37"/>
      <c r="C17" s="37"/>
      <c r="D17" s="37"/>
      <c r="E17" s="37"/>
      <c r="F17" s="37"/>
      <c r="G17" s="37"/>
      <c r="H17" s="11"/>
      <c r="I17" s="11"/>
      <c r="J17" s="23">
        <v>41.11</v>
      </c>
      <c r="K17" s="26" t="s">
        <v>17</v>
      </c>
      <c r="L17" s="154">
        <v>90.9</v>
      </c>
      <c r="M17" s="159">
        <v>0.9781</v>
      </c>
      <c r="N17" s="30">
        <v>32368</v>
      </c>
      <c r="O17" s="128">
        <v>37556</v>
      </c>
    </row>
    <row r="18" spans="1:15" ht="12">
      <c r="A18" s="37"/>
      <c r="B18" s="37"/>
      <c r="C18" s="37"/>
      <c r="D18" s="37"/>
      <c r="E18" s="37"/>
      <c r="F18" s="37"/>
      <c r="G18" s="37"/>
      <c r="H18" s="11"/>
      <c r="I18" s="11"/>
      <c r="J18" s="23">
        <v>45.64</v>
      </c>
      <c r="K18" s="26" t="s">
        <v>18</v>
      </c>
      <c r="L18" s="29">
        <v>102.8</v>
      </c>
      <c r="M18" s="157">
        <v>0.989</v>
      </c>
      <c r="N18" s="30">
        <v>31330</v>
      </c>
      <c r="O18" s="18">
        <v>33835</v>
      </c>
    </row>
    <row r="19" spans="1:15" ht="12">
      <c r="A19" s="37"/>
      <c r="B19" s="37"/>
      <c r="C19" s="37"/>
      <c r="D19" s="37"/>
      <c r="E19" s="37"/>
      <c r="F19" s="37"/>
      <c r="G19" s="37"/>
      <c r="H19" s="11"/>
      <c r="I19" s="11"/>
      <c r="J19" s="23"/>
      <c r="K19" s="26"/>
      <c r="L19" s="11">
        <v>177.5</v>
      </c>
      <c r="M19" s="163">
        <v>0.989</v>
      </c>
      <c r="N19" s="30">
        <v>32437</v>
      </c>
      <c r="O19" s="166">
        <v>35723</v>
      </c>
    </row>
    <row r="20" spans="1:15" ht="12">
      <c r="A20" s="37"/>
      <c r="B20" s="37"/>
      <c r="C20" s="37"/>
      <c r="D20" s="37"/>
      <c r="E20" s="37"/>
      <c r="F20" s="37"/>
      <c r="G20" s="37"/>
      <c r="H20" s="11"/>
      <c r="I20" s="11"/>
      <c r="J20" s="23"/>
      <c r="K20" s="26"/>
      <c r="L20" s="28" t="s">
        <v>15</v>
      </c>
      <c r="M20" s="158">
        <v>0.989</v>
      </c>
      <c r="N20" s="167">
        <v>36101</v>
      </c>
      <c r="O20" s="165">
        <v>37562</v>
      </c>
    </row>
    <row r="21" spans="1:15" ht="12">
      <c r="A21" s="37"/>
      <c r="B21" s="37"/>
      <c r="C21" s="37"/>
      <c r="D21" s="37"/>
      <c r="E21" s="37"/>
      <c r="F21" s="37"/>
      <c r="G21" s="37"/>
      <c r="H21" s="11"/>
      <c r="I21" s="11"/>
      <c r="J21" s="23">
        <v>47.72</v>
      </c>
      <c r="K21" s="26" t="s">
        <v>19</v>
      </c>
      <c r="L21" s="29">
        <v>87.9</v>
      </c>
      <c r="M21" s="159">
        <v>0.9986</v>
      </c>
      <c r="N21" s="30">
        <v>33087</v>
      </c>
      <c r="O21" s="18">
        <v>33834</v>
      </c>
    </row>
    <row r="22" spans="1:15" ht="12">
      <c r="A22" s="37"/>
      <c r="B22" s="37"/>
      <c r="C22" s="37"/>
      <c r="D22" s="37"/>
      <c r="E22" s="37"/>
      <c r="F22" s="37"/>
      <c r="G22" s="37"/>
      <c r="H22" s="11"/>
      <c r="I22" s="11"/>
      <c r="J22" s="23"/>
      <c r="K22" s="26"/>
      <c r="L22" s="28">
        <v>106.9</v>
      </c>
      <c r="M22" s="158">
        <v>0.9986</v>
      </c>
      <c r="N22" s="30">
        <v>34198</v>
      </c>
      <c r="O22" s="128">
        <v>37557</v>
      </c>
    </row>
    <row r="23" spans="1:15" ht="12">
      <c r="A23" s="37"/>
      <c r="B23" s="37"/>
      <c r="C23" s="37"/>
      <c r="D23" s="37"/>
      <c r="E23" s="37"/>
      <c r="F23" s="37"/>
      <c r="G23" s="37"/>
      <c r="H23" s="11"/>
      <c r="I23" s="11"/>
      <c r="J23" s="23">
        <v>50.15</v>
      </c>
      <c r="K23" s="26" t="s">
        <v>20</v>
      </c>
      <c r="L23" s="154">
        <v>72.7</v>
      </c>
      <c r="M23" s="159">
        <v>0.9976</v>
      </c>
      <c r="N23" s="30">
        <v>32458</v>
      </c>
      <c r="O23" s="128">
        <v>37557</v>
      </c>
    </row>
    <row r="24" spans="1:15" ht="12">
      <c r="A24" s="37"/>
      <c r="B24" s="37"/>
      <c r="C24" s="37"/>
      <c r="D24" s="37"/>
      <c r="E24" s="37"/>
      <c r="F24" s="37"/>
      <c r="G24" s="37"/>
      <c r="H24" s="11"/>
      <c r="I24" s="11"/>
      <c r="J24" s="23">
        <v>52.6</v>
      </c>
      <c r="K24" s="26" t="s">
        <v>21</v>
      </c>
      <c r="L24" s="154">
        <v>120.3</v>
      </c>
      <c r="M24" s="159">
        <v>0.9998</v>
      </c>
      <c r="N24" s="30">
        <v>33088</v>
      </c>
      <c r="O24" s="128">
        <v>37557</v>
      </c>
    </row>
    <row r="25" spans="1:15" ht="12">
      <c r="A25" s="37"/>
      <c r="B25" s="37"/>
      <c r="C25" s="37"/>
      <c r="D25" s="37"/>
      <c r="E25" s="37"/>
      <c r="F25" s="37"/>
      <c r="G25" s="37"/>
      <c r="H25" s="11"/>
      <c r="I25" s="11"/>
      <c r="J25" s="23">
        <v>59.09</v>
      </c>
      <c r="K25" s="26" t="s">
        <v>22</v>
      </c>
      <c r="L25" s="154">
        <v>89.3</v>
      </c>
      <c r="M25" s="159">
        <v>0.9995</v>
      </c>
      <c r="N25" s="30">
        <v>32465</v>
      </c>
      <c r="O25" s="128">
        <v>37562</v>
      </c>
    </row>
    <row r="26" spans="1:15" ht="12">
      <c r="A26" s="37"/>
      <c r="B26" s="37"/>
      <c r="C26" s="37"/>
      <c r="D26" s="37"/>
      <c r="E26" s="37"/>
      <c r="F26" s="37"/>
      <c r="G26" s="37"/>
      <c r="H26" s="11"/>
      <c r="I26" s="11"/>
      <c r="J26" s="23">
        <v>62.64</v>
      </c>
      <c r="K26" s="26" t="s">
        <v>23</v>
      </c>
      <c r="L26" s="154">
        <v>88.5</v>
      </c>
      <c r="M26" s="159">
        <v>0.9877</v>
      </c>
      <c r="N26" s="30">
        <v>33101</v>
      </c>
      <c r="O26" s="128">
        <v>37563</v>
      </c>
    </row>
    <row r="27" spans="1:15" ht="12">
      <c r="A27" s="37"/>
      <c r="B27" s="37"/>
      <c r="C27" s="37"/>
      <c r="D27" s="37"/>
      <c r="E27" s="37"/>
      <c r="F27" s="37"/>
      <c r="G27" s="37"/>
      <c r="H27" s="11"/>
      <c r="I27" s="11"/>
      <c r="J27" s="23">
        <v>63.1</v>
      </c>
      <c r="K27" s="26" t="s">
        <v>24</v>
      </c>
      <c r="L27" s="154">
        <v>168.1</v>
      </c>
      <c r="M27" s="159">
        <v>0.9816</v>
      </c>
      <c r="N27" s="30">
        <v>32514</v>
      </c>
      <c r="O27" s="128">
        <v>37563</v>
      </c>
    </row>
    <row r="28" spans="1:15" ht="12">
      <c r="A28" s="37"/>
      <c r="B28" s="37"/>
      <c r="C28" s="37"/>
      <c r="D28" s="37"/>
      <c r="E28" s="37"/>
      <c r="F28" s="37"/>
      <c r="G28" s="37"/>
      <c r="H28" s="11"/>
      <c r="I28" s="11"/>
      <c r="J28" s="23">
        <v>65.29</v>
      </c>
      <c r="K28" s="26" t="s">
        <v>25</v>
      </c>
      <c r="L28" s="154">
        <v>98</v>
      </c>
      <c r="M28" s="159">
        <v>0.866</v>
      </c>
      <c r="N28" s="30">
        <v>32515</v>
      </c>
      <c r="O28" s="128">
        <v>37564</v>
      </c>
    </row>
    <row r="29" spans="1:15" ht="12">
      <c r="A29" s="37"/>
      <c r="B29" s="37"/>
      <c r="C29" s="37"/>
      <c r="D29" s="37"/>
      <c r="E29" s="37"/>
      <c r="F29" s="37"/>
      <c r="G29" s="37"/>
      <c r="H29" s="11"/>
      <c r="I29" s="11"/>
      <c r="J29" s="23">
        <v>67.02</v>
      </c>
      <c r="K29" s="26" t="s">
        <v>26</v>
      </c>
      <c r="L29" s="154">
        <v>129.5</v>
      </c>
      <c r="M29" s="159">
        <v>0.9336</v>
      </c>
      <c r="N29" s="30">
        <v>32667</v>
      </c>
      <c r="O29" s="128">
        <v>37564</v>
      </c>
    </row>
    <row r="30" spans="1:15" ht="12">
      <c r="A30" s="37"/>
      <c r="B30" s="37"/>
      <c r="C30" s="37"/>
      <c r="D30" s="37"/>
      <c r="E30" s="37"/>
      <c r="F30" s="37"/>
      <c r="G30" s="37"/>
      <c r="H30" s="11"/>
      <c r="I30" s="11"/>
      <c r="J30" s="126">
        <v>67.21</v>
      </c>
      <c r="K30" s="136" t="s">
        <v>27</v>
      </c>
      <c r="L30" s="154">
        <v>72.9</v>
      </c>
      <c r="M30" s="160">
        <v>0.9563</v>
      </c>
      <c r="N30" s="129">
        <v>33101</v>
      </c>
      <c r="O30" s="165">
        <v>37564</v>
      </c>
    </row>
    <row r="31" spans="1:15" ht="15.75" customHeight="1" thickBot="1">
      <c r="A31" s="37"/>
      <c r="B31" s="37"/>
      <c r="C31" s="37"/>
      <c r="D31" s="37"/>
      <c r="E31" s="37"/>
      <c r="F31" s="37"/>
      <c r="G31" s="37"/>
      <c r="H31" s="11"/>
      <c r="I31" s="11"/>
      <c r="J31" s="25">
        <v>68.45</v>
      </c>
      <c r="K31" s="27" t="s">
        <v>28</v>
      </c>
      <c r="L31" s="156">
        <v>168.9</v>
      </c>
      <c r="M31" s="161">
        <v>0.9703</v>
      </c>
      <c r="N31" s="31">
        <v>32576</v>
      </c>
      <c r="O31" s="168">
        <v>37563</v>
      </c>
    </row>
    <row r="32" spans="1:15" ht="30" customHeight="1" thickBot="1">
      <c r="A32" s="37"/>
      <c r="B32" s="37"/>
      <c r="C32" s="37"/>
      <c r="D32" s="37"/>
      <c r="E32" s="37"/>
      <c r="F32" s="37"/>
      <c r="G32" s="37"/>
      <c r="H32" s="11"/>
      <c r="I32" s="11"/>
      <c r="J32" s="13"/>
      <c r="K32" s="11"/>
      <c r="L32" s="14"/>
      <c r="M32" s="14"/>
      <c r="N32" s="15"/>
      <c r="O32" s="15"/>
    </row>
    <row r="33" spans="1:15" s="143" customFormat="1" ht="33" customHeight="1">
      <c r="A33" s="137"/>
      <c r="B33" s="137"/>
      <c r="C33" s="137"/>
      <c r="D33" s="137"/>
      <c r="E33" s="137"/>
      <c r="F33" s="137"/>
      <c r="G33" s="137"/>
      <c r="H33" s="138"/>
      <c r="I33" s="138"/>
      <c r="J33" s="175" t="s">
        <v>133</v>
      </c>
      <c r="K33" s="176"/>
      <c r="L33" s="176"/>
      <c r="M33" s="176"/>
      <c r="N33" s="177"/>
      <c r="O33"/>
    </row>
    <row r="34" spans="1:15" s="143" customFormat="1" ht="27.75" customHeight="1">
      <c r="A34" s="137"/>
      <c r="B34" s="137"/>
      <c r="C34" s="137"/>
      <c r="D34" s="137"/>
      <c r="E34" s="137"/>
      <c r="F34" s="137"/>
      <c r="G34" s="137"/>
      <c r="H34" s="138"/>
      <c r="I34" s="138"/>
      <c r="J34" s="22" t="s">
        <v>4</v>
      </c>
      <c r="K34" s="20" t="s">
        <v>113</v>
      </c>
      <c r="L34" s="19" t="s">
        <v>124</v>
      </c>
      <c r="M34" s="19" t="s">
        <v>132</v>
      </c>
      <c r="N34" s="21" t="s">
        <v>126</v>
      </c>
      <c r="O34"/>
    </row>
    <row r="35" spans="1:14" s="143" customFormat="1" ht="15.75" customHeight="1">
      <c r="A35" s="137"/>
      <c r="B35" s="137"/>
      <c r="C35" s="137"/>
      <c r="D35" s="137"/>
      <c r="E35" s="137"/>
      <c r="F35" s="137"/>
      <c r="G35" s="137"/>
      <c r="H35" s="138"/>
      <c r="I35" s="138"/>
      <c r="J35" s="139">
        <v>4.49</v>
      </c>
      <c r="K35" s="140" t="s">
        <v>76</v>
      </c>
      <c r="L35" s="140">
        <v>17</v>
      </c>
      <c r="M35" s="141" t="s">
        <v>5</v>
      </c>
      <c r="N35" s="142" t="s">
        <v>77</v>
      </c>
    </row>
    <row r="36" spans="1:14" s="143" customFormat="1" ht="15.75" customHeight="1">
      <c r="A36" s="137"/>
      <c r="B36" s="137"/>
      <c r="C36" s="137"/>
      <c r="D36" s="137"/>
      <c r="E36" s="137"/>
      <c r="F36" s="137"/>
      <c r="G36" s="137"/>
      <c r="H36" s="138"/>
      <c r="I36" s="138"/>
      <c r="J36" s="144">
        <v>10.83</v>
      </c>
      <c r="K36" s="145" t="s">
        <v>83</v>
      </c>
      <c r="L36" s="145">
        <v>34</v>
      </c>
      <c r="M36" s="145" t="s">
        <v>6</v>
      </c>
      <c r="N36" s="142" t="s">
        <v>84</v>
      </c>
    </row>
    <row r="37" spans="1:14" s="143" customFormat="1" ht="15.75" customHeight="1">
      <c r="A37" s="137"/>
      <c r="B37" s="137"/>
      <c r="C37" s="137"/>
      <c r="D37" s="137"/>
      <c r="E37" s="137"/>
      <c r="F37" s="137"/>
      <c r="G37" s="137"/>
      <c r="H37" s="138"/>
      <c r="I37" s="138"/>
      <c r="J37" s="139">
        <v>23.92</v>
      </c>
      <c r="K37" s="145" t="s">
        <v>82</v>
      </c>
      <c r="L37" s="145">
        <v>29</v>
      </c>
      <c r="M37" s="145" t="s">
        <v>7</v>
      </c>
      <c r="N37" s="142" t="s">
        <v>81</v>
      </c>
    </row>
    <row r="38" spans="1:14" s="143" customFormat="1" ht="15.75" customHeight="1">
      <c r="A38" s="137"/>
      <c r="B38" s="137"/>
      <c r="C38" s="137"/>
      <c r="D38" s="137"/>
      <c r="E38" s="137"/>
      <c r="F38" s="137"/>
      <c r="G38" s="137"/>
      <c r="H38" s="138"/>
      <c r="I38" s="138"/>
      <c r="J38" s="139">
        <v>33.39</v>
      </c>
      <c r="K38" s="145" t="s">
        <v>80</v>
      </c>
      <c r="L38" s="145">
        <v>28</v>
      </c>
      <c r="M38" s="145" t="s">
        <v>8</v>
      </c>
      <c r="N38" s="142" t="s">
        <v>81</v>
      </c>
    </row>
    <row r="39" spans="1:14" s="143" customFormat="1" ht="15.75" customHeight="1">
      <c r="A39" s="137"/>
      <c r="B39" s="137"/>
      <c r="C39" s="137"/>
      <c r="D39" s="137"/>
      <c r="E39" s="137"/>
      <c r="F39" s="137"/>
      <c r="G39" s="137"/>
      <c r="H39" s="138"/>
      <c r="I39" s="138"/>
      <c r="J39" s="139">
        <v>43.22</v>
      </c>
      <c r="K39" s="145" t="s">
        <v>75</v>
      </c>
      <c r="L39" s="145">
        <v>13</v>
      </c>
      <c r="M39" s="145" t="s">
        <v>9</v>
      </c>
      <c r="N39" s="142" t="s">
        <v>112</v>
      </c>
    </row>
    <row r="40" spans="1:14" s="143" customFormat="1" ht="15.75" customHeight="1">
      <c r="A40" s="137"/>
      <c r="B40" s="137"/>
      <c r="C40" s="137"/>
      <c r="D40" s="137"/>
      <c r="E40" s="137"/>
      <c r="F40" s="137"/>
      <c r="G40" s="137"/>
      <c r="H40" s="138"/>
      <c r="I40" s="138"/>
      <c r="J40" s="139">
        <v>44.56</v>
      </c>
      <c r="K40" s="145" t="s">
        <v>74</v>
      </c>
      <c r="L40" s="145">
        <v>12</v>
      </c>
      <c r="M40" s="145" t="s">
        <v>10</v>
      </c>
      <c r="N40" s="142" t="s">
        <v>112</v>
      </c>
    </row>
    <row r="41" spans="1:14" s="143" customFormat="1" ht="15.75" customHeight="1">
      <c r="A41" s="137"/>
      <c r="B41" s="137"/>
      <c r="C41" s="137"/>
      <c r="D41" s="137"/>
      <c r="E41" s="137"/>
      <c r="F41" s="137"/>
      <c r="G41" s="137"/>
      <c r="H41" s="138"/>
      <c r="I41" s="138"/>
      <c r="J41" s="139">
        <v>55.65</v>
      </c>
      <c r="K41" s="145" t="s">
        <v>31</v>
      </c>
      <c r="L41" s="145">
        <v>2</v>
      </c>
      <c r="M41" s="145" t="s">
        <v>11</v>
      </c>
      <c r="N41" s="142" t="s">
        <v>73</v>
      </c>
    </row>
    <row r="42" spans="1:14" s="143" customFormat="1" ht="15.75" customHeight="1">
      <c r="A42" s="137"/>
      <c r="B42" s="137"/>
      <c r="C42" s="137"/>
      <c r="D42" s="137"/>
      <c r="E42" s="137"/>
      <c r="F42" s="137"/>
      <c r="G42" s="137"/>
      <c r="H42" s="138"/>
      <c r="I42" s="138"/>
      <c r="J42" s="139">
        <v>62.25</v>
      </c>
      <c r="K42" s="145" t="s">
        <v>29</v>
      </c>
      <c r="L42" s="145">
        <v>1</v>
      </c>
      <c r="M42" s="145" t="s">
        <v>12</v>
      </c>
      <c r="N42" s="142" t="s">
        <v>30</v>
      </c>
    </row>
    <row r="43" spans="1:15" ht="15.75" customHeight="1">
      <c r="A43" s="37"/>
      <c r="B43" s="37"/>
      <c r="C43" s="37"/>
      <c r="D43" s="37"/>
      <c r="E43" s="37"/>
      <c r="F43" s="37"/>
      <c r="G43" s="37"/>
      <c r="H43" s="11"/>
      <c r="I43" s="11"/>
      <c r="J43" s="139">
        <v>66.29</v>
      </c>
      <c r="K43" s="146" t="s">
        <v>78</v>
      </c>
      <c r="L43" s="146">
        <v>24</v>
      </c>
      <c r="M43" s="138" t="s">
        <v>13</v>
      </c>
      <c r="N43" s="142" t="s">
        <v>30</v>
      </c>
      <c r="O43" s="143"/>
    </row>
    <row r="44" spans="1:15" ht="15.75" customHeight="1" thickBot="1">
      <c r="A44" s="37"/>
      <c r="B44" s="37"/>
      <c r="C44" s="37"/>
      <c r="D44" s="37"/>
      <c r="E44" s="37"/>
      <c r="F44" s="37"/>
      <c r="G44" s="37"/>
      <c r="H44" s="11"/>
      <c r="I44" s="11"/>
      <c r="J44" s="147">
        <v>66.67</v>
      </c>
      <c r="K44" s="148" t="s">
        <v>79</v>
      </c>
      <c r="L44" s="148">
        <v>27</v>
      </c>
      <c r="M44" s="149" t="s">
        <v>14</v>
      </c>
      <c r="N44" s="150" t="s">
        <v>30</v>
      </c>
      <c r="O44" s="143"/>
    </row>
    <row r="45" spans="1:9" ht="12.75" customHeight="1">
      <c r="A45" s="37"/>
      <c r="B45" s="37"/>
      <c r="C45" s="37"/>
      <c r="D45" s="37"/>
      <c r="E45" s="37"/>
      <c r="F45" s="37"/>
      <c r="G45" s="37"/>
      <c r="H45" s="11"/>
      <c r="I45" s="11"/>
    </row>
    <row r="46" spans="1:10" ht="12.75" customHeight="1">
      <c r="A46" s="84"/>
      <c r="B46" s="84"/>
      <c r="C46" s="84"/>
      <c r="D46" s="84"/>
      <c r="E46" s="84"/>
      <c r="F46" s="84"/>
      <c r="G46" s="84"/>
      <c r="H46" s="11"/>
      <c r="I46" s="11"/>
      <c r="J46" s="32" t="s">
        <v>125</v>
      </c>
    </row>
    <row r="47" spans="1:9" ht="12.75" customHeight="1">
      <c r="A47" s="37"/>
      <c r="B47" s="37"/>
      <c r="C47" s="37"/>
      <c r="D47" s="37"/>
      <c r="E47" s="37"/>
      <c r="F47" s="37"/>
      <c r="G47" s="37"/>
      <c r="H47" s="11"/>
      <c r="I47" s="11"/>
    </row>
    <row r="48" spans="1:14" ht="12.75" customHeight="1">
      <c r="A48" s="33"/>
      <c r="B48" s="33"/>
      <c r="C48" s="33"/>
      <c r="D48" s="33"/>
      <c r="E48" s="33"/>
      <c r="F48" s="33"/>
      <c r="G48" s="33"/>
      <c r="H48" s="11"/>
      <c r="I48" s="11"/>
      <c r="N48" s="10"/>
    </row>
    <row r="49" spans="1:9" ht="12.75" customHeight="1">
      <c r="A49" s="37"/>
      <c r="B49" s="37"/>
      <c r="C49" s="37"/>
      <c r="D49" s="37"/>
      <c r="E49" s="37"/>
      <c r="F49" s="37"/>
      <c r="G49" s="37"/>
      <c r="H49" s="11"/>
      <c r="I49" s="11"/>
    </row>
    <row r="50" spans="8:15" ht="12.75">
      <c r="H50" s="17"/>
      <c r="I50"/>
      <c r="O50" s="10"/>
    </row>
    <row r="52" ht="27" customHeight="1"/>
    <row r="54" ht="12.75">
      <c r="I54" s="16"/>
    </row>
  </sheetData>
  <mergeCells count="2">
    <mergeCell ref="J1:O1"/>
    <mergeCell ref="J33:N33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D1"/>
    </sheetView>
  </sheetViews>
  <sheetFormatPr defaultColWidth="11.00390625" defaultRowHeight="12"/>
  <cols>
    <col min="1" max="2" width="10.875" style="1" customWidth="1"/>
    <col min="3" max="4" width="10.875" style="2" customWidth="1"/>
    <col min="5" max="5" width="10.875" style="3" customWidth="1"/>
    <col min="6" max="6" width="10.875" style="1" customWidth="1"/>
    <col min="7" max="16384" width="10.875" style="10" customWidth="1"/>
  </cols>
  <sheetData>
    <row r="1" spans="1:4" ht="12.75">
      <c r="A1" s="179" t="s">
        <v>85</v>
      </c>
      <c r="B1" s="179"/>
      <c r="C1" s="179"/>
      <c r="D1" s="179"/>
    </row>
    <row r="2" spans="1:6" s="36" customFormat="1" ht="12.75">
      <c r="A2" s="101" t="s">
        <v>175</v>
      </c>
      <c r="B2" s="101"/>
      <c r="C2" s="110"/>
      <c r="D2" s="110"/>
      <c r="E2" s="45"/>
      <c r="F2" s="44"/>
    </row>
    <row r="3" spans="1:7" s="36" customFormat="1" ht="13.5" thickBot="1">
      <c r="A3" s="44"/>
      <c r="B3" s="1"/>
      <c r="C3" s="2"/>
      <c r="D3" s="2"/>
      <c r="E3" s="3"/>
      <c r="F3" s="178" t="s">
        <v>162</v>
      </c>
      <c r="G3" s="178"/>
    </row>
    <row r="4" spans="1:7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161</v>
      </c>
      <c r="G4" s="75" t="s">
        <v>163</v>
      </c>
    </row>
    <row r="5" spans="1:5" ht="12.75">
      <c r="A5" s="1">
        <v>0</v>
      </c>
      <c r="B5" s="1">
        <v>0.3</v>
      </c>
      <c r="C5" s="2">
        <v>0</v>
      </c>
      <c r="D5" s="2">
        <v>1993.389</v>
      </c>
      <c r="E5" s="72">
        <v>32649</v>
      </c>
    </row>
    <row r="6" spans="1:6" ht="12.75">
      <c r="A6" s="1">
        <v>4.1</v>
      </c>
      <c r="B6" s="1">
        <v>0.3</v>
      </c>
      <c r="C6" s="2">
        <v>1.195</v>
      </c>
      <c r="D6" s="2">
        <v>1994.584</v>
      </c>
      <c r="E6" s="72">
        <v>33085</v>
      </c>
      <c r="F6" s="1">
        <v>3.4</v>
      </c>
    </row>
    <row r="7" spans="1:6" ht="12.75">
      <c r="A7" s="1">
        <v>5.5</v>
      </c>
      <c r="B7" s="1">
        <v>0.6</v>
      </c>
      <c r="C7" s="2">
        <v>2.247</v>
      </c>
      <c r="D7" s="2">
        <v>1995.636</v>
      </c>
      <c r="E7" s="72">
        <v>33469</v>
      </c>
      <c r="F7" s="1">
        <v>2.4</v>
      </c>
    </row>
    <row r="8" spans="1:6" ht="12.75">
      <c r="A8" s="1">
        <v>7.6</v>
      </c>
      <c r="B8" s="1">
        <v>1.2</v>
      </c>
      <c r="C8" s="2">
        <v>3.242</v>
      </c>
      <c r="D8" s="2">
        <v>1996.631</v>
      </c>
      <c r="E8" s="72">
        <v>33833</v>
      </c>
      <c r="F8" s="1">
        <v>2.3</v>
      </c>
    </row>
    <row r="9" spans="1:6" ht="12.75">
      <c r="A9" s="1">
        <v>11.8</v>
      </c>
      <c r="B9" s="1">
        <v>0.7</v>
      </c>
      <c r="C9" s="2">
        <v>4.238</v>
      </c>
      <c r="D9" s="2">
        <v>1997.627</v>
      </c>
      <c r="E9" s="72">
        <v>34197</v>
      </c>
      <c r="F9" s="1">
        <v>2.8</v>
      </c>
    </row>
    <row r="10" spans="1:6" ht="12.75">
      <c r="A10" s="1">
        <v>12.2</v>
      </c>
      <c r="B10" s="1">
        <v>0.2</v>
      </c>
      <c r="C10" s="2">
        <v>5.31</v>
      </c>
      <c r="D10" s="2">
        <v>1998.699</v>
      </c>
      <c r="E10" s="72">
        <v>34588</v>
      </c>
      <c r="F10" s="1">
        <v>2.3</v>
      </c>
    </row>
    <row r="11" spans="1:6" ht="12.75">
      <c r="A11" s="1">
        <v>17.5</v>
      </c>
      <c r="B11" s="1">
        <v>1</v>
      </c>
      <c r="C11" s="2">
        <v>6.271</v>
      </c>
      <c r="D11" s="2">
        <v>1999.66</v>
      </c>
      <c r="E11" s="72">
        <v>34939</v>
      </c>
      <c r="F11" s="1">
        <v>2.8</v>
      </c>
    </row>
    <row r="12" spans="1:6" ht="12.75">
      <c r="A12" s="1">
        <v>21.3</v>
      </c>
      <c r="B12" s="1">
        <v>0.3</v>
      </c>
      <c r="C12" s="2">
        <v>7.436</v>
      </c>
      <c r="D12" s="2">
        <v>2000.825</v>
      </c>
      <c r="E12" s="72">
        <v>35365</v>
      </c>
      <c r="F12" s="1">
        <v>2.9</v>
      </c>
    </row>
    <row r="13" spans="1:6" ht="12.75">
      <c r="A13" s="1">
        <f>A12+1.9</f>
        <v>23.2</v>
      </c>
      <c r="B13" s="1">
        <v>0.2</v>
      </c>
      <c r="C13" s="2">
        <f aca="true" t="shared" si="0" ref="C13:C18">D13-$D$5</f>
        <v>8.413000000000011</v>
      </c>
      <c r="D13" s="2">
        <f aca="true" t="shared" si="1" ref="D13:D18">TRUNC(((E13-(365.25*TRUNC((E13/365.25),0)))/365.25),3)+TRUNC((E13/365.25+1904),0)+0.001</f>
        <v>2001.802</v>
      </c>
      <c r="E13" s="64">
        <v>35722</v>
      </c>
      <c r="F13" s="1">
        <f aca="true" t="shared" si="2" ref="F13:F18">A13/C13</f>
        <v>2.7576369903720397</v>
      </c>
    </row>
    <row r="14" spans="1:6" ht="12.75">
      <c r="A14" s="1">
        <f>A13+3</f>
        <v>26.2</v>
      </c>
      <c r="B14" s="1">
        <v>0.4</v>
      </c>
      <c r="C14" s="2">
        <f t="shared" si="0"/>
        <v>9.448000000000093</v>
      </c>
      <c r="D14" s="2">
        <f t="shared" si="1"/>
        <v>2002.837</v>
      </c>
      <c r="E14" s="64">
        <v>36100</v>
      </c>
      <c r="F14" s="1">
        <f t="shared" si="2"/>
        <v>2.7730736663843927</v>
      </c>
    </row>
    <row r="15" spans="1:6" ht="12.75">
      <c r="A15" s="1">
        <f>A14+4.8</f>
        <v>31</v>
      </c>
      <c r="B15" s="1">
        <v>0.2</v>
      </c>
      <c r="C15" s="2">
        <f t="shared" si="0"/>
        <v>10.420000000000073</v>
      </c>
      <c r="D15" s="2">
        <f t="shared" si="1"/>
        <v>2003.809</v>
      </c>
      <c r="E15" s="66">
        <v>36455</v>
      </c>
      <c r="F15" s="1">
        <f t="shared" si="2"/>
        <v>2.9750479846448927</v>
      </c>
    </row>
    <row r="16" spans="1:6" ht="12.75">
      <c r="A16" s="1">
        <f>A15+3.4</f>
        <v>34.4</v>
      </c>
      <c r="B16" s="1">
        <v>0.2</v>
      </c>
      <c r="C16" s="2">
        <f t="shared" si="0"/>
        <v>11.40300000000002</v>
      </c>
      <c r="D16" s="2">
        <f t="shared" si="1"/>
        <v>2004.792</v>
      </c>
      <c r="E16" s="67">
        <v>36814</v>
      </c>
      <c r="F16" s="1">
        <f t="shared" si="2"/>
        <v>3.0167499780759397</v>
      </c>
    </row>
    <row r="17" spans="1:6" ht="12.75">
      <c r="A17" s="1">
        <f>A16+1.6</f>
        <v>36</v>
      </c>
      <c r="B17" s="1">
        <v>0.2</v>
      </c>
      <c r="C17" s="2">
        <f t="shared" si="0"/>
        <v>12.38000000000011</v>
      </c>
      <c r="D17" s="2">
        <f t="shared" si="1"/>
        <v>2005.769</v>
      </c>
      <c r="E17" s="67">
        <v>37171</v>
      </c>
      <c r="F17" s="1">
        <f t="shared" si="2"/>
        <v>2.9079159935379386</v>
      </c>
    </row>
    <row r="18" spans="1:7" ht="12.75">
      <c r="A18" s="1">
        <f>A17+3.1</f>
        <v>39.1</v>
      </c>
      <c r="B18" s="1">
        <v>0.7</v>
      </c>
      <c r="C18" s="2">
        <f t="shared" si="0"/>
        <v>13.433999999999969</v>
      </c>
      <c r="D18" s="2">
        <f t="shared" si="1"/>
        <v>2006.8229999999999</v>
      </c>
      <c r="E18" s="67">
        <v>37556</v>
      </c>
      <c r="F18" s="1">
        <f t="shared" si="2"/>
        <v>2.9105255322316577</v>
      </c>
      <c r="G18" s="10" t="s">
        <v>170</v>
      </c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/>
      <c r="B30" s="10"/>
      <c r="C30" s="10"/>
      <c r="D30" s="10"/>
      <c r="E30" s="10"/>
      <c r="F30" s="10"/>
    </row>
    <row r="31" spans="1:6" ht="12.75">
      <c r="A31"/>
      <c r="B31" s="10"/>
      <c r="C31" s="10"/>
      <c r="D31" s="10"/>
      <c r="E31" s="10"/>
      <c r="F31" s="10"/>
    </row>
    <row r="32" spans="1:6" ht="12.75">
      <c r="A32"/>
      <c r="B32" s="10"/>
      <c r="C32" s="10"/>
      <c r="D32" s="10"/>
      <c r="E32" s="10"/>
      <c r="F32" s="10"/>
    </row>
    <row r="33" spans="1:6" ht="12.75">
      <c r="A33"/>
      <c r="B33" s="10"/>
      <c r="C33" s="10"/>
      <c r="D33" s="10"/>
      <c r="E33" s="10"/>
      <c r="F33" s="10"/>
    </row>
    <row r="34" spans="1:6" ht="12.75">
      <c r="A34"/>
      <c r="B34" s="10"/>
      <c r="C34" s="10"/>
      <c r="D34" s="10"/>
      <c r="E34" s="10"/>
      <c r="F34" s="10"/>
    </row>
    <row r="35" spans="1:6" ht="12.75">
      <c r="A35"/>
      <c r="B35" s="10"/>
      <c r="C35" s="10"/>
      <c r="D35" s="10"/>
      <c r="E35" s="10"/>
      <c r="F35" s="10"/>
    </row>
    <row r="36" spans="1:6" ht="12.75">
      <c r="A36"/>
      <c r="B36" s="10"/>
      <c r="C36" s="10"/>
      <c r="D36" s="10"/>
      <c r="E36" s="10"/>
      <c r="F36" s="10"/>
    </row>
    <row r="37" spans="1:6" ht="12.75">
      <c r="A37"/>
      <c r="B37" s="10"/>
      <c r="C37" s="10"/>
      <c r="D37" s="10"/>
      <c r="E37" s="10"/>
      <c r="F37" s="10"/>
    </row>
    <row r="38" spans="1:6" ht="12.75">
      <c r="A38"/>
      <c r="B38" s="10"/>
      <c r="C38" s="10"/>
      <c r="D38" s="10"/>
      <c r="E38" s="10"/>
      <c r="F38" s="10"/>
    </row>
    <row r="39" spans="1:6" ht="12.75">
      <c r="A39"/>
      <c r="B39" s="10"/>
      <c r="C39" s="10"/>
      <c r="D39" s="10"/>
      <c r="E39" s="10"/>
      <c r="F39" s="10"/>
    </row>
    <row r="40" spans="1:6" ht="12.75">
      <c r="A40"/>
      <c r="B40" s="10"/>
      <c r="C40" s="10"/>
      <c r="D40" s="10"/>
      <c r="E40" s="10"/>
      <c r="F40" s="10"/>
    </row>
    <row r="41" spans="1:6" ht="12.75">
      <c r="A41"/>
      <c r="B41" s="10"/>
      <c r="C41" s="10"/>
      <c r="D41" s="10"/>
      <c r="E41" s="10"/>
      <c r="F41" s="10"/>
    </row>
    <row r="42" spans="1:6" ht="12.75">
      <c r="A42"/>
      <c r="B42" s="10"/>
      <c r="C42" s="10"/>
      <c r="D42" s="10"/>
      <c r="E42" s="10"/>
      <c r="F42" s="10"/>
    </row>
    <row r="43" spans="1:6" ht="12.75">
      <c r="A43"/>
      <c r="B43" s="10"/>
      <c r="C43" s="10"/>
      <c r="D43" s="10"/>
      <c r="E43" s="10"/>
      <c r="F43" s="10"/>
    </row>
    <row r="44" spans="1:6" ht="12.75">
      <c r="A44"/>
      <c r="B44" s="10"/>
      <c r="C44" s="10"/>
      <c r="D44" s="10"/>
      <c r="E44" s="10"/>
      <c r="F44" s="10"/>
    </row>
    <row r="45" spans="1:6" ht="12.75">
      <c r="A45"/>
      <c r="B45" s="10"/>
      <c r="C45" s="10"/>
      <c r="D45" s="10"/>
      <c r="E45" s="10"/>
      <c r="F45" s="10"/>
    </row>
    <row r="46" spans="1:6" ht="12.75">
      <c r="A46"/>
      <c r="B46" s="10"/>
      <c r="C46" s="10"/>
      <c r="D46" s="10"/>
      <c r="E46" s="10"/>
      <c r="F46" s="10"/>
    </row>
    <row r="47" spans="1:6" ht="12.75">
      <c r="A47"/>
      <c r="B47" s="10"/>
      <c r="C47" s="10"/>
      <c r="D47" s="10"/>
      <c r="E47" s="10"/>
      <c r="F47" s="10"/>
    </row>
    <row r="48" spans="1:6" ht="12.75">
      <c r="A48"/>
      <c r="B48" s="10"/>
      <c r="C48" s="10"/>
      <c r="D48" s="10"/>
      <c r="E48" s="10"/>
      <c r="F48" s="10"/>
    </row>
    <row r="49" spans="1:6" ht="12.75">
      <c r="A49"/>
      <c r="B49" s="10"/>
      <c r="C49" s="10"/>
      <c r="D49" s="10"/>
      <c r="E49" s="10"/>
      <c r="F49" s="10"/>
    </row>
    <row r="50" spans="1:6" ht="12.75">
      <c r="A50"/>
      <c r="B50" s="10"/>
      <c r="C50" s="10"/>
      <c r="D50" s="10"/>
      <c r="E50" s="10"/>
      <c r="F50" s="10"/>
    </row>
    <row r="51" spans="1:6" ht="12.75">
      <c r="A51"/>
      <c r="B51" s="10"/>
      <c r="C51" s="10"/>
      <c r="D51" s="10"/>
      <c r="E51" s="10"/>
      <c r="F51" s="10"/>
    </row>
    <row r="52" spans="1:6" ht="12.75">
      <c r="A52"/>
      <c r="B52" s="10"/>
      <c r="C52" s="10"/>
      <c r="D52" s="10"/>
      <c r="E52" s="10"/>
      <c r="F52" s="10"/>
    </row>
    <row r="53" spans="1:6" ht="12.75">
      <c r="A53"/>
      <c r="B53" s="10"/>
      <c r="C53" s="10"/>
      <c r="D53" s="10"/>
      <c r="E53" s="10"/>
      <c r="F53" s="10"/>
    </row>
    <row r="54" spans="1:6" ht="12.75">
      <c r="A54"/>
      <c r="B54" s="10"/>
      <c r="C54" s="10"/>
      <c r="D54" s="10"/>
      <c r="E54" s="10"/>
      <c r="F54" s="10"/>
    </row>
    <row r="55" spans="1:6" ht="12.75">
      <c r="A55"/>
      <c r="B55" s="10"/>
      <c r="C55" s="10"/>
      <c r="D55" s="10"/>
      <c r="E55" s="10"/>
      <c r="F55" s="10"/>
    </row>
    <row r="56" spans="1:6" ht="12.75">
      <c r="A56"/>
      <c r="B56" s="10"/>
      <c r="C56" s="10"/>
      <c r="D56" s="10"/>
      <c r="E56" s="10"/>
      <c r="F56" s="10"/>
    </row>
    <row r="57" spans="1:6" ht="12.75">
      <c r="A57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</sheetData>
  <mergeCells count="2">
    <mergeCell ref="A1:D1"/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A1" sqref="A1:D1"/>
    </sheetView>
  </sheetViews>
  <sheetFormatPr defaultColWidth="11.00390625" defaultRowHeight="12"/>
  <cols>
    <col min="1" max="2" width="10.875" style="1" customWidth="1"/>
    <col min="3" max="4" width="10.875" style="2" customWidth="1"/>
    <col min="5" max="5" width="10.875" style="9" customWidth="1"/>
    <col min="6" max="6" width="10.875" style="1" customWidth="1"/>
    <col min="7" max="16384" width="10.875" style="10" customWidth="1"/>
  </cols>
  <sheetData>
    <row r="1" spans="1:4" ht="12.75">
      <c r="A1" s="179" t="s">
        <v>85</v>
      </c>
      <c r="B1" s="179"/>
      <c r="C1" s="179"/>
      <c r="D1" s="179"/>
    </row>
    <row r="2" spans="1:6" s="36" customFormat="1" ht="12.75">
      <c r="A2" s="101" t="s">
        <v>176</v>
      </c>
      <c r="B2" s="101"/>
      <c r="C2" s="110"/>
      <c r="D2" s="110"/>
      <c r="E2" s="47"/>
      <c r="F2" s="44"/>
    </row>
    <row r="3" spans="1:7" s="36" customFormat="1" ht="13.5" thickBot="1">
      <c r="A3" s="44"/>
      <c r="B3" s="1"/>
      <c r="C3" s="2"/>
      <c r="D3" s="2"/>
      <c r="E3" s="3"/>
      <c r="F3" s="178" t="s">
        <v>162</v>
      </c>
      <c r="G3" s="178"/>
    </row>
    <row r="4" spans="1:7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161</v>
      </c>
      <c r="G4" s="75" t="s">
        <v>163</v>
      </c>
    </row>
    <row r="5" spans="1:5" ht="12.75">
      <c r="A5" s="1">
        <v>0</v>
      </c>
      <c r="B5" s="1">
        <v>0.9</v>
      </c>
      <c r="C5" s="2">
        <v>0</v>
      </c>
      <c r="D5" s="2">
        <v>1993.389</v>
      </c>
      <c r="E5" s="50">
        <v>32649</v>
      </c>
    </row>
    <row r="6" spans="1:6" ht="12.75">
      <c r="A6" s="1">
        <v>5.2</v>
      </c>
      <c r="B6" s="1">
        <v>0.4</v>
      </c>
      <c r="C6" s="2">
        <v>1.197</v>
      </c>
      <c r="D6" s="2">
        <v>1994.586</v>
      </c>
      <c r="E6" s="50">
        <v>33086</v>
      </c>
      <c r="F6" s="1">
        <v>4.3</v>
      </c>
    </row>
    <row r="7" spans="1:6" ht="12.75">
      <c r="A7" s="1">
        <v>12.7</v>
      </c>
      <c r="B7" s="1">
        <v>1</v>
      </c>
      <c r="C7" s="2">
        <v>2.255</v>
      </c>
      <c r="D7" s="2">
        <v>1995.644</v>
      </c>
      <c r="E7" s="50">
        <v>33472</v>
      </c>
      <c r="F7" s="1">
        <v>5.6</v>
      </c>
    </row>
    <row r="8" spans="1:6" ht="12.75">
      <c r="A8" s="1">
        <v>18.3</v>
      </c>
      <c r="B8" s="1">
        <v>0.3</v>
      </c>
      <c r="C8" s="2">
        <v>3.245</v>
      </c>
      <c r="D8" s="2">
        <v>1996.634</v>
      </c>
      <c r="E8" s="50">
        <v>33834</v>
      </c>
      <c r="F8" s="1">
        <v>5.6</v>
      </c>
    </row>
    <row r="9" spans="1:6" ht="12.75">
      <c r="A9" s="1">
        <v>23</v>
      </c>
      <c r="B9" s="1">
        <v>0.7</v>
      </c>
      <c r="C9" s="2">
        <v>4.244</v>
      </c>
      <c r="D9" s="2">
        <v>1997.633</v>
      </c>
      <c r="E9" s="50">
        <v>34199</v>
      </c>
      <c r="F9" s="1">
        <v>5.4</v>
      </c>
    </row>
    <row r="10" spans="1:6" ht="12.75">
      <c r="A10" s="1">
        <v>28.7</v>
      </c>
      <c r="B10" s="1">
        <v>0.5</v>
      </c>
      <c r="C10" s="2">
        <v>5.29</v>
      </c>
      <c r="D10" s="2">
        <v>1998.679</v>
      </c>
      <c r="E10" s="50">
        <v>34581</v>
      </c>
      <c r="F10" s="1">
        <v>5.4</v>
      </c>
    </row>
    <row r="11" spans="1:6" ht="12.75">
      <c r="A11" s="1">
        <v>37.9</v>
      </c>
      <c r="B11" s="1">
        <v>0.4</v>
      </c>
      <c r="C11" s="2">
        <v>6.29</v>
      </c>
      <c r="D11" s="2">
        <v>1999.679</v>
      </c>
      <c r="E11" s="50">
        <v>34946</v>
      </c>
      <c r="F11" s="1">
        <v>6</v>
      </c>
    </row>
    <row r="12" spans="1:6" ht="12.75">
      <c r="A12" s="1">
        <v>37.3</v>
      </c>
      <c r="B12" s="1">
        <v>0.5</v>
      </c>
      <c r="C12" s="2">
        <v>7.436</v>
      </c>
      <c r="D12" s="2">
        <v>2000.825</v>
      </c>
      <c r="E12" s="50">
        <v>35365</v>
      </c>
      <c r="F12" s="1">
        <v>5</v>
      </c>
    </row>
    <row r="13" spans="1:6" ht="12.75">
      <c r="A13" s="1">
        <f>A12-0.7</f>
        <v>36.599999999999994</v>
      </c>
      <c r="B13" s="1">
        <v>0.6</v>
      </c>
      <c r="C13" s="2">
        <f aca="true" t="shared" si="0" ref="C13:C18">D13-$D$5</f>
        <v>8.413000000000011</v>
      </c>
      <c r="D13" s="2">
        <f aca="true" t="shared" si="1" ref="D13:D18">TRUNC(((E13-(365.25*TRUNC((E13/365.25),0)))/365.25),3)+TRUNC((E13/365.25+1904),0)+0.001</f>
        <v>2001.802</v>
      </c>
      <c r="E13" s="64">
        <v>35722</v>
      </c>
      <c r="F13" s="1">
        <f aca="true" t="shared" si="2" ref="F13:F18">A13/C13</f>
        <v>4.350410079638648</v>
      </c>
    </row>
    <row r="14" spans="1:6" ht="12.75">
      <c r="A14" s="1">
        <f>A13+0.4</f>
        <v>36.99999999999999</v>
      </c>
      <c r="B14" s="1">
        <v>0.4</v>
      </c>
      <c r="C14" s="2">
        <f t="shared" si="0"/>
        <v>9.445000000000164</v>
      </c>
      <c r="D14" s="2">
        <f t="shared" si="1"/>
        <v>2002.834</v>
      </c>
      <c r="E14" s="64">
        <v>36099</v>
      </c>
      <c r="F14" s="1">
        <f t="shared" si="2"/>
        <v>3.917416622551546</v>
      </c>
    </row>
    <row r="15" spans="1:6" ht="12.75">
      <c r="A15" s="1">
        <f>A14+6.7</f>
        <v>43.699999999999996</v>
      </c>
      <c r="B15" s="1">
        <v>0.6</v>
      </c>
      <c r="C15" s="2">
        <f t="shared" si="0"/>
        <v>10.423000000000002</v>
      </c>
      <c r="D15" s="2">
        <f t="shared" si="1"/>
        <v>2003.812</v>
      </c>
      <c r="E15" s="66">
        <v>36456</v>
      </c>
      <c r="F15" s="1">
        <f t="shared" si="2"/>
        <v>4.192650868272089</v>
      </c>
    </row>
    <row r="16" spans="1:6" ht="12.75">
      <c r="A16" s="1">
        <f>A15+4.3</f>
        <v>47.99999999999999</v>
      </c>
      <c r="B16" s="1">
        <v>0.3</v>
      </c>
      <c r="C16" s="2">
        <f t="shared" si="0"/>
        <v>11.40300000000002</v>
      </c>
      <c r="D16" s="2">
        <f t="shared" si="1"/>
        <v>2004.792</v>
      </c>
      <c r="E16" s="67">
        <v>36814</v>
      </c>
      <c r="F16" s="1">
        <f t="shared" si="2"/>
        <v>4.20941857405945</v>
      </c>
    </row>
    <row r="17" spans="1:6" ht="12.75">
      <c r="A17" s="1">
        <f>A16+4.6</f>
        <v>52.599999999999994</v>
      </c>
      <c r="B17" s="1">
        <v>0.5</v>
      </c>
      <c r="C17" s="2">
        <f t="shared" si="0"/>
        <v>12.385999999999967</v>
      </c>
      <c r="D17" s="2">
        <f t="shared" si="1"/>
        <v>2005.7749999999999</v>
      </c>
      <c r="E17" s="67">
        <v>37173</v>
      </c>
      <c r="F17" s="1">
        <f t="shared" si="2"/>
        <v>4.24673017923463</v>
      </c>
    </row>
    <row r="18" spans="1:7" ht="12.75">
      <c r="A18" s="1">
        <f>A17+6.5</f>
        <v>59.099999999999994</v>
      </c>
      <c r="B18" s="1">
        <v>0.9</v>
      </c>
      <c r="C18" s="2">
        <f t="shared" si="0"/>
        <v>13.433999999999969</v>
      </c>
      <c r="D18" s="2">
        <f t="shared" si="1"/>
        <v>2006.8229999999999</v>
      </c>
      <c r="E18" s="67">
        <v>37556</v>
      </c>
      <c r="F18" s="1">
        <f t="shared" si="2"/>
        <v>4.399285395265753</v>
      </c>
      <c r="G18" s="10" t="s">
        <v>171</v>
      </c>
    </row>
    <row r="22" spans="1:6" ht="12.75">
      <c r="A22" s="10"/>
      <c r="B22" s="10"/>
      <c r="C22" s="10"/>
      <c r="D22" s="10"/>
      <c r="E22" s="10"/>
      <c r="F22" s="10"/>
    </row>
    <row r="23" spans="1:6" ht="12.75">
      <c r="A23" s="10"/>
      <c r="B23" s="10"/>
      <c r="C23" s="10"/>
      <c r="D23" s="10"/>
      <c r="E23" s="10"/>
      <c r="F23" s="10"/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2.75">
      <c r="A35" s="10"/>
      <c r="B35" s="10"/>
      <c r="C35" s="10"/>
      <c r="D35" s="10"/>
      <c r="E35" s="10"/>
      <c r="F35" s="10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/>
      <c r="B49" s="10"/>
      <c r="C49" s="10"/>
      <c r="D49" s="10"/>
      <c r="E49" s="10"/>
      <c r="F49" s="10"/>
    </row>
    <row r="50" spans="1:6" ht="12.75">
      <c r="A50"/>
      <c r="B50" s="10"/>
      <c r="C50" s="10"/>
      <c r="D50" s="10"/>
      <c r="E50" s="10"/>
      <c r="F50" s="10"/>
    </row>
    <row r="51" spans="1:6" ht="12.75">
      <c r="A51"/>
      <c r="B51" s="10"/>
      <c r="C51" s="10"/>
      <c r="D51" s="10"/>
      <c r="E51" s="10"/>
      <c r="F51" s="10"/>
    </row>
    <row r="52" spans="1:6" ht="12.75">
      <c r="A52"/>
      <c r="B52" s="10"/>
      <c r="C52" s="10"/>
      <c r="D52" s="10"/>
      <c r="E52" s="10"/>
      <c r="F52" s="10"/>
    </row>
    <row r="53" spans="1:6" ht="12.75">
      <c r="A53"/>
      <c r="B53" s="10"/>
      <c r="C53" s="10"/>
      <c r="D53" s="10"/>
      <c r="E53" s="10"/>
      <c r="F53" s="10"/>
    </row>
    <row r="54" spans="1:6" ht="12.75">
      <c r="A54"/>
      <c r="B54" s="10"/>
      <c r="C54" s="10"/>
      <c r="D54" s="10"/>
      <c r="E54" s="10"/>
      <c r="F54" s="10"/>
    </row>
    <row r="55" spans="1:6" ht="12.75">
      <c r="A55"/>
      <c r="B55" s="10"/>
      <c r="C55" s="10"/>
      <c r="D55" s="10"/>
      <c r="E55" s="10"/>
      <c r="F55" s="10"/>
    </row>
    <row r="56" spans="1:6" ht="12.75">
      <c r="A56"/>
      <c r="B56" s="10"/>
      <c r="C56" s="10"/>
      <c r="D56" s="10"/>
      <c r="E56" s="10"/>
      <c r="F56" s="10"/>
    </row>
    <row r="57" spans="1:6" ht="12.75">
      <c r="A57"/>
      <c r="B57" s="10"/>
      <c r="C57" s="10"/>
      <c r="D57" s="10"/>
      <c r="E57" s="10"/>
      <c r="F57" s="10"/>
    </row>
    <row r="58" spans="1:6" ht="12.75">
      <c r="A58"/>
      <c r="B58" s="10"/>
      <c r="C58" s="10"/>
      <c r="D58" s="10"/>
      <c r="E58" s="10"/>
      <c r="F58" s="10"/>
    </row>
    <row r="59" spans="1:6" ht="12.75">
      <c r="A59"/>
      <c r="B59" s="10"/>
      <c r="C59" s="10"/>
      <c r="D59" s="10"/>
      <c r="E59" s="10"/>
      <c r="F59" s="10"/>
    </row>
    <row r="60" spans="1:6" ht="12.75">
      <c r="A60"/>
      <c r="B60" s="10"/>
      <c r="C60" s="10"/>
      <c r="D60" s="10"/>
      <c r="E60" s="10"/>
      <c r="F60" s="10"/>
    </row>
    <row r="61" spans="1:6" ht="12.75">
      <c r="A61"/>
      <c r="B61" s="10"/>
      <c r="C61" s="10"/>
      <c r="D61" s="10"/>
      <c r="E61" s="10"/>
      <c r="F61" s="10"/>
    </row>
    <row r="62" spans="1:6" ht="12.75">
      <c r="A62"/>
      <c r="B62" s="10"/>
      <c r="C62" s="10"/>
      <c r="D62" s="10"/>
      <c r="E62" s="10"/>
      <c r="F62" s="10"/>
    </row>
    <row r="63" spans="1:6" ht="12.75">
      <c r="A63"/>
      <c r="B63" s="10"/>
      <c r="C63" s="10"/>
      <c r="D63" s="10"/>
      <c r="E63" s="10"/>
      <c r="F63" s="10"/>
    </row>
    <row r="64" spans="1:6" ht="12.75">
      <c r="A64"/>
      <c r="B64" s="10"/>
      <c r="C64" s="10"/>
      <c r="D64" s="10"/>
      <c r="E64" s="10"/>
      <c r="F64" s="10"/>
    </row>
    <row r="65" spans="1:6" ht="12.75">
      <c r="A65"/>
      <c r="B65" s="10"/>
      <c r="C65" s="10"/>
      <c r="D65" s="10"/>
      <c r="E65" s="10"/>
      <c r="F65" s="10"/>
    </row>
    <row r="66" spans="4:9" ht="12.75">
      <c r="D66"/>
      <c r="G66"/>
      <c r="H66"/>
      <c r="I66"/>
    </row>
    <row r="67" spans="4:9" ht="12.75">
      <c r="D67"/>
      <c r="G67"/>
      <c r="H67"/>
      <c r="I67"/>
    </row>
    <row r="71" spans="1:3" ht="12.75">
      <c r="A71" s="9"/>
      <c r="C71"/>
    </row>
    <row r="75" spans="1:3" ht="12.75">
      <c r="A75" s="9"/>
      <c r="C75"/>
    </row>
  </sheetData>
  <mergeCells count="2">
    <mergeCell ref="A1:D1"/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:D1"/>
    </sheetView>
  </sheetViews>
  <sheetFormatPr defaultColWidth="11.00390625" defaultRowHeight="12"/>
  <cols>
    <col min="1" max="2" width="10.875" style="4" customWidth="1"/>
    <col min="3" max="4" width="10.875" style="5" customWidth="1"/>
    <col min="5" max="5" width="10.875" style="6" customWidth="1"/>
    <col min="6" max="6" width="10.875" style="4" customWidth="1"/>
  </cols>
  <sheetData>
    <row r="1" spans="1:4" ht="12.75">
      <c r="A1" s="179" t="s">
        <v>85</v>
      </c>
      <c r="B1" s="179"/>
      <c r="C1" s="179"/>
      <c r="D1" s="179"/>
    </row>
    <row r="2" spans="1:4" ht="12.75">
      <c r="A2" s="111" t="s">
        <v>189</v>
      </c>
      <c r="B2" s="111"/>
      <c r="C2" s="112"/>
      <c r="D2" s="112"/>
    </row>
    <row r="3" spans="1:7" ht="13.5" thickBot="1">
      <c r="A3" s="44"/>
      <c r="B3" s="1"/>
      <c r="C3" s="2"/>
      <c r="D3" s="2"/>
      <c r="E3" s="3"/>
      <c r="F3" s="178" t="s">
        <v>162</v>
      </c>
      <c r="G3" s="178"/>
    </row>
    <row r="4" spans="1:7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161</v>
      </c>
      <c r="G4" s="75" t="s">
        <v>163</v>
      </c>
    </row>
    <row r="5" spans="1:6" ht="12.75">
      <c r="A5" s="7">
        <v>0</v>
      </c>
      <c r="B5" s="7">
        <v>0.4</v>
      </c>
      <c r="C5" s="51">
        <v>0</v>
      </c>
      <c r="D5" s="51">
        <v>1997.627</v>
      </c>
      <c r="E5" s="72">
        <v>34197</v>
      </c>
      <c r="F5" s="7"/>
    </row>
    <row r="6" spans="1:6" ht="12.75">
      <c r="A6" s="7">
        <v>2</v>
      </c>
      <c r="B6" s="7">
        <v>0.3</v>
      </c>
      <c r="C6" s="51">
        <v>1.036</v>
      </c>
      <c r="D6" s="51">
        <v>1998.663</v>
      </c>
      <c r="E6" s="72">
        <v>34575</v>
      </c>
      <c r="F6" s="7">
        <v>1.9</v>
      </c>
    </row>
    <row r="7" spans="1:6" ht="12.75">
      <c r="A7" s="7">
        <v>7.6</v>
      </c>
      <c r="B7" s="7">
        <v>0.7</v>
      </c>
      <c r="C7" s="51">
        <v>2.033</v>
      </c>
      <c r="D7" s="51">
        <v>1999.66</v>
      </c>
      <c r="E7" s="72">
        <v>34939</v>
      </c>
      <c r="F7" s="7">
        <v>3.7</v>
      </c>
    </row>
    <row r="8" spans="1:6" ht="12.75">
      <c r="A8" s="7">
        <v>12.7</v>
      </c>
      <c r="B8" s="7">
        <v>0.7</v>
      </c>
      <c r="C8" s="51">
        <v>3.198</v>
      </c>
      <c r="D8" s="51">
        <v>2000.825</v>
      </c>
      <c r="E8" s="72">
        <v>35365</v>
      </c>
      <c r="F8" s="7">
        <v>4</v>
      </c>
    </row>
    <row r="9" spans="1:6" ht="12.75">
      <c r="A9" s="7">
        <f>A8+1.6</f>
        <v>14.299999999999999</v>
      </c>
      <c r="B9" s="7">
        <v>0.6</v>
      </c>
      <c r="C9" s="51">
        <f aca="true" t="shared" si="0" ref="C9:C14">D9-$D$5</f>
        <v>4.191000000000031</v>
      </c>
      <c r="D9" s="51">
        <f aca="true" t="shared" si="1" ref="D9:D14">TRUNC(((E9-(365.25*TRUNC((E9/365.25),0)))/365.25),3)+TRUNC((E9/365.25+1904),0)+0.001</f>
        <v>2001.818</v>
      </c>
      <c r="E9" s="64">
        <v>35728</v>
      </c>
      <c r="F9" s="7">
        <f aca="true" t="shared" si="2" ref="F9:F14">A9/C9</f>
        <v>3.412073490813623</v>
      </c>
    </row>
    <row r="10" spans="1:6" ht="12.75">
      <c r="A10" s="7">
        <f>A9+3.3</f>
        <v>17.599999999999998</v>
      </c>
      <c r="B10" s="7">
        <v>0.4</v>
      </c>
      <c r="C10" s="51">
        <f t="shared" si="0"/>
        <v>5.221000000000004</v>
      </c>
      <c r="D10" s="51">
        <f t="shared" si="1"/>
        <v>2002.848</v>
      </c>
      <c r="E10" s="64">
        <v>36104</v>
      </c>
      <c r="F10" s="7">
        <f t="shared" si="2"/>
        <v>3.371001723807697</v>
      </c>
    </row>
    <row r="11" spans="1:6" ht="12.75">
      <c r="A11" s="7">
        <f>A10+2.9</f>
        <v>20.499999999999996</v>
      </c>
      <c r="B11" s="7">
        <v>0.7</v>
      </c>
      <c r="C11" s="51">
        <f t="shared" si="0"/>
        <v>6.182000000000016</v>
      </c>
      <c r="D11" s="51">
        <f t="shared" si="1"/>
        <v>2003.809</v>
      </c>
      <c r="E11" s="72">
        <v>36455</v>
      </c>
      <c r="F11" s="7">
        <f t="shared" si="2"/>
        <v>3.31607893885473</v>
      </c>
    </row>
    <row r="12" spans="1:6" ht="12.75">
      <c r="A12" s="7">
        <f>A11+2.4</f>
        <v>22.899999999999995</v>
      </c>
      <c r="B12" s="7">
        <v>0.7</v>
      </c>
      <c r="C12" s="51">
        <f t="shared" si="0"/>
        <v>7.164999999999964</v>
      </c>
      <c r="D12" s="51">
        <f t="shared" si="1"/>
        <v>2004.792</v>
      </c>
      <c r="E12" s="67">
        <v>36814</v>
      </c>
      <c r="F12" s="7">
        <f t="shared" si="2"/>
        <v>3.196092114445235</v>
      </c>
    </row>
    <row r="13" spans="1:6" ht="12.75">
      <c r="A13" s="7">
        <f>A12+4.2</f>
        <v>27.099999999999994</v>
      </c>
      <c r="B13" s="7">
        <v>1.3</v>
      </c>
      <c r="C13" s="51">
        <f t="shared" si="0"/>
        <v>8.142000000000053</v>
      </c>
      <c r="D13" s="51">
        <f t="shared" si="1"/>
        <v>2005.769</v>
      </c>
      <c r="E13" s="67">
        <v>37171</v>
      </c>
      <c r="F13" s="7">
        <f t="shared" si="2"/>
        <v>3.328420535494942</v>
      </c>
    </row>
    <row r="14" spans="1:7" ht="12.75">
      <c r="A14" s="7">
        <f>A13+0.4</f>
        <v>27.499999999999993</v>
      </c>
      <c r="B14" s="7">
        <v>0.5</v>
      </c>
      <c r="C14" s="51">
        <f t="shared" si="0"/>
        <v>9.195999999999913</v>
      </c>
      <c r="D14" s="51">
        <f t="shared" si="1"/>
        <v>2006.8229999999999</v>
      </c>
      <c r="E14" s="67">
        <v>37556</v>
      </c>
      <c r="F14" s="7">
        <f t="shared" si="2"/>
        <v>2.990430622009597</v>
      </c>
      <c r="G14" t="s">
        <v>136</v>
      </c>
    </row>
    <row r="15" spans="1:6" ht="12.75">
      <c r="A15" s="1"/>
      <c r="B15" s="1"/>
      <c r="C15" s="2"/>
      <c r="D15" s="2"/>
      <c r="E15" s="3"/>
      <c r="F15" s="1"/>
    </row>
    <row r="16" spans="1:6" ht="12.75">
      <c r="A16" s="1"/>
      <c r="B16" s="1"/>
      <c r="C16" s="2"/>
      <c r="D16" s="2"/>
      <c r="E16" s="3"/>
      <c r="F16" s="1"/>
    </row>
    <row r="17" spans="1:6" ht="12.75">
      <c r="A17" s="1"/>
      <c r="B17" s="1"/>
      <c r="C17" s="2"/>
      <c r="D17" s="2"/>
      <c r="E17" s="3"/>
      <c r="F17" s="1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4:6" ht="12.75">
      <c r="D65"/>
      <c r="E65"/>
      <c r="F65"/>
    </row>
    <row r="66" spans="4:6" ht="12.75">
      <c r="D66"/>
      <c r="E66"/>
      <c r="F66"/>
    </row>
    <row r="67" spans="4:6" ht="12.75">
      <c r="D67"/>
      <c r="E67"/>
      <c r="F67"/>
    </row>
    <row r="68" spans="4:6" ht="12.75">
      <c r="D68"/>
      <c r="E68"/>
      <c r="F68"/>
    </row>
    <row r="69" spans="4:6" ht="12.75">
      <c r="D69"/>
      <c r="E69"/>
      <c r="F69"/>
    </row>
    <row r="70" spans="4:6" ht="12.75">
      <c r="D70"/>
      <c r="E70"/>
      <c r="F70"/>
    </row>
  </sheetData>
  <mergeCells count="2">
    <mergeCell ref="A1:D1"/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1" sqref="A1:F1"/>
    </sheetView>
  </sheetViews>
  <sheetFormatPr defaultColWidth="11.00390625" defaultRowHeight="12"/>
  <cols>
    <col min="1" max="1" width="5.875" style="4" customWidth="1"/>
    <col min="2" max="2" width="4.875" style="4" customWidth="1"/>
    <col min="3" max="3" width="7.00390625" style="5" customWidth="1"/>
    <col min="4" max="4" width="9.875" style="5" customWidth="1"/>
    <col min="5" max="5" width="10.375" style="6" customWidth="1"/>
    <col min="6" max="6" width="5.625" style="4" customWidth="1"/>
    <col min="7" max="7" width="9.50390625" style="0" customWidth="1"/>
    <col min="8" max="8" width="30.00390625" style="0" customWidth="1"/>
  </cols>
  <sheetData>
    <row r="1" spans="1:6" ht="12.75">
      <c r="A1" s="179" t="s">
        <v>85</v>
      </c>
      <c r="B1" s="179"/>
      <c r="C1" s="179"/>
      <c r="D1" s="179"/>
      <c r="E1" s="179"/>
      <c r="F1" s="179"/>
    </row>
    <row r="2" spans="1:4" ht="12.75">
      <c r="A2" s="111" t="s">
        <v>177</v>
      </c>
      <c r="B2" s="111"/>
      <c r="C2" s="112"/>
      <c r="D2" s="112"/>
    </row>
    <row r="3" spans="1:7" ht="13.5" thickBot="1">
      <c r="A3" s="44"/>
      <c r="B3" s="1"/>
      <c r="C3" s="2"/>
      <c r="D3" s="2"/>
      <c r="E3" s="3"/>
      <c r="F3" s="178" t="s">
        <v>162</v>
      </c>
      <c r="G3" s="178"/>
    </row>
    <row r="4" spans="1:7" ht="33.75" customHeight="1">
      <c r="A4" s="39" t="s">
        <v>44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46</v>
      </c>
      <c r="G4" s="75" t="s">
        <v>163</v>
      </c>
    </row>
    <row r="5" spans="1:6" s="76" customFormat="1" ht="12.75">
      <c r="A5" s="7">
        <v>0</v>
      </c>
      <c r="B5" s="7">
        <v>0.5</v>
      </c>
      <c r="C5" s="51">
        <v>0</v>
      </c>
      <c r="D5" s="51">
        <v>1992.62</v>
      </c>
      <c r="E5" s="72">
        <v>32368</v>
      </c>
      <c r="F5" s="7"/>
    </row>
    <row r="6" spans="1:6" s="76" customFormat="1" ht="12.75">
      <c r="A6" s="7">
        <v>18.2</v>
      </c>
      <c r="B6" s="7">
        <v>0.6</v>
      </c>
      <c r="C6" s="51">
        <v>1.966</v>
      </c>
      <c r="D6" s="51">
        <v>1994.586</v>
      </c>
      <c r="E6" s="72">
        <v>33086</v>
      </c>
      <c r="F6" s="7">
        <v>9.3</v>
      </c>
    </row>
    <row r="7" spans="1:6" ht="12.75">
      <c r="A7" s="1">
        <v>22.9</v>
      </c>
      <c r="B7" s="1">
        <v>0.2</v>
      </c>
      <c r="C7" s="2">
        <v>3.016</v>
      </c>
      <c r="D7" s="2">
        <v>1995.636</v>
      </c>
      <c r="E7" s="3">
        <v>33469</v>
      </c>
      <c r="F7" s="1">
        <v>7.6</v>
      </c>
    </row>
    <row r="8" spans="1:6" ht="12.75">
      <c r="A8" s="1">
        <v>26.3</v>
      </c>
      <c r="B8" s="1">
        <v>0.3</v>
      </c>
      <c r="C8" s="2">
        <v>4.011</v>
      </c>
      <c r="D8" s="2">
        <v>1996.631</v>
      </c>
      <c r="E8" s="3">
        <v>33833</v>
      </c>
      <c r="F8" s="1">
        <v>6.6</v>
      </c>
    </row>
    <row r="9" spans="1:6" ht="12.75">
      <c r="A9" s="1">
        <v>30.5</v>
      </c>
      <c r="B9" s="1">
        <v>0.2</v>
      </c>
      <c r="C9" s="2">
        <v>5.007</v>
      </c>
      <c r="D9" s="2">
        <v>1997.627</v>
      </c>
      <c r="E9" s="3">
        <v>34197</v>
      </c>
      <c r="F9" s="1">
        <v>6.1</v>
      </c>
    </row>
    <row r="10" spans="1:6" ht="12.75">
      <c r="A10" s="1">
        <v>36.1</v>
      </c>
      <c r="B10" s="1">
        <v>0.2</v>
      </c>
      <c r="C10" s="2">
        <v>6.043</v>
      </c>
      <c r="D10" s="2">
        <v>1998.663</v>
      </c>
      <c r="E10" s="3">
        <v>34575</v>
      </c>
      <c r="F10" s="1">
        <v>6</v>
      </c>
    </row>
    <row r="11" spans="1:6" ht="12.75">
      <c r="A11" s="1">
        <v>40.6</v>
      </c>
      <c r="B11" s="1">
        <v>0.3</v>
      </c>
      <c r="C11" s="2">
        <v>7.04</v>
      </c>
      <c r="D11" s="2">
        <v>1999.66</v>
      </c>
      <c r="E11" s="3">
        <v>34939</v>
      </c>
      <c r="F11" s="1">
        <v>5.8</v>
      </c>
    </row>
    <row r="12" spans="1:6" ht="12.75">
      <c r="A12" s="1">
        <v>44.9</v>
      </c>
      <c r="B12" s="1">
        <v>0.4</v>
      </c>
      <c r="C12" s="2">
        <v>8.205</v>
      </c>
      <c r="D12" s="2">
        <v>2000.825</v>
      </c>
      <c r="E12" s="72">
        <v>35365</v>
      </c>
      <c r="F12" s="1">
        <v>5.5</v>
      </c>
    </row>
    <row r="13" spans="1:6" ht="12.75">
      <c r="A13" s="1">
        <f>A12+4</f>
        <v>48.9</v>
      </c>
      <c r="B13" s="1">
        <v>1</v>
      </c>
      <c r="C13" s="2">
        <f aca="true" t="shared" si="0" ref="C13:C18">D13-$D$5</f>
        <v>9.198000000000093</v>
      </c>
      <c r="D13" s="51">
        <f aca="true" t="shared" si="1" ref="D13:D18">TRUNC(((E13-(365.25*TRUNC((E13/365.25),0)))/365.25),3)+TRUNC((E13/365.25+1904),0)+0.001</f>
        <v>2001.818</v>
      </c>
      <c r="E13" s="64">
        <v>35728</v>
      </c>
      <c r="F13" s="1">
        <f aca="true" t="shared" si="2" ref="F13:F18">A13/C13</f>
        <v>5.316373124592249</v>
      </c>
    </row>
    <row r="14" spans="1:6" ht="12.75">
      <c r="A14" s="1">
        <f>A13+5.3</f>
        <v>54.199999999999996</v>
      </c>
      <c r="B14" s="1">
        <v>0.3</v>
      </c>
      <c r="C14" s="2">
        <f t="shared" si="0"/>
        <v>10.21400000000017</v>
      </c>
      <c r="D14" s="51">
        <f t="shared" si="1"/>
        <v>2002.834</v>
      </c>
      <c r="E14" s="64">
        <v>36099</v>
      </c>
      <c r="F14" s="1">
        <f t="shared" si="2"/>
        <v>5.3064421382415405</v>
      </c>
    </row>
    <row r="15" spans="1:8" ht="12.75">
      <c r="A15" s="1">
        <f>A14+5.1</f>
        <v>59.3</v>
      </c>
      <c r="B15" s="1" t="s">
        <v>160</v>
      </c>
      <c r="C15" s="2">
        <f t="shared" si="0"/>
        <v>11.178000000000111</v>
      </c>
      <c r="D15" s="51">
        <f t="shared" si="1"/>
        <v>2003.798</v>
      </c>
      <c r="E15" s="66">
        <v>36451</v>
      </c>
      <c r="F15" s="1">
        <f t="shared" si="2"/>
        <v>5.305063517623851</v>
      </c>
      <c r="H15" t="s">
        <v>45</v>
      </c>
    </row>
    <row r="16" spans="1:6" ht="12.75">
      <c r="A16" s="1">
        <f>A15+3.3</f>
        <v>62.599999999999994</v>
      </c>
      <c r="B16" s="1">
        <v>0.2</v>
      </c>
      <c r="C16" s="2">
        <f t="shared" si="0"/>
        <v>12.173999999999978</v>
      </c>
      <c r="D16" s="51">
        <f t="shared" si="1"/>
        <v>2004.7939999999999</v>
      </c>
      <c r="E16" s="67">
        <v>36815</v>
      </c>
      <c r="F16" s="1">
        <f t="shared" si="2"/>
        <v>5.142106127813381</v>
      </c>
    </row>
    <row r="17" spans="1:6" ht="12.75">
      <c r="A17" s="1">
        <f>A16+4.7</f>
        <v>67.3</v>
      </c>
      <c r="B17" s="1">
        <v>0.4</v>
      </c>
      <c r="C17" s="2">
        <f t="shared" si="0"/>
        <v>13.149000000000115</v>
      </c>
      <c r="D17" s="51">
        <f t="shared" si="1"/>
        <v>2005.769</v>
      </c>
      <c r="E17" s="67">
        <v>37171</v>
      </c>
      <c r="F17" s="1">
        <f t="shared" si="2"/>
        <v>5.118259943721911</v>
      </c>
    </row>
    <row r="18" spans="1:7" ht="12.75">
      <c r="A18" s="1">
        <f>A17+4.2</f>
        <v>71.5</v>
      </c>
      <c r="B18" s="1">
        <v>0.3</v>
      </c>
      <c r="C18" s="2">
        <f t="shared" si="0"/>
        <v>14.202999999999975</v>
      </c>
      <c r="D18" s="51">
        <f t="shared" si="1"/>
        <v>2006.8229999999999</v>
      </c>
      <c r="E18" s="67">
        <v>37556</v>
      </c>
      <c r="F18" s="1">
        <f t="shared" si="2"/>
        <v>5.0341477152714305</v>
      </c>
      <c r="G18" t="s">
        <v>137</v>
      </c>
    </row>
    <row r="19" spans="1:6" ht="12.75">
      <c r="A19" s="1"/>
      <c r="B19" s="1"/>
      <c r="C19" s="2"/>
      <c r="D19" s="2"/>
      <c r="E19" s="3"/>
      <c r="F19" s="1"/>
    </row>
    <row r="20" spans="1:6" ht="12.75">
      <c r="A20" s="1"/>
      <c r="B20" s="1"/>
      <c r="C20" s="2"/>
      <c r="D20" s="2"/>
      <c r="E20" s="3"/>
      <c r="F20" s="1"/>
    </row>
    <row r="21" spans="1:6" ht="12.75">
      <c r="A21" s="1"/>
      <c r="B21" s="1"/>
      <c r="C21" s="2"/>
      <c r="D21" s="2"/>
      <c r="E21" s="3"/>
      <c r="F21" s="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4:6" ht="12.75">
      <c r="D71"/>
      <c r="E71"/>
      <c r="F71"/>
    </row>
    <row r="72" spans="4:6" ht="12.75">
      <c r="D72"/>
      <c r="E72"/>
      <c r="F72"/>
    </row>
    <row r="73" spans="4:6" ht="12.75">
      <c r="D73"/>
      <c r="E73"/>
      <c r="F73"/>
    </row>
    <row r="74" spans="4:6" ht="12.75">
      <c r="D74"/>
      <c r="E74"/>
      <c r="F74"/>
    </row>
    <row r="75" spans="4:6" ht="12.75">
      <c r="D75"/>
      <c r="E75"/>
      <c r="F75"/>
    </row>
  </sheetData>
  <mergeCells count="2">
    <mergeCell ref="F3:G3"/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A1" sqref="A1:F1"/>
    </sheetView>
  </sheetViews>
  <sheetFormatPr defaultColWidth="11.00390625" defaultRowHeight="12"/>
  <cols>
    <col min="1" max="1" width="6.50390625" style="4" customWidth="1"/>
    <col min="2" max="2" width="4.375" style="4" customWidth="1"/>
    <col min="3" max="3" width="6.375" style="5" customWidth="1"/>
    <col min="4" max="4" width="8.50390625" style="5" customWidth="1"/>
    <col min="5" max="5" width="9.625" style="6" customWidth="1"/>
    <col min="6" max="6" width="6.50390625" style="4" customWidth="1"/>
    <col min="7" max="7" width="5.50390625" style="0" customWidth="1"/>
    <col min="8" max="8" width="39.875" style="0" customWidth="1"/>
  </cols>
  <sheetData>
    <row r="1" spans="1:6" ht="12.75">
      <c r="A1" s="181" t="s">
        <v>85</v>
      </c>
      <c r="B1" s="181"/>
      <c r="C1" s="181"/>
      <c r="D1" s="181"/>
      <c r="E1" s="181"/>
      <c r="F1" s="181"/>
    </row>
    <row r="2" spans="1:4" ht="12.75">
      <c r="A2" s="111" t="s">
        <v>178</v>
      </c>
      <c r="B2" s="111"/>
      <c r="C2" s="112"/>
      <c r="D2" s="112"/>
    </row>
    <row r="3" spans="1:7" ht="24" customHeight="1" thickBot="1">
      <c r="A3" s="44"/>
      <c r="B3" s="1"/>
      <c r="C3" s="2"/>
      <c r="D3" s="2"/>
      <c r="E3" s="3"/>
      <c r="F3" s="180" t="s">
        <v>162</v>
      </c>
      <c r="G3" s="180"/>
    </row>
    <row r="4" spans="1:7" ht="33.75" customHeight="1">
      <c r="A4" s="39" t="s">
        <v>44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47</v>
      </c>
      <c r="G4" s="75" t="s">
        <v>163</v>
      </c>
    </row>
    <row r="5" spans="1:7" ht="12.75">
      <c r="A5" s="1">
        <v>0</v>
      </c>
      <c r="B5" s="1"/>
      <c r="C5" s="2">
        <v>0</v>
      </c>
      <c r="D5" s="2">
        <v>1977.074</v>
      </c>
      <c r="E5" s="3">
        <v>26690</v>
      </c>
      <c r="F5" s="1"/>
      <c r="G5" s="10"/>
    </row>
    <row r="6" spans="1:7" ht="12.75">
      <c r="A6" s="1">
        <v>73.1</v>
      </c>
      <c r="B6" s="1">
        <v>0.3</v>
      </c>
      <c r="C6" s="2">
        <v>15.735</v>
      </c>
      <c r="D6" s="2">
        <v>1992.809</v>
      </c>
      <c r="E6" s="3">
        <v>32437</v>
      </c>
      <c r="F6" s="1">
        <v>4.6</v>
      </c>
      <c r="G6" s="10"/>
    </row>
    <row r="7" spans="1:7" ht="12.75">
      <c r="A7" s="1">
        <v>78.5</v>
      </c>
      <c r="B7" s="1">
        <v>0.9</v>
      </c>
      <c r="C7" s="2">
        <v>20.556</v>
      </c>
      <c r="D7" s="2">
        <v>1997.63</v>
      </c>
      <c r="E7" s="3">
        <v>34198</v>
      </c>
      <c r="F7" s="1">
        <v>3.8</v>
      </c>
      <c r="G7" s="10"/>
    </row>
    <row r="8" spans="1:7" ht="12.75">
      <c r="A8" s="1">
        <v>86.2</v>
      </c>
      <c r="B8" s="1">
        <v>1.1</v>
      </c>
      <c r="C8" s="2">
        <v>21.589</v>
      </c>
      <c r="D8" s="2">
        <v>1998.663</v>
      </c>
      <c r="E8" s="3">
        <v>34575</v>
      </c>
      <c r="F8" s="1">
        <v>4</v>
      </c>
      <c r="G8" s="10"/>
    </row>
    <row r="9" spans="1:7" ht="12.75">
      <c r="A9" s="1">
        <v>92.3</v>
      </c>
      <c r="B9" s="1">
        <v>0.8</v>
      </c>
      <c r="C9" s="2">
        <v>22.603</v>
      </c>
      <c r="D9" s="2">
        <v>1999.677</v>
      </c>
      <c r="E9" s="72">
        <v>34945</v>
      </c>
      <c r="F9" s="1">
        <v>4.1</v>
      </c>
      <c r="G9" s="10"/>
    </row>
    <row r="10" spans="1:7" ht="12.75">
      <c r="A10" s="1">
        <v>100</v>
      </c>
      <c r="B10" s="1">
        <v>0.8</v>
      </c>
      <c r="C10" s="2">
        <v>23.732</v>
      </c>
      <c r="D10" s="2">
        <v>2000.806</v>
      </c>
      <c r="E10" s="72">
        <v>35358</v>
      </c>
      <c r="F10" s="1">
        <v>4.2</v>
      </c>
      <c r="G10" s="10"/>
    </row>
    <row r="11" spans="1:6" ht="12.75">
      <c r="A11" s="1">
        <f>A10+10.1</f>
        <v>110.1</v>
      </c>
      <c r="B11" s="1">
        <v>0.8</v>
      </c>
      <c r="C11" s="2">
        <f aca="true" t="shared" si="0" ref="C11:C16">D11-$D$5</f>
        <v>24.730999999999995</v>
      </c>
      <c r="D11" s="51">
        <f aca="true" t="shared" si="1" ref="D11:D16">TRUNC(((E11-(365.25*TRUNC((E11/365.25),0)))/365.25),3)+TRUNC((E11/365.25+1904),0)+0.001</f>
        <v>2001.805</v>
      </c>
      <c r="E11" s="64">
        <v>35723</v>
      </c>
      <c r="F11" s="1">
        <f aca="true" t="shared" si="2" ref="F11:F16">A11/C11</f>
        <v>4.451902470583479</v>
      </c>
    </row>
    <row r="12" spans="1:8" ht="12.75">
      <c r="A12" s="1">
        <f>A11+4.6</f>
        <v>114.69999999999999</v>
      </c>
      <c r="B12" s="1">
        <v>0.6</v>
      </c>
      <c r="C12" s="2">
        <f t="shared" si="0"/>
        <v>25.76599999999985</v>
      </c>
      <c r="D12" s="51">
        <f t="shared" si="1"/>
        <v>2002.84</v>
      </c>
      <c r="E12" s="64">
        <v>36101</v>
      </c>
      <c r="F12" s="1">
        <f t="shared" si="2"/>
        <v>4.451602887526223</v>
      </c>
      <c r="H12" t="s">
        <v>141</v>
      </c>
    </row>
    <row r="13" spans="1:6" ht="12.75">
      <c r="A13" s="1">
        <f>A12+8</f>
        <v>122.69999999999999</v>
      </c>
      <c r="B13" s="1">
        <v>0.7</v>
      </c>
      <c r="C13" s="2">
        <f t="shared" si="0"/>
        <v>26.723999999999933</v>
      </c>
      <c r="D13" s="51">
        <f t="shared" si="1"/>
        <v>2003.798</v>
      </c>
      <c r="E13" s="66">
        <v>36451</v>
      </c>
      <c r="F13" s="1">
        <f t="shared" si="2"/>
        <v>4.591378536147294</v>
      </c>
    </row>
    <row r="14" spans="1:6" ht="12.75">
      <c r="A14" s="1">
        <f>A13+4.7</f>
        <v>127.39999999999999</v>
      </c>
      <c r="B14" s="1">
        <v>0.2</v>
      </c>
      <c r="C14" s="2">
        <f t="shared" si="0"/>
        <v>27.736999999999853</v>
      </c>
      <c r="D14" s="51">
        <f t="shared" si="1"/>
        <v>2004.811</v>
      </c>
      <c r="E14" s="80">
        <v>36821</v>
      </c>
      <c r="F14" s="1">
        <f t="shared" si="2"/>
        <v>4.59314273353285</v>
      </c>
    </row>
    <row r="15" spans="1:6" ht="12.75">
      <c r="A15" s="1">
        <f>A14+4.5</f>
        <v>131.89999999999998</v>
      </c>
      <c r="B15" s="1">
        <v>0.5</v>
      </c>
      <c r="C15" s="2">
        <f t="shared" si="0"/>
        <v>28.700999999999794</v>
      </c>
      <c r="D15" s="51">
        <f t="shared" si="1"/>
        <v>2005.7749999999999</v>
      </c>
      <c r="E15" s="67">
        <v>37173</v>
      </c>
      <c r="F15" s="1">
        <f t="shared" si="2"/>
        <v>4.59565868785063</v>
      </c>
    </row>
    <row r="16" spans="1:7" ht="12.75">
      <c r="A16" s="1">
        <f>A15+4.2</f>
        <v>136.09999999999997</v>
      </c>
      <c r="B16" s="1">
        <v>0.2</v>
      </c>
      <c r="C16" s="2">
        <f t="shared" si="0"/>
        <v>29.76599999999985</v>
      </c>
      <c r="D16" s="51">
        <f t="shared" si="1"/>
        <v>2006.84</v>
      </c>
      <c r="E16" s="67">
        <v>37562</v>
      </c>
      <c r="F16" s="1">
        <f t="shared" si="2"/>
        <v>4.572330847275437</v>
      </c>
      <c r="G16" t="s">
        <v>142</v>
      </c>
    </row>
    <row r="17" spans="1:6" ht="12.75">
      <c r="A17" s="1"/>
      <c r="B17" s="1"/>
      <c r="C17" s="2"/>
      <c r="D17" s="2"/>
      <c r="E17" s="3"/>
      <c r="F17" s="1"/>
    </row>
    <row r="18" spans="1:6" ht="12.75">
      <c r="A18" s="1"/>
      <c r="B18" s="1"/>
      <c r="C18" s="2"/>
      <c r="D18" s="2"/>
      <c r="E18" s="3"/>
      <c r="F18" s="1"/>
    </row>
    <row r="19" spans="1:6" ht="12.75">
      <c r="A19" s="1"/>
      <c r="B19" s="1"/>
      <c r="C19" s="2"/>
      <c r="D19" s="2"/>
      <c r="E19" s="3"/>
      <c r="F19" s="1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</sheetData>
  <mergeCells count="2">
    <mergeCell ref="F3:G3"/>
    <mergeCell ref="A1:F1"/>
  </mergeCells>
  <printOptions/>
  <pageMargins left="0.53" right="0.63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:E1"/>
    </sheetView>
  </sheetViews>
  <sheetFormatPr defaultColWidth="11.00390625" defaultRowHeight="12"/>
  <cols>
    <col min="1" max="1" width="6.375" style="4" customWidth="1"/>
    <col min="2" max="2" width="6.875" style="4" customWidth="1"/>
    <col min="3" max="3" width="7.375" style="5" customWidth="1"/>
    <col min="4" max="4" width="9.50390625" style="5" customWidth="1"/>
    <col min="5" max="5" width="10.375" style="6" customWidth="1"/>
    <col min="6" max="6" width="6.375" style="4" customWidth="1"/>
    <col min="7" max="7" width="9.50390625" style="0" customWidth="1"/>
    <col min="8" max="8" width="27.125" style="0" customWidth="1"/>
  </cols>
  <sheetData>
    <row r="1" spans="1:5" ht="12.75">
      <c r="A1" s="181" t="s">
        <v>85</v>
      </c>
      <c r="B1" s="181"/>
      <c r="C1" s="181"/>
      <c r="D1" s="181"/>
      <c r="E1" s="181"/>
    </row>
    <row r="2" spans="1:4" ht="12.75">
      <c r="A2" s="111" t="s">
        <v>179</v>
      </c>
      <c r="B2" s="111"/>
      <c r="C2" s="112"/>
      <c r="D2" s="112"/>
    </row>
    <row r="3" spans="1:7" ht="13.5" thickBot="1">
      <c r="A3" s="44"/>
      <c r="B3" s="1"/>
      <c r="C3" s="2"/>
      <c r="D3" s="2"/>
      <c r="E3" s="3"/>
      <c r="F3" s="178" t="s">
        <v>162</v>
      </c>
      <c r="G3" s="178"/>
    </row>
    <row r="4" spans="1:7" ht="39.75" customHeight="1">
      <c r="A4" s="39" t="s">
        <v>48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47</v>
      </c>
      <c r="G4" s="75" t="s">
        <v>163</v>
      </c>
    </row>
    <row r="5" spans="1:6" ht="12.75">
      <c r="A5" s="1">
        <v>0</v>
      </c>
      <c r="B5" s="1">
        <v>0.4</v>
      </c>
      <c r="C5" s="2">
        <v>0</v>
      </c>
      <c r="D5" s="2">
        <v>1994.589</v>
      </c>
      <c r="E5" s="3">
        <v>33087</v>
      </c>
      <c r="F5" s="1"/>
    </row>
    <row r="6" spans="1:6" ht="12.75">
      <c r="A6" s="1">
        <v>9.2</v>
      </c>
      <c r="B6" s="1">
        <v>0.5</v>
      </c>
      <c r="C6" s="2">
        <v>1.052</v>
      </c>
      <c r="D6" s="2">
        <v>1995.641</v>
      </c>
      <c r="E6" s="3">
        <v>33471</v>
      </c>
      <c r="F6" s="1">
        <v>8.7</v>
      </c>
    </row>
    <row r="7" spans="1:6" ht="12.75">
      <c r="A7" s="1">
        <v>15.7</v>
      </c>
      <c r="B7" s="1">
        <v>1.2</v>
      </c>
      <c r="C7" s="2">
        <v>2.045</v>
      </c>
      <c r="D7" s="2">
        <v>1996.634</v>
      </c>
      <c r="E7" s="3">
        <v>33834</v>
      </c>
      <c r="F7" s="1">
        <v>7.7</v>
      </c>
    </row>
    <row r="8" spans="1:6" ht="12.75">
      <c r="A8" s="1">
        <v>22.5</v>
      </c>
      <c r="B8" s="1">
        <v>0.4</v>
      </c>
      <c r="C8" s="2">
        <v>3.041</v>
      </c>
      <c r="D8" s="2">
        <v>1997.63</v>
      </c>
      <c r="E8" s="3">
        <v>34198</v>
      </c>
      <c r="F8" s="1">
        <v>7.4</v>
      </c>
    </row>
    <row r="9" spans="1:6" ht="12.75">
      <c r="A9" s="1">
        <v>28.3</v>
      </c>
      <c r="B9" s="1">
        <v>0.2</v>
      </c>
      <c r="C9" s="2">
        <v>4.09</v>
      </c>
      <c r="D9" s="2">
        <v>1998.679</v>
      </c>
      <c r="E9" s="3">
        <v>34581</v>
      </c>
      <c r="F9" s="1">
        <v>6.9</v>
      </c>
    </row>
    <row r="10" spans="1:6" ht="12.75">
      <c r="A10" s="1">
        <v>34.8</v>
      </c>
      <c r="B10" s="1">
        <v>0.4</v>
      </c>
      <c r="C10" s="2">
        <v>5.088</v>
      </c>
      <c r="D10" s="2">
        <v>1999.677</v>
      </c>
      <c r="E10" s="3">
        <v>34945</v>
      </c>
      <c r="F10" s="1">
        <v>6.8</v>
      </c>
    </row>
    <row r="11" spans="1:6" ht="12.75">
      <c r="A11" s="1">
        <v>41.5</v>
      </c>
      <c r="B11" s="1">
        <v>0.4</v>
      </c>
      <c r="C11" s="2">
        <v>6.217</v>
      </c>
      <c r="D11" s="2">
        <v>2000.806</v>
      </c>
      <c r="E11" s="3">
        <v>35358</v>
      </c>
      <c r="F11" s="1">
        <v>6.7</v>
      </c>
    </row>
    <row r="12" spans="1:6" ht="12.75">
      <c r="A12" s="1">
        <f>A11+3</f>
        <v>44.5</v>
      </c>
      <c r="B12" s="1">
        <v>0.5</v>
      </c>
      <c r="C12" s="2">
        <f aca="true" t="shared" si="0" ref="C12:C17">D12-$D$5</f>
        <v>7.216000000000122</v>
      </c>
      <c r="D12" s="51">
        <f aca="true" t="shared" si="1" ref="D12:D17">TRUNC(((E12-(365.25*TRUNC((E12/365.25),0)))/365.25),3)+TRUNC((E12/365.25+1904),0)+0.001</f>
        <v>2001.805</v>
      </c>
      <c r="E12" s="64">
        <v>35723</v>
      </c>
      <c r="F12" s="1">
        <f aca="true" t="shared" si="2" ref="F12:F17">A12/C12</f>
        <v>6.166851441241581</v>
      </c>
    </row>
    <row r="13" spans="1:6" ht="12.75">
      <c r="A13" s="1">
        <f>A12+6.1</f>
        <v>50.6</v>
      </c>
      <c r="B13" s="1">
        <v>0.3</v>
      </c>
      <c r="C13" s="2">
        <f t="shared" si="0"/>
        <v>8.250999999999976</v>
      </c>
      <c r="D13" s="51">
        <f t="shared" si="1"/>
        <v>2002.84</v>
      </c>
      <c r="E13" s="64">
        <v>36101</v>
      </c>
      <c r="F13" s="1">
        <f t="shared" si="2"/>
        <v>6.132589989092249</v>
      </c>
    </row>
    <row r="14" spans="1:6" ht="12.75">
      <c r="A14" s="7">
        <f>A13+5.2</f>
        <v>55.800000000000004</v>
      </c>
      <c r="B14" s="7">
        <v>0.6</v>
      </c>
      <c r="C14" s="51">
        <f t="shared" si="0"/>
        <v>9.20900000000006</v>
      </c>
      <c r="D14" s="51">
        <f t="shared" si="1"/>
        <v>2003.798</v>
      </c>
      <c r="E14" s="66">
        <v>36451</v>
      </c>
      <c r="F14" s="7">
        <f t="shared" si="2"/>
        <v>6.059289825170989</v>
      </c>
    </row>
    <row r="15" spans="1:8" ht="12.75">
      <c r="A15" s="7">
        <f>A14+6.1</f>
        <v>61.900000000000006</v>
      </c>
      <c r="B15" s="7">
        <v>0.5</v>
      </c>
      <c r="C15" s="51">
        <f t="shared" si="0"/>
        <v>10.22199999999998</v>
      </c>
      <c r="D15" s="51">
        <f t="shared" si="1"/>
        <v>2004.811</v>
      </c>
      <c r="E15" s="80">
        <v>36821</v>
      </c>
      <c r="F15" s="7">
        <f t="shared" si="2"/>
        <v>6.055566425357085</v>
      </c>
      <c r="H15" t="s">
        <v>143</v>
      </c>
    </row>
    <row r="16" spans="1:6" ht="12.75">
      <c r="A16" s="7">
        <f>A15+1.4</f>
        <v>63.300000000000004</v>
      </c>
      <c r="B16" s="7">
        <v>0.3</v>
      </c>
      <c r="C16" s="51">
        <f t="shared" si="0"/>
        <v>11.185999999999922</v>
      </c>
      <c r="D16" s="51">
        <f t="shared" si="1"/>
        <v>2005.7749999999999</v>
      </c>
      <c r="E16" s="67">
        <v>37173</v>
      </c>
      <c r="F16" s="7">
        <f t="shared" si="2"/>
        <v>5.65885928839625</v>
      </c>
    </row>
    <row r="17" spans="1:7" ht="12.75">
      <c r="A17" s="7">
        <f>A16+7.9</f>
        <v>71.2</v>
      </c>
      <c r="B17" s="7">
        <v>0.8</v>
      </c>
      <c r="C17" s="51">
        <f t="shared" si="0"/>
        <v>12.23700000000008</v>
      </c>
      <c r="D17" s="51">
        <f t="shared" si="1"/>
        <v>2006.826</v>
      </c>
      <c r="E17" s="67">
        <v>37557</v>
      </c>
      <c r="F17" s="7">
        <f t="shared" si="2"/>
        <v>5.818419547274621</v>
      </c>
      <c r="G17" t="s">
        <v>144</v>
      </c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</sheetData>
  <mergeCells count="2">
    <mergeCell ref="F3:G3"/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D1"/>
    </sheetView>
  </sheetViews>
  <sheetFormatPr defaultColWidth="11.00390625" defaultRowHeight="12"/>
  <cols>
    <col min="1" max="2" width="10.875" style="4" customWidth="1"/>
    <col min="3" max="4" width="10.875" style="5" customWidth="1"/>
    <col min="5" max="5" width="10.875" style="6" customWidth="1"/>
    <col min="6" max="6" width="10.875" style="4" customWidth="1"/>
  </cols>
  <sheetData>
    <row r="1" spans="1:4" ht="12.75">
      <c r="A1" s="179" t="s">
        <v>85</v>
      </c>
      <c r="B1" s="179"/>
      <c r="C1" s="179"/>
      <c r="D1" s="179"/>
    </row>
    <row r="2" spans="1:4" ht="12.75">
      <c r="A2" s="111" t="s">
        <v>180</v>
      </c>
      <c r="B2" s="111"/>
      <c r="C2" s="112"/>
      <c r="D2" s="112"/>
    </row>
    <row r="3" spans="1:7" ht="13.5" thickBot="1">
      <c r="A3" s="44"/>
      <c r="B3" s="1"/>
      <c r="C3" s="2"/>
      <c r="D3" s="2"/>
      <c r="E3" s="3"/>
      <c r="F3" s="178" t="s">
        <v>162</v>
      </c>
      <c r="G3" s="178"/>
    </row>
    <row r="4" spans="1:7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165</v>
      </c>
      <c r="G4" s="75" t="s">
        <v>163</v>
      </c>
    </row>
    <row r="5" spans="1:7" ht="12.75">
      <c r="A5" s="1">
        <v>0</v>
      </c>
      <c r="B5" s="1"/>
      <c r="C5" s="2">
        <v>0</v>
      </c>
      <c r="D5" s="2">
        <v>1970.074</v>
      </c>
      <c r="E5" s="3">
        <v>24133</v>
      </c>
      <c r="F5" s="1"/>
      <c r="G5" s="10"/>
    </row>
    <row r="6" spans="1:7" ht="12.75">
      <c r="A6" s="1">
        <v>104.6</v>
      </c>
      <c r="B6" s="1">
        <v>2.6</v>
      </c>
      <c r="C6" s="2">
        <v>22.792</v>
      </c>
      <c r="D6" s="2">
        <v>1992.866</v>
      </c>
      <c r="E6" s="3">
        <v>32458</v>
      </c>
      <c r="F6" s="1">
        <v>4.6</v>
      </c>
      <c r="G6" s="10"/>
    </row>
    <row r="7" spans="1:7" ht="12.75">
      <c r="A7" s="1">
        <v>119</v>
      </c>
      <c r="B7" s="1">
        <v>0.8</v>
      </c>
      <c r="C7" s="2">
        <v>27.562</v>
      </c>
      <c r="D7" s="2">
        <v>1997.636</v>
      </c>
      <c r="E7" s="3">
        <v>34200</v>
      </c>
      <c r="F7" s="1">
        <v>4.3</v>
      </c>
      <c r="G7" s="10"/>
    </row>
    <row r="8" spans="1:7" ht="12.75">
      <c r="A8" s="1">
        <v>125</v>
      </c>
      <c r="B8" s="1">
        <v>1</v>
      </c>
      <c r="C8" s="2">
        <v>28.605</v>
      </c>
      <c r="D8" s="2">
        <v>1998.679</v>
      </c>
      <c r="E8" s="3">
        <v>34581</v>
      </c>
      <c r="F8" s="1">
        <v>4.4</v>
      </c>
      <c r="G8" s="10"/>
    </row>
    <row r="9" spans="1:7" ht="12.75">
      <c r="A9" s="1">
        <v>129.2</v>
      </c>
      <c r="B9" s="1">
        <v>0.4</v>
      </c>
      <c r="C9" s="2">
        <v>29.603</v>
      </c>
      <c r="D9" s="2">
        <v>1999.677</v>
      </c>
      <c r="E9" s="3">
        <v>34945</v>
      </c>
      <c r="F9" s="1">
        <v>4.4</v>
      </c>
      <c r="G9" s="10"/>
    </row>
    <row r="10" spans="1:7" ht="12.75">
      <c r="A10" s="1">
        <v>141.1</v>
      </c>
      <c r="B10" s="1">
        <v>2.7</v>
      </c>
      <c r="C10" s="2">
        <v>30.732</v>
      </c>
      <c r="D10" s="2">
        <v>2000.806</v>
      </c>
      <c r="E10" s="3">
        <v>35358</v>
      </c>
      <c r="F10" s="1">
        <v>4.6</v>
      </c>
      <c r="G10" s="10"/>
    </row>
    <row r="11" spans="1:7" ht="12.75">
      <c r="A11" s="1">
        <f>A10+0.1</f>
        <v>141.2</v>
      </c>
      <c r="B11" s="1">
        <v>0.4</v>
      </c>
      <c r="C11" s="2">
        <f aca="true" t="shared" si="0" ref="C11:C16">D11-$D$5</f>
        <v>31.743999999999915</v>
      </c>
      <c r="D11" s="51">
        <f aca="true" t="shared" si="1" ref="D11:D16">TRUNC(((E11-(365.25*TRUNC((E11/365.25),0)))/365.25),3)+TRUNC((E11/365.25+1904),0)+0.001</f>
        <v>2001.818</v>
      </c>
      <c r="E11" s="70">
        <v>35728</v>
      </c>
      <c r="F11" s="1">
        <f aca="true" t="shared" si="2" ref="F11:F16">A11/C11</f>
        <v>4.4480846774193665</v>
      </c>
      <c r="G11" s="10"/>
    </row>
    <row r="12" spans="1:7" ht="12.75">
      <c r="A12" s="1">
        <f>A11+-0.9</f>
        <v>140.29999999999998</v>
      </c>
      <c r="B12" s="1">
        <v>0.4</v>
      </c>
      <c r="C12" s="2">
        <f t="shared" si="0"/>
        <v>32.76599999999985</v>
      </c>
      <c r="D12" s="51">
        <f t="shared" si="1"/>
        <v>2002.84</v>
      </c>
      <c r="E12" s="70">
        <v>36101</v>
      </c>
      <c r="F12" s="1">
        <f t="shared" si="2"/>
        <v>4.281877556003193</v>
      </c>
      <c r="G12" s="10"/>
    </row>
    <row r="13" spans="1:6" ht="12.75">
      <c r="A13" s="7">
        <f>A12+1.9</f>
        <v>142.2</v>
      </c>
      <c r="B13" s="7">
        <v>0.3</v>
      </c>
      <c r="C13" s="51">
        <f t="shared" si="0"/>
        <v>33.7349999999999</v>
      </c>
      <c r="D13" s="51">
        <f t="shared" si="1"/>
        <v>2003.809</v>
      </c>
      <c r="E13" s="66">
        <v>36455</v>
      </c>
      <c r="F13" s="1">
        <f t="shared" si="2"/>
        <v>4.215206758559372</v>
      </c>
    </row>
    <row r="14" spans="1:6" ht="12.75">
      <c r="A14" s="7">
        <f>A13+11.1</f>
        <v>153.29999999999998</v>
      </c>
      <c r="B14" s="7">
        <v>0.3</v>
      </c>
      <c r="C14" s="51">
        <f t="shared" si="0"/>
        <v>34.73699999999985</v>
      </c>
      <c r="D14" s="51">
        <f t="shared" si="1"/>
        <v>2004.811</v>
      </c>
      <c r="E14" s="67">
        <v>36821</v>
      </c>
      <c r="F14" s="1">
        <f t="shared" si="2"/>
        <v>4.413161758355662</v>
      </c>
    </row>
    <row r="15" spans="1:6" ht="12.75">
      <c r="A15" s="7">
        <f>A14+3.4</f>
        <v>156.7</v>
      </c>
      <c r="B15" s="7">
        <v>0.2</v>
      </c>
      <c r="C15" s="51">
        <f t="shared" si="0"/>
        <v>35.697999999999865</v>
      </c>
      <c r="D15" s="51">
        <f t="shared" si="1"/>
        <v>2005.772</v>
      </c>
      <c r="E15" s="67">
        <v>37172</v>
      </c>
      <c r="F15" s="1">
        <f t="shared" si="2"/>
        <v>4.389601658356226</v>
      </c>
    </row>
    <row r="16" spans="1:7" ht="12.75">
      <c r="A16" s="7">
        <f>A15+2.3</f>
        <v>159</v>
      </c>
      <c r="B16" s="7">
        <v>0.6</v>
      </c>
      <c r="C16" s="51">
        <f t="shared" si="0"/>
        <v>36.75199999999995</v>
      </c>
      <c r="D16" s="51">
        <f t="shared" si="1"/>
        <v>2006.826</v>
      </c>
      <c r="E16" s="67">
        <v>37557</v>
      </c>
      <c r="F16" s="1">
        <f t="shared" si="2"/>
        <v>4.326295167609931</v>
      </c>
      <c r="G16" t="s">
        <v>145</v>
      </c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</sheetData>
  <mergeCells count="2">
    <mergeCell ref="A1:D1"/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D1"/>
    </sheetView>
  </sheetViews>
  <sheetFormatPr defaultColWidth="11.00390625" defaultRowHeight="12"/>
  <cols>
    <col min="1" max="2" width="10.875" style="4" customWidth="1"/>
    <col min="3" max="4" width="10.875" style="5" customWidth="1"/>
    <col min="5" max="5" width="10.875" style="6" customWidth="1"/>
    <col min="6" max="6" width="10.875" style="4" customWidth="1"/>
  </cols>
  <sheetData>
    <row r="1" spans="1:4" ht="12.75">
      <c r="A1" s="182" t="s">
        <v>85</v>
      </c>
      <c r="B1" s="182"/>
      <c r="C1" s="182"/>
      <c r="D1" s="182"/>
    </row>
    <row r="2" spans="1:4" ht="12.75">
      <c r="A2" s="4" t="s">
        <v>107</v>
      </c>
      <c r="B2" s="49"/>
      <c r="C2" s="49"/>
      <c r="D2" s="49"/>
    </row>
    <row r="3" spans="1:7" ht="13.5" thickBot="1">
      <c r="A3" s="44"/>
      <c r="B3" s="1"/>
      <c r="C3" s="2"/>
      <c r="D3" s="2"/>
      <c r="E3" s="3"/>
      <c r="F3" s="178" t="s">
        <v>162</v>
      </c>
      <c r="G3" s="178"/>
    </row>
    <row r="4" spans="1:7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165</v>
      </c>
      <c r="G4" s="75" t="s">
        <v>163</v>
      </c>
    </row>
    <row r="5" spans="1:6" ht="12.75">
      <c r="A5" s="1">
        <v>0</v>
      </c>
      <c r="B5" s="1">
        <v>0.5</v>
      </c>
      <c r="C5" s="2">
        <v>0</v>
      </c>
      <c r="D5" s="2">
        <v>1994.592</v>
      </c>
      <c r="E5" s="3">
        <v>33088</v>
      </c>
      <c r="F5" s="1"/>
    </row>
    <row r="6" spans="1:6" ht="12.75">
      <c r="A6" s="1">
        <v>5.9</v>
      </c>
      <c r="B6" s="1">
        <v>0.8</v>
      </c>
      <c r="C6" s="2">
        <v>1.052</v>
      </c>
      <c r="D6" s="2">
        <v>1995.644</v>
      </c>
      <c r="E6" s="3">
        <v>33472</v>
      </c>
      <c r="F6" s="1">
        <v>5.6</v>
      </c>
    </row>
    <row r="7" spans="1:6" ht="12.75">
      <c r="A7" s="1">
        <v>7.2</v>
      </c>
      <c r="B7" s="1">
        <v>0.4</v>
      </c>
      <c r="C7" s="2">
        <v>2.042</v>
      </c>
      <c r="D7" s="2">
        <v>1996.634</v>
      </c>
      <c r="E7" s="3">
        <v>33834</v>
      </c>
      <c r="F7" s="1">
        <v>3.5</v>
      </c>
    </row>
    <row r="8" spans="1:6" ht="12.75">
      <c r="A8" s="1">
        <v>14.6</v>
      </c>
      <c r="B8" s="1">
        <v>0.3</v>
      </c>
      <c r="C8" s="2">
        <v>3.041</v>
      </c>
      <c r="D8" s="2">
        <v>1997.633</v>
      </c>
      <c r="E8" s="3">
        <v>34199</v>
      </c>
      <c r="F8" s="1">
        <v>4.8</v>
      </c>
    </row>
    <row r="9" spans="1:6" ht="12.75">
      <c r="A9" s="1">
        <v>20.8</v>
      </c>
      <c r="B9" s="1">
        <v>0.3</v>
      </c>
      <c r="C9" s="2">
        <v>4.104</v>
      </c>
      <c r="D9" s="2">
        <v>1998.696</v>
      </c>
      <c r="E9" s="3">
        <v>34587</v>
      </c>
      <c r="F9" s="1">
        <v>5.1</v>
      </c>
    </row>
    <row r="10" spans="1:6" ht="12.75">
      <c r="A10" s="1">
        <v>26.1</v>
      </c>
      <c r="B10" s="1">
        <v>0.3</v>
      </c>
      <c r="C10" s="2">
        <v>5.104</v>
      </c>
      <c r="D10" s="2">
        <v>1999.696</v>
      </c>
      <c r="E10" s="3">
        <v>34952</v>
      </c>
      <c r="F10" s="1">
        <v>5.1</v>
      </c>
    </row>
    <row r="11" spans="1:6" ht="12.75">
      <c r="A11" s="1">
        <v>34.5</v>
      </c>
      <c r="B11" s="1">
        <v>0.5</v>
      </c>
      <c r="C11" s="2">
        <v>6.271</v>
      </c>
      <c r="D11" s="2">
        <v>2000.863</v>
      </c>
      <c r="E11" s="3">
        <v>35379</v>
      </c>
      <c r="F11" s="1">
        <v>5.5</v>
      </c>
    </row>
    <row r="12" spans="1:6" ht="12.75">
      <c r="A12" s="1">
        <f>A11+5.4</f>
        <v>39.9</v>
      </c>
      <c r="B12" s="1">
        <v>0.5</v>
      </c>
      <c r="C12" s="2">
        <f aca="true" t="shared" si="0" ref="C12:C17">D12-$D$5</f>
        <v>7.225999999999885</v>
      </c>
      <c r="D12" s="51">
        <f aca="true" t="shared" si="1" ref="D12:D17">TRUNC(((E12-(365.25*TRUNC((E12/365.25),0)))/365.25),3)+TRUNC((E12/365.25+1904),0)+0.001</f>
        <v>2001.818</v>
      </c>
      <c r="E12" s="70">
        <v>35728</v>
      </c>
      <c r="F12" s="1">
        <f aca="true" t="shared" si="2" ref="F12:F17">A12/C12</f>
        <v>5.521727096595714</v>
      </c>
    </row>
    <row r="13" spans="1:6" ht="12.75">
      <c r="A13" s="1">
        <f>A12+5.4</f>
        <v>45.3</v>
      </c>
      <c r="B13" s="1">
        <v>0.4</v>
      </c>
      <c r="C13" s="2">
        <f t="shared" si="0"/>
        <v>8.255999999999858</v>
      </c>
      <c r="D13" s="51">
        <f t="shared" si="1"/>
        <v>2002.848</v>
      </c>
      <c r="E13" s="70">
        <v>36104</v>
      </c>
      <c r="F13" s="1">
        <f t="shared" si="2"/>
        <v>5.486918604651256</v>
      </c>
    </row>
    <row r="14" spans="1:6" ht="12.75">
      <c r="A14" s="7">
        <f>A13+4.5</f>
        <v>49.8</v>
      </c>
      <c r="B14" s="7">
        <v>0.4</v>
      </c>
      <c r="C14" s="51">
        <f t="shared" si="0"/>
        <v>9.21699999999987</v>
      </c>
      <c r="D14" s="51">
        <f t="shared" si="1"/>
        <v>2003.809</v>
      </c>
      <c r="E14" s="66">
        <v>36455</v>
      </c>
      <c r="F14" s="7">
        <f t="shared" si="2"/>
        <v>5.403059563849484</v>
      </c>
    </row>
    <row r="15" spans="1:6" ht="12.75">
      <c r="A15" s="7">
        <f>A14+6.3</f>
        <v>56.099999999999994</v>
      </c>
      <c r="B15" s="7">
        <v>1</v>
      </c>
      <c r="C15" s="51">
        <f t="shared" si="0"/>
        <v>10.218999999999824</v>
      </c>
      <c r="D15" s="51">
        <f t="shared" si="1"/>
        <v>2004.811</v>
      </c>
      <c r="E15" s="80">
        <v>36821</v>
      </c>
      <c r="F15" s="7">
        <f t="shared" si="2"/>
        <v>5.489773950484486</v>
      </c>
    </row>
    <row r="16" spans="1:6" ht="12.75">
      <c r="A16" s="7">
        <f>A15+5.4</f>
        <v>61.49999999999999</v>
      </c>
      <c r="B16" s="7">
        <v>0.5</v>
      </c>
      <c r="C16" s="51">
        <f t="shared" si="0"/>
        <v>11.179999999999836</v>
      </c>
      <c r="D16" s="51">
        <f t="shared" si="1"/>
        <v>2005.772</v>
      </c>
      <c r="E16" s="67">
        <v>37172</v>
      </c>
      <c r="F16" s="7">
        <f t="shared" si="2"/>
        <v>5.500894454382906</v>
      </c>
    </row>
    <row r="17" spans="1:7" ht="12.75">
      <c r="A17" s="7">
        <f>A16+14.5</f>
        <v>76</v>
      </c>
      <c r="B17" s="7">
        <v>1</v>
      </c>
      <c r="C17" s="51">
        <f t="shared" si="0"/>
        <v>12.233999999999924</v>
      </c>
      <c r="D17" s="51">
        <f t="shared" si="1"/>
        <v>2006.826</v>
      </c>
      <c r="E17" s="67">
        <v>37557</v>
      </c>
      <c r="F17" s="7">
        <f t="shared" si="2"/>
        <v>6.212195520680111</v>
      </c>
      <c r="G17" t="s">
        <v>146</v>
      </c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</sheetData>
  <mergeCells count="2">
    <mergeCell ref="A1:D1"/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1" sqref="A1:F1"/>
    </sheetView>
  </sheetViews>
  <sheetFormatPr defaultColWidth="11.00390625" defaultRowHeight="12"/>
  <cols>
    <col min="1" max="1" width="6.625" style="4" customWidth="1"/>
    <col min="2" max="2" width="5.00390625" style="4" customWidth="1"/>
    <col min="3" max="3" width="6.625" style="5" customWidth="1"/>
    <col min="4" max="4" width="8.50390625" style="5" customWidth="1"/>
    <col min="5" max="5" width="10.00390625" style="6" customWidth="1"/>
    <col min="6" max="6" width="7.00390625" style="4" customWidth="1"/>
    <col min="7" max="7" width="8.875" style="0" customWidth="1"/>
    <col min="8" max="8" width="23.625" style="0" customWidth="1"/>
  </cols>
  <sheetData>
    <row r="1" spans="1:6" ht="12.75">
      <c r="A1" s="179" t="s">
        <v>85</v>
      </c>
      <c r="B1" s="179"/>
      <c r="C1" s="179"/>
      <c r="D1" s="179"/>
      <c r="E1" s="179"/>
      <c r="F1" s="179"/>
    </row>
    <row r="2" spans="1:7" ht="27" customHeight="1" thickBot="1">
      <c r="A2" s="111" t="s">
        <v>181</v>
      </c>
      <c r="B2" s="111"/>
      <c r="C2" s="112"/>
      <c r="D2" s="112"/>
      <c r="F2" s="180" t="s">
        <v>162</v>
      </c>
      <c r="G2" s="180"/>
    </row>
    <row r="3" spans="1:8" ht="40.5" customHeight="1">
      <c r="A3" s="39" t="s">
        <v>49</v>
      </c>
      <c r="B3" s="42" t="s">
        <v>63</v>
      </c>
      <c r="C3" s="81" t="s">
        <v>109</v>
      </c>
      <c r="D3" s="81" t="s">
        <v>110</v>
      </c>
      <c r="E3" s="82" t="s">
        <v>111</v>
      </c>
      <c r="F3" s="39" t="s">
        <v>152</v>
      </c>
      <c r="G3" s="75" t="s">
        <v>153</v>
      </c>
      <c r="H3" s="17" t="s">
        <v>151</v>
      </c>
    </row>
    <row r="4" spans="1:8" ht="12.75">
      <c r="A4" s="1">
        <v>0</v>
      </c>
      <c r="B4" s="1">
        <v>0.2</v>
      </c>
      <c r="C4" s="2">
        <v>0</v>
      </c>
      <c r="D4" s="2">
        <v>1983.759</v>
      </c>
      <c r="E4" s="3">
        <v>29131</v>
      </c>
      <c r="F4" s="1"/>
      <c r="G4" s="10"/>
      <c r="H4" s="113" t="s">
        <v>147</v>
      </c>
    </row>
    <row r="5" spans="1:8" ht="12.75">
      <c r="A5" s="1">
        <v>0.33069271843837733</v>
      </c>
      <c r="B5" s="1">
        <v>0.10780396043391086</v>
      </c>
      <c r="C5" s="2">
        <v>0.06299999999987449</v>
      </c>
      <c r="D5" s="2">
        <v>1983.82</v>
      </c>
      <c r="E5" s="72">
        <v>29154</v>
      </c>
      <c r="F5" s="1">
        <f>A5/C5</f>
        <v>5.2490907688735895</v>
      </c>
      <c r="G5" s="10"/>
      <c r="H5" s="113" t="s">
        <v>147</v>
      </c>
    </row>
    <row r="6" spans="1:8" ht="12.75">
      <c r="A6" s="1">
        <v>0.9507415654983029</v>
      </c>
      <c r="B6" s="1">
        <v>0.14530099014983244</v>
      </c>
      <c r="C6" s="2">
        <v>0.4679999999998472</v>
      </c>
      <c r="D6" s="2">
        <v>1984.225</v>
      </c>
      <c r="E6" s="72">
        <v>29302</v>
      </c>
      <c r="F6" s="1">
        <f aca="true" t="shared" si="0" ref="F6:F14">A6/C6</f>
        <v>2.0314990715782337</v>
      </c>
      <c r="G6" s="10"/>
      <c r="H6" s="113" t="s">
        <v>147</v>
      </c>
    </row>
    <row r="7" spans="1:8" ht="12.75">
      <c r="A7" s="1">
        <v>1.4054440533135553</v>
      </c>
      <c r="B7" s="1">
        <v>0.09530495052856872</v>
      </c>
      <c r="C7" s="2">
        <v>0.4759999999998854</v>
      </c>
      <c r="D7" s="2">
        <v>1984.233</v>
      </c>
      <c r="E7" s="72">
        <v>29305</v>
      </c>
      <c r="F7" s="1">
        <f t="shared" si="0"/>
        <v>2.9526135573821293</v>
      </c>
      <c r="G7" s="10"/>
      <c r="H7" s="113" t="s">
        <v>147</v>
      </c>
    </row>
    <row r="8" spans="1:8" ht="12.75">
      <c r="A8" s="1">
        <v>0.33069271843837733</v>
      </c>
      <c r="B8" s="1">
        <v>0.2140455446284745</v>
      </c>
      <c r="C8" s="2">
        <v>0.48699999999985266</v>
      </c>
      <c r="D8" s="2">
        <v>1984.244</v>
      </c>
      <c r="E8" s="72">
        <v>29309</v>
      </c>
      <c r="F8" s="1">
        <f t="shared" si="0"/>
        <v>0.6790404896067297</v>
      </c>
      <c r="G8" s="10"/>
      <c r="H8" s="113" t="s">
        <v>147</v>
      </c>
    </row>
    <row r="9" spans="1:8" ht="12.75">
      <c r="A9" s="1">
        <v>0</v>
      </c>
      <c r="B9" s="1">
        <v>0.16717425748403247</v>
      </c>
      <c r="C9" s="2">
        <v>0.8619999999998527</v>
      </c>
      <c r="D9" s="2">
        <v>1984.619</v>
      </c>
      <c r="E9" s="72">
        <v>29446</v>
      </c>
      <c r="F9" s="1">
        <f t="shared" si="0"/>
        <v>0</v>
      </c>
      <c r="G9" s="10"/>
      <c r="H9" s="113" t="s">
        <v>147</v>
      </c>
    </row>
    <row r="10" spans="1:8" ht="12.75">
      <c r="A10" s="1">
        <v>0.5373756674760134</v>
      </c>
      <c r="B10" s="1">
        <v>0.27654059415367577</v>
      </c>
      <c r="C10" s="2">
        <v>1.321999999999889</v>
      </c>
      <c r="D10" s="2">
        <v>1985.079</v>
      </c>
      <c r="E10" s="72">
        <v>29614</v>
      </c>
      <c r="F10" s="1">
        <f t="shared" si="0"/>
        <v>0.4064868891649459</v>
      </c>
      <c r="G10" s="10"/>
      <c r="H10" s="113" t="s">
        <v>147</v>
      </c>
    </row>
    <row r="11" spans="1:8" ht="12.75">
      <c r="A11" s="1">
        <v>1.5707904125079486</v>
      </c>
      <c r="B11" s="1">
        <v>0.1499881188643099</v>
      </c>
      <c r="C11" s="2">
        <v>1.7709999999999582</v>
      </c>
      <c r="D11" s="2">
        <v>1985.528</v>
      </c>
      <c r="E11" s="72">
        <v>29778</v>
      </c>
      <c r="F11" s="1">
        <f t="shared" si="0"/>
        <v>0.8869511081355086</v>
      </c>
      <c r="G11" s="10"/>
      <c r="H11" s="113" t="s">
        <v>147</v>
      </c>
    </row>
    <row r="12" spans="1:8" ht="12.75">
      <c r="A12" s="1">
        <v>14.922508843529519</v>
      </c>
      <c r="B12" s="1">
        <v>0.0796811881468711</v>
      </c>
      <c r="C12" s="2">
        <v>2.709999999999809</v>
      </c>
      <c r="D12" s="2">
        <v>1986.4669999999999</v>
      </c>
      <c r="E12" s="72">
        <v>30121</v>
      </c>
      <c r="F12" s="1">
        <f t="shared" si="0"/>
        <v>5.506460827871059</v>
      </c>
      <c r="G12" s="10"/>
      <c r="H12" s="113" t="s">
        <v>156</v>
      </c>
    </row>
    <row r="13" spans="1:8" ht="12.75">
      <c r="A13" s="1">
        <v>14.550479540847682</v>
      </c>
      <c r="B13" s="1">
        <v>0.18123564362740674</v>
      </c>
      <c r="C13" s="2">
        <v>3.2549999999998818</v>
      </c>
      <c r="D13" s="2">
        <v>1987.012</v>
      </c>
      <c r="E13" s="72">
        <v>30320</v>
      </c>
      <c r="F13" s="1">
        <f t="shared" si="0"/>
        <v>4.470193407326639</v>
      </c>
      <c r="G13" s="10"/>
      <c r="H13" s="113" t="s">
        <v>147</v>
      </c>
    </row>
    <row r="14" spans="1:8" ht="12.75">
      <c r="A14" s="1">
        <v>17.4</v>
      </c>
      <c r="B14" s="1">
        <v>0.1</v>
      </c>
      <c r="C14" s="2">
        <v>4.277</v>
      </c>
      <c r="D14" s="2">
        <v>1988.036</v>
      </c>
      <c r="E14" s="3">
        <v>30693</v>
      </c>
      <c r="F14" s="1">
        <f t="shared" si="0"/>
        <v>4.068272153378536</v>
      </c>
      <c r="G14" s="10"/>
      <c r="H14" s="113" t="s">
        <v>158</v>
      </c>
    </row>
    <row r="15" spans="1:8" ht="12.75">
      <c r="A15" s="1">
        <v>28.7</v>
      </c>
      <c r="B15" s="1">
        <v>0.1</v>
      </c>
      <c r="C15" s="2">
        <v>4.809</v>
      </c>
      <c r="D15" s="2">
        <v>1988.568</v>
      </c>
      <c r="E15" s="3">
        <v>30888</v>
      </c>
      <c r="F15" s="1">
        <f aca="true" t="shared" si="1" ref="F15:F21">A15/C15</f>
        <v>5.9679767103347885</v>
      </c>
      <c r="G15" s="10"/>
      <c r="H15" s="113" t="s">
        <v>147</v>
      </c>
    </row>
    <row r="16" spans="1:8" ht="12.75">
      <c r="A16" s="1">
        <v>28.7</v>
      </c>
      <c r="B16" s="1">
        <v>0.5</v>
      </c>
      <c r="C16" s="2">
        <f>D16-$D$4</f>
        <v>6.087999999999965</v>
      </c>
      <c r="D16" s="2">
        <v>1989.847</v>
      </c>
      <c r="E16" s="3">
        <v>31355</v>
      </c>
      <c r="F16" s="1">
        <f t="shared" si="1"/>
        <v>4.714191852825256</v>
      </c>
      <c r="G16" s="10"/>
      <c r="H16" s="113" t="s">
        <v>148</v>
      </c>
    </row>
    <row r="17" spans="1:8" ht="12.75">
      <c r="A17" s="1">
        <v>27.5</v>
      </c>
      <c r="B17" s="1">
        <v>0.2</v>
      </c>
      <c r="C17" s="2">
        <f aca="true" t="shared" si="2" ref="C17:C31">D17-$D$4</f>
        <v>8.868999999999915</v>
      </c>
      <c r="D17" s="2">
        <v>1992.628</v>
      </c>
      <c r="E17" s="3">
        <v>32371</v>
      </c>
      <c r="F17" s="1">
        <f t="shared" si="1"/>
        <v>3.1006877889277558</v>
      </c>
      <c r="G17" s="10"/>
      <c r="H17" s="113" t="s">
        <v>148</v>
      </c>
    </row>
    <row r="18" spans="1:8" ht="12.75">
      <c r="A18" s="1">
        <v>30.6</v>
      </c>
      <c r="B18" s="1">
        <v>0.4</v>
      </c>
      <c r="C18" s="2">
        <f t="shared" si="2"/>
        <v>9.125999999999976</v>
      </c>
      <c r="D18" s="2">
        <v>1992.885</v>
      </c>
      <c r="E18" s="3">
        <v>32465</v>
      </c>
      <c r="F18" s="1">
        <f t="shared" si="1"/>
        <v>3.353057199211054</v>
      </c>
      <c r="G18" s="10"/>
      <c r="H18" s="113" t="s">
        <v>149</v>
      </c>
    </row>
    <row r="19" spans="1:8" s="119" customFormat="1" ht="24" customHeight="1">
      <c r="A19" s="114">
        <v>42.7</v>
      </c>
      <c r="B19" s="114">
        <v>0.3</v>
      </c>
      <c r="C19" s="115">
        <f t="shared" si="2"/>
        <v>10.833000000000084</v>
      </c>
      <c r="D19" s="115">
        <v>1994.592</v>
      </c>
      <c r="E19" s="116">
        <v>33088</v>
      </c>
      <c r="F19" s="114">
        <f t="shared" si="1"/>
        <v>3.941659743376689</v>
      </c>
      <c r="G19" s="117"/>
      <c r="H19" s="118" t="s">
        <v>155</v>
      </c>
    </row>
    <row r="20" spans="1:8" s="119" customFormat="1" ht="12.75">
      <c r="A20" s="114">
        <v>54.3</v>
      </c>
      <c r="B20" s="114">
        <v>0.2</v>
      </c>
      <c r="C20" s="115">
        <f t="shared" si="2"/>
        <v>11.884999999999991</v>
      </c>
      <c r="D20" s="115">
        <v>1995.644</v>
      </c>
      <c r="E20" s="116">
        <v>33472</v>
      </c>
      <c r="F20" s="114">
        <f t="shared" si="1"/>
        <v>4.5687841817416945</v>
      </c>
      <c r="G20" s="117"/>
      <c r="H20" s="118" t="s">
        <v>148</v>
      </c>
    </row>
    <row r="21" spans="1:8" s="119" customFormat="1" ht="24.75" customHeight="1">
      <c r="A21" s="114">
        <v>58.9</v>
      </c>
      <c r="B21" s="114">
        <v>0.2</v>
      </c>
      <c r="C21" s="115">
        <f t="shared" si="2"/>
        <v>12.885999999999967</v>
      </c>
      <c r="D21" s="115">
        <v>1996.645</v>
      </c>
      <c r="E21" s="116">
        <v>33838</v>
      </c>
      <c r="F21" s="114">
        <f t="shared" si="1"/>
        <v>4.570852087536873</v>
      </c>
      <c r="G21" s="117"/>
      <c r="H21" s="118" t="s">
        <v>127</v>
      </c>
    </row>
    <row r="22" spans="1:8" ht="12.75">
      <c r="A22" s="1" t="s">
        <v>51</v>
      </c>
      <c r="B22" s="1">
        <v>0.1</v>
      </c>
      <c r="C22" s="2">
        <f t="shared" si="2"/>
        <v>13.884999999999991</v>
      </c>
      <c r="D22" s="2">
        <v>1997.644</v>
      </c>
      <c r="E22" s="3">
        <v>34203</v>
      </c>
      <c r="F22" s="1" t="s">
        <v>160</v>
      </c>
      <c r="G22" s="10"/>
      <c r="H22" s="113" t="s">
        <v>59</v>
      </c>
    </row>
    <row r="23" spans="1:8" ht="12.75">
      <c r="A23" s="1">
        <v>67.4</v>
      </c>
      <c r="B23" s="1">
        <v>0.4</v>
      </c>
      <c r="C23" s="2">
        <f t="shared" si="2"/>
        <v>14.920000000000073</v>
      </c>
      <c r="D23" s="2">
        <v>1998.679</v>
      </c>
      <c r="E23" s="3">
        <v>34581</v>
      </c>
      <c r="F23" s="1">
        <f aca="true" t="shared" si="3" ref="F23:F29">A23/C23</f>
        <v>4.517426273458423</v>
      </c>
      <c r="G23" s="10"/>
      <c r="H23" s="113" t="s">
        <v>150</v>
      </c>
    </row>
    <row r="24" spans="1:8" ht="12.75">
      <c r="A24" s="1">
        <v>76.2</v>
      </c>
      <c r="B24" s="1">
        <v>0.2</v>
      </c>
      <c r="C24" s="2">
        <f t="shared" si="2"/>
        <v>15.920000000000073</v>
      </c>
      <c r="D24" s="2">
        <v>1999.679</v>
      </c>
      <c r="E24" s="3">
        <v>34946</v>
      </c>
      <c r="F24" s="1">
        <f t="shared" si="3"/>
        <v>4.786432160803998</v>
      </c>
      <c r="G24" s="10"/>
      <c r="H24" s="113" t="s">
        <v>150</v>
      </c>
    </row>
    <row r="25" spans="1:8" ht="12.75">
      <c r="A25" s="1">
        <v>86.6</v>
      </c>
      <c r="B25" s="1">
        <v>0.1</v>
      </c>
      <c r="C25" s="2">
        <f t="shared" si="2"/>
        <v>17.085000000000036</v>
      </c>
      <c r="D25" s="2">
        <v>2000.844</v>
      </c>
      <c r="E25" s="3">
        <v>35372</v>
      </c>
      <c r="F25" s="1">
        <f t="shared" si="3"/>
        <v>5.068773778167973</v>
      </c>
      <c r="G25" s="10"/>
      <c r="H25" s="113" t="s">
        <v>157</v>
      </c>
    </row>
    <row r="26" spans="1:8" ht="12.75">
      <c r="A26" s="1">
        <f>A25+0.6</f>
        <v>87.19999999999999</v>
      </c>
      <c r="B26" s="1">
        <v>0.3</v>
      </c>
      <c r="C26" s="2">
        <f t="shared" si="2"/>
        <v>18.04600000000005</v>
      </c>
      <c r="D26" s="51">
        <f aca="true" t="shared" si="4" ref="D26:D31">TRUNC(((E26-(365.25*TRUNC((E26/365.25),0)))/365.25),3)+TRUNC((E26/365.25+1904),0)+0.001</f>
        <v>2001.805</v>
      </c>
      <c r="E26" s="64">
        <v>35723</v>
      </c>
      <c r="F26" s="1">
        <f t="shared" si="3"/>
        <v>4.832095755292018</v>
      </c>
      <c r="G26" s="10"/>
      <c r="H26" s="113" t="s">
        <v>150</v>
      </c>
    </row>
    <row r="27" spans="1:8" ht="12.75">
      <c r="A27" s="7">
        <f>A26+6.7</f>
        <v>93.89999999999999</v>
      </c>
      <c r="B27" s="7">
        <v>0.4</v>
      </c>
      <c r="C27" s="51">
        <f t="shared" si="2"/>
        <v>19.088999999999942</v>
      </c>
      <c r="D27" s="51">
        <f t="shared" si="4"/>
        <v>2002.848</v>
      </c>
      <c r="E27" s="64">
        <v>36104</v>
      </c>
      <c r="F27" s="7">
        <f t="shared" si="3"/>
        <v>4.9190633349049335</v>
      </c>
      <c r="G27" s="16"/>
      <c r="H27" s="113" t="s">
        <v>60</v>
      </c>
    </row>
    <row r="28" spans="1:8" ht="12.75">
      <c r="A28" s="7">
        <f>A27+11.5</f>
        <v>105.39999999999999</v>
      </c>
      <c r="B28" s="7">
        <v>0.4</v>
      </c>
      <c r="C28" s="51">
        <f t="shared" si="2"/>
        <v>20.049999999999955</v>
      </c>
      <c r="D28" s="51">
        <f t="shared" si="4"/>
        <v>2003.809</v>
      </c>
      <c r="E28" s="66">
        <v>36455</v>
      </c>
      <c r="F28" s="7">
        <f t="shared" si="3"/>
        <v>5.256857855361607</v>
      </c>
      <c r="G28" s="16"/>
      <c r="H28" s="113" t="s">
        <v>61</v>
      </c>
    </row>
    <row r="29" spans="1:8" ht="12.75">
      <c r="A29" s="7">
        <f>A28+-0.5</f>
        <v>104.89999999999999</v>
      </c>
      <c r="B29" s="7">
        <v>0.3</v>
      </c>
      <c r="C29" s="51">
        <f t="shared" si="2"/>
        <v>21.051999999999907</v>
      </c>
      <c r="D29" s="51">
        <f t="shared" si="4"/>
        <v>2004.811</v>
      </c>
      <c r="E29" s="80">
        <v>36821</v>
      </c>
      <c r="F29" s="7">
        <f t="shared" si="3"/>
        <v>4.982899486984631</v>
      </c>
      <c r="G29" s="16"/>
      <c r="H29" s="113" t="s">
        <v>150</v>
      </c>
    </row>
    <row r="30" spans="1:8" ht="12.75">
      <c r="A30" s="7" t="s">
        <v>50</v>
      </c>
      <c r="B30" s="7">
        <v>0.5</v>
      </c>
      <c r="C30" s="51">
        <f t="shared" si="2"/>
        <v>22.01299999999992</v>
      </c>
      <c r="D30" s="51">
        <f t="shared" si="4"/>
        <v>2005.772</v>
      </c>
      <c r="E30" s="67">
        <v>37172</v>
      </c>
      <c r="F30" s="7" t="s">
        <v>160</v>
      </c>
      <c r="G30" s="16"/>
      <c r="H30" s="113" t="s">
        <v>59</v>
      </c>
    </row>
    <row r="31" spans="1:8" ht="12.75">
      <c r="A31" s="7">
        <f>A29+11.3</f>
        <v>116.19999999999999</v>
      </c>
      <c r="B31" s="7">
        <v>0.4</v>
      </c>
      <c r="C31" s="51">
        <f t="shared" si="2"/>
        <v>23.080999999999904</v>
      </c>
      <c r="D31" s="51">
        <f t="shared" si="4"/>
        <v>2006.84</v>
      </c>
      <c r="E31" s="67">
        <v>37562</v>
      </c>
      <c r="F31" s="7">
        <f>A31/C31</f>
        <v>5.034443914908387</v>
      </c>
      <c r="G31" s="16" t="s">
        <v>64</v>
      </c>
      <c r="H31" s="113" t="s">
        <v>62</v>
      </c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F75"/>
    </row>
    <row r="76" spans="1:6" ht="12.75">
      <c r="A76"/>
      <c r="B76"/>
      <c r="F76"/>
    </row>
    <row r="77" spans="1:6" ht="12.75">
      <c r="A77"/>
      <c r="B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</sheetData>
  <mergeCells count="2">
    <mergeCell ref="F2:G2"/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:I1"/>
    </sheetView>
  </sheetViews>
  <sheetFormatPr defaultColWidth="11.00390625" defaultRowHeight="12"/>
  <cols>
    <col min="1" max="1" width="6.625" style="4" customWidth="1"/>
    <col min="2" max="2" width="4.625" style="4" customWidth="1"/>
    <col min="3" max="3" width="7.00390625" style="5" customWidth="1"/>
    <col min="4" max="4" width="9.125" style="5" customWidth="1"/>
    <col min="5" max="5" width="10.00390625" style="6" customWidth="1"/>
    <col min="6" max="6" width="7.625" style="4" customWidth="1"/>
    <col min="7" max="7" width="9.375" style="4" customWidth="1"/>
    <col min="8" max="8" width="9.625" style="1" customWidth="1"/>
    <col min="9" max="9" width="9.375" style="0" customWidth="1"/>
  </cols>
  <sheetData>
    <row r="1" spans="1:9" ht="12.75">
      <c r="A1" s="179" t="s">
        <v>85</v>
      </c>
      <c r="B1" s="179"/>
      <c r="C1" s="179"/>
      <c r="D1" s="179"/>
      <c r="E1" s="179"/>
      <c r="F1" s="179"/>
      <c r="G1" s="179"/>
      <c r="H1" s="179"/>
      <c r="I1" s="179"/>
    </row>
    <row r="2" spans="1:4" ht="12.75">
      <c r="A2" s="111" t="s">
        <v>182</v>
      </c>
      <c r="B2" s="111"/>
      <c r="C2" s="112"/>
      <c r="D2" s="112"/>
    </row>
    <row r="3" spans="1:9" ht="12.75">
      <c r="A3" s="44"/>
      <c r="B3" s="1"/>
      <c r="C3" s="2"/>
      <c r="D3" s="2"/>
      <c r="E3" s="3"/>
      <c r="F3" s="183" t="s">
        <v>162</v>
      </c>
      <c r="G3" s="183"/>
      <c r="H3" s="183"/>
      <c r="I3" s="183"/>
    </row>
    <row r="4" spans="1:9" ht="48.75">
      <c r="A4" s="39" t="s">
        <v>49</v>
      </c>
      <c r="B4" s="42" t="s">
        <v>63</v>
      </c>
      <c r="C4" s="81" t="s">
        <v>109</v>
      </c>
      <c r="D4" s="81" t="s">
        <v>110</v>
      </c>
      <c r="E4" s="82" t="s">
        <v>111</v>
      </c>
      <c r="F4" s="39" t="s">
        <v>152</v>
      </c>
      <c r="G4" s="75" t="s">
        <v>153</v>
      </c>
      <c r="H4" s="42" t="s">
        <v>65</v>
      </c>
      <c r="I4" s="42" t="s">
        <v>66</v>
      </c>
    </row>
    <row r="5" spans="1:7" ht="12.75">
      <c r="A5" s="1">
        <v>0</v>
      </c>
      <c r="B5" s="1"/>
      <c r="C5" s="2">
        <v>0</v>
      </c>
      <c r="D5" s="2">
        <v>1982.041</v>
      </c>
      <c r="E5" s="3">
        <v>28504</v>
      </c>
      <c r="F5" s="1"/>
      <c r="G5" s="1"/>
    </row>
    <row r="6" spans="1:7" ht="12.75">
      <c r="A6" s="1">
        <v>61.6</v>
      </c>
      <c r="B6" s="1">
        <v>0.7</v>
      </c>
      <c r="C6" s="2">
        <v>12.586</v>
      </c>
      <c r="D6" s="2">
        <v>1994.627</v>
      </c>
      <c r="E6" s="3">
        <v>33101</v>
      </c>
      <c r="F6" s="1">
        <v>4.9</v>
      </c>
      <c r="G6" s="1"/>
    </row>
    <row r="7" spans="1:8" ht="12.75">
      <c r="A7" s="1">
        <v>73</v>
      </c>
      <c r="B7" s="1">
        <v>0.4</v>
      </c>
      <c r="C7" s="2">
        <v>14.604</v>
      </c>
      <c r="D7" s="2">
        <v>1996.645</v>
      </c>
      <c r="E7" s="3">
        <v>33838</v>
      </c>
      <c r="F7" s="1">
        <v>5</v>
      </c>
      <c r="G7" s="1"/>
      <c r="H7" s="1">
        <f>(A7-$A$6)/(D7-$D$6)</f>
        <v>5.649157581764041</v>
      </c>
    </row>
    <row r="8" spans="1:8" ht="12.75">
      <c r="A8" s="1">
        <v>81.7</v>
      </c>
      <c r="B8" s="1">
        <v>0.3</v>
      </c>
      <c r="C8" s="2">
        <v>15.603</v>
      </c>
      <c r="D8" s="2">
        <v>1997.644</v>
      </c>
      <c r="E8" s="3">
        <v>34203</v>
      </c>
      <c r="F8" s="1">
        <v>5.2</v>
      </c>
      <c r="G8" s="1"/>
      <c r="H8" s="1">
        <f aca="true" t="shared" si="0" ref="H8:H14">(A8-$A$6)/(D8-$D$6)</f>
        <v>6.6622472654954095</v>
      </c>
    </row>
    <row r="9" spans="1:8" ht="12.75">
      <c r="A9" s="1">
        <v>83.8</v>
      </c>
      <c r="B9" s="1">
        <v>0.2</v>
      </c>
      <c r="C9" s="2">
        <v>16.641</v>
      </c>
      <c r="D9" s="2">
        <v>1998.682</v>
      </c>
      <c r="E9" s="3">
        <v>34582</v>
      </c>
      <c r="F9" s="1">
        <v>5</v>
      </c>
      <c r="G9" s="1"/>
      <c r="H9" s="1">
        <f t="shared" si="0"/>
        <v>5.474722564734808</v>
      </c>
    </row>
    <row r="10" spans="1:8" ht="12.75">
      <c r="A10" s="1">
        <v>88.1</v>
      </c>
      <c r="B10" s="1">
        <v>0.3</v>
      </c>
      <c r="C10" s="2">
        <v>17.638</v>
      </c>
      <c r="D10" s="2">
        <v>1999.679</v>
      </c>
      <c r="E10" s="3">
        <v>34946</v>
      </c>
      <c r="F10" s="1">
        <v>5</v>
      </c>
      <c r="G10" s="1"/>
      <c r="H10" s="1">
        <f t="shared" si="0"/>
        <v>5.245447347584974</v>
      </c>
    </row>
    <row r="11" spans="1:8" ht="12.75">
      <c r="A11" s="1">
        <v>98.1</v>
      </c>
      <c r="B11" s="1">
        <v>0.3</v>
      </c>
      <c r="C11" s="2">
        <v>18.803</v>
      </c>
      <c r="D11" s="2">
        <v>2000.844</v>
      </c>
      <c r="E11" s="72">
        <v>35372</v>
      </c>
      <c r="F11" s="1">
        <v>5.2</v>
      </c>
      <c r="G11" s="1"/>
      <c r="H11" s="1">
        <f t="shared" si="0"/>
        <v>5.870998874054917</v>
      </c>
    </row>
    <row r="12" spans="1:8" ht="12.75">
      <c r="A12" s="1">
        <f>A11+5.7</f>
        <v>103.8</v>
      </c>
      <c r="B12" s="1">
        <v>0.6</v>
      </c>
      <c r="C12" s="2">
        <f aca="true" t="shared" si="1" ref="C12:C17">D12-$D$5</f>
        <v>19.779999999999973</v>
      </c>
      <c r="D12" s="51">
        <f aca="true" t="shared" si="2" ref="D12:D17">TRUNC(((E12-(365.25*TRUNC((E12/365.25),0)))/365.25),3)+TRUNC((E12/365.25+1904),0)+0.001</f>
        <v>2001.821</v>
      </c>
      <c r="E12" s="64">
        <v>35729</v>
      </c>
      <c r="F12" s="1">
        <f aca="true" t="shared" si="3" ref="F12:F17">A12/C12</f>
        <v>5.247724974721948</v>
      </c>
      <c r="G12" s="1"/>
      <c r="H12" s="1">
        <f t="shared" si="0"/>
        <v>5.865999443981128</v>
      </c>
    </row>
    <row r="13" spans="1:8" ht="12.75">
      <c r="A13" s="7">
        <f>A12+6.8</f>
        <v>110.6</v>
      </c>
      <c r="B13" s="7">
        <v>0.3</v>
      </c>
      <c r="C13" s="51">
        <f t="shared" si="1"/>
        <v>20.815000000000055</v>
      </c>
      <c r="D13" s="51">
        <f t="shared" si="2"/>
        <v>2002.856</v>
      </c>
      <c r="E13" s="83">
        <v>36107</v>
      </c>
      <c r="F13" s="7">
        <f t="shared" si="3"/>
        <v>5.313475858755691</v>
      </c>
      <c r="G13" s="7"/>
      <c r="H13" s="7">
        <f t="shared" si="0"/>
        <v>5.95455097824763</v>
      </c>
    </row>
    <row r="14" spans="1:8" ht="12.75">
      <c r="A14" s="7">
        <f>A13+7.3</f>
        <v>117.89999999999999</v>
      </c>
      <c r="B14" s="7">
        <v>0.3</v>
      </c>
      <c r="C14" s="51">
        <f t="shared" si="1"/>
        <v>21.77300000000014</v>
      </c>
      <c r="D14" s="51">
        <f t="shared" si="2"/>
        <v>2003.814</v>
      </c>
      <c r="E14" s="66">
        <v>36457</v>
      </c>
      <c r="F14" s="7">
        <f t="shared" si="3"/>
        <v>5.414963486887395</v>
      </c>
      <c r="G14" s="7"/>
      <c r="H14" s="7">
        <f t="shared" si="0"/>
        <v>6.128224665287822</v>
      </c>
    </row>
    <row r="15" spans="1:8" ht="12.75">
      <c r="A15" s="7">
        <f>A14+6.3</f>
        <v>124.19999999999999</v>
      </c>
      <c r="B15" s="7">
        <v>0.5</v>
      </c>
      <c r="C15" s="51">
        <f t="shared" si="1"/>
        <v>22.788999999999987</v>
      </c>
      <c r="D15" s="51">
        <f t="shared" si="2"/>
        <v>2004.83</v>
      </c>
      <c r="E15" s="80">
        <v>36828</v>
      </c>
      <c r="F15" s="7">
        <f t="shared" si="3"/>
        <v>5.4499978059590175</v>
      </c>
      <c r="G15" s="7"/>
      <c r="H15" s="7">
        <f>(A15-$A$6)/(D15-$D$6)</f>
        <v>6.135450357737934</v>
      </c>
    </row>
    <row r="16" spans="1:8" ht="12.75">
      <c r="A16" s="7">
        <f>A15+6.8</f>
        <v>131</v>
      </c>
      <c r="B16" s="7">
        <v>0.2</v>
      </c>
      <c r="C16" s="51">
        <f t="shared" si="1"/>
        <v>23.736000000000104</v>
      </c>
      <c r="D16" s="51">
        <f t="shared" si="2"/>
        <v>2005.777</v>
      </c>
      <c r="E16" s="67">
        <v>37174</v>
      </c>
      <c r="F16" s="7">
        <f t="shared" si="3"/>
        <v>5.519042804179281</v>
      </c>
      <c r="G16" s="7"/>
      <c r="H16" s="7">
        <f>(A16-$A$6)/(D16-$D$6)</f>
        <v>6.224215246636721</v>
      </c>
    </row>
    <row r="17" spans="1:9" ht="12.75">
      <c r="A17" s="7">
        <f>A16+10.4</f>
        <v>141.4</v>
      </c>
      <c r="B17" s="7">
        <v>0.2</v>
      </c>
      <c r="C17" s="51">
        <f t="shared" si="1"/>
        <v>24.80099999999993</v>
      </c>
      <c r="D17" s="51">
        <f t="shared" si="2"/>
        <v>2006.8419999999999</v>
      </c>
      <c r="E17" s="67">
        <v>37563</v>
      </c>
      <c r="F17" s="7">
        <f t="shared" si="3"/>
        <v>5.701383008749663</v>
      </c>
      <c r="G17" s="7" t="s">
        <v>67</v>
      </c>
      <c r="H17" s="7">
        <f>(A17-$A$6)/(D17-$D$6)</f>
        <v>6.5329512893983255</v>
      </c>
      <c r="I17" t="s">
        <v>68</v>
      </c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4:7" ht="12.75">
      <c r="D63"/>
      <c r="E63"/>
      <c r="F63"/>
      <c r="G63"/>
    </row>
    <row r="64" spans="4:7" ht="12.75">
      <c r="D64"/>
      <c r="E64"/>
      <c r="F64"/>
      <c r="G64"/>
    </row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5:7" ht="12.75">
      <c r="E71"/>
      <c r="F71"/>
      <c r="G71"/>
    </row>
    <row r="72" spans="5:7" ht="12.75">
      <c r="E72"/>
      <c r="F72"/>
      <c r="G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</sheetData>
  <mergeCells count="2">
    <mergeCell ref="F3:I3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J2" sqref="J2"/>
    </sheetView>
  </sheetViews>
  <sheetFormatPr defaultColWidth="11.00390625" defaultRowHeight="12"/>
  <cols>
    <col min="1" max="1" width="6.875" style="185" customWidth="1"/>
    <col min="2" max="2" width="15.50390625" style="185" customWidth="1"/>
    <col min="3" max="3" width="10.125" style="185" customWidth="1"/>
    <col min="4" max="4" width="9.125" style="185" customWidth="1"/>
    <col min="5" max="5" width="8.50390625" style="185" customWidth="1"/>
    <col min="6" max="6" width="5.625" style="203" customWidth="1"/>
    <col min="7" max="7" width="8.375" style="185" customWidth="1"/>
    <col min="8" max="8" width="4.625" style="185" customWidth="1"/>
    <col min="9" max="9" width="7.375" style="185" customWidth="1"/>
    <col min="10" max="10" width="3.875" style="204" customWidth="1"/>
    <col min="11" max="11" width="4.00390625" style="185" customWidth="1"/>
    <col min="12" max="16384" width="12.50390625" style="185" customWidth="1"/>
  </cols>
  <sheetData>
    <row r="1" spans="1:10" ht="12.75">
      <c r="A1" s="184" t="s">
        <v>86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1" ht="58.5" customHeight="1">
      <c r="A2" s="186" t="s">
        <v>87</v>
      </c>
      <c r="B2" s="186" t="s">
        <v>113</v>
      </c>
      <c r="C2" s="186" t="s">
        <v>88</v>
      </c>
      <c r="D2" s="187" t="s">
        <v>89</v>
      </c>
      <c r="E2" s="188" t="s">
        <v>90</v>
      </c>
      <c r="F2" s="189" t="s">
        <v>91</v>
      </c>
      <c r="G2" s="190" t="s">
        <v>92</v>
      </c>
      <c r="H2" s="190" t="s">
        <v>93</v>
      </c>
      <c r="I2" s="190" t="s">
        <v>94</v>
      </c>
      <c r="J2" s="190" t="s">
        <v>95</v>
      </c>
      <c r="K2" s="191" t="s">
        <v>96</v>
      </c>
    </row>
    <row r="3" spans="1:11" ht="13.5" customHeight="1">
      <c r="A3" s="192">
        <v>8.37</v>
      </c>
      <c r="B3" s="193" t="s">
        <v>97</v>
      </c>
      <c r="C3" s="193" t="s">
        <v>98</v>
      </c>
      <c r="D3" s="194">
        <v>-122.309589902434</v>
      </c>
      <c r="E3" s="195">
        <v>37.9425205491096</v>
      </c>
      <c r="F3" s="196">
        <v>150</v>
      </c>
      <c r="G3" s="197">
        <v>5.16</v>
      </c>
      <c r="H3" s="198">
        <v>0.1</v>
      </c>
      <c r="I3" s="197">
        <v>5.4</v>
      </c>
      <c r="J3" s="197">
        <v>17.1</v>
      </c>
      <c r="K3" s="199"/>
    </row>
    <row r="4" spans="1:11" ht="13.5" customHeight="1">
      <c r="A4" s="192">
        <v>14.05</v>
      </c>
      <c r="B4" s="193" t="s">
        <v>99</v>
      </c>
      <c r="C4" s="193" t="s">
        <v>100</v>
      </c>
      <c r="D4" s="194">
        <v>-122.273402178986</v>
      </c>
      <c r="E4" s="195">
        <v>37.8997972425881</v>
      </c>
      <c r="F4" s="196">
        <v>127</v>
      </c>
      <c r="G4" s="197">
        <v>3</v>
      </c>
      <c r="H4" s="198">
        <v>0.1</v>
      </c>
      <c r="I4" s="197">
        <v>3</v>
      </c>
      <c r="J4" s="197">
        <v>7.2</v>
      </c>
      <c r="K4" s="199">
        <v>1</v>
      </c>
    </row>
    <row r="5" spans="1:11" ht="13.5" customHeight="1">
      <c r="A5" s="192">
        <v>17.82</v>
      </c>
      <c r="B5" s="193" t="s">
        <v>101</v>
      </c>
      <c r="C5" s="193" t="s">
        <v>100</v>
      </c>
      <c r="D5" s="194">
        <v>-122.250605617405</v>
      </c>
      <c r="E5" s="195">
        <v>37.8706606284043</v>
      </c>
      <c r="F5" s="196">
        <v>165.5</v>
      </c>
      <c r="G5" s="197">
        <v>4.7</v>
      </c>
      <c r="H5" s="198">
        <v>0.03</v>
      </c>
      <c r="I5" s="197">
        <v>4.7</v>
      </c>
      <c r="J5" s="197">
        <v>39.9</v>
      </c>
      <c r="K5" s="199"/>
    </row>
    <row r="6" spans="1:11" ht="13.5" customHeight="1">
      <c r="A6" s="192">
        <v>18.43</v>
      </c>
      <c r="B6" s="193" t="s">
        <v>102</v>
      </c>
      <c r="C6" s="193" t="s">
        <v>100</v>
      </c>
      <c r="D6" s="194">
        <v>-122.241068379855</v>
      </c>
      <c r="E6" s="195">
        <v>37.8644668714156</v>
      </c>
      <c r="F6" s="196">
        <v>105</v>
      </c>
      <c r="G6" s="197">
        <v>4.2</v>
      </c>
      <c r="H6" s="198">
        <v>0.36</v>
      </c>
      <c r="I6" s="197">
        <v>3.7</v>
      </c>
      <c r="J6" s="197">
        <v>9.2</v>
      </c>
      <c r="K6" s="199"/>
    </row>
    <row r="7" spans="1:11" ht="13.5" customHeight="1">
      <c r="A7" s="192">
        <v>20.84</v>
      </c>
      <c r="B7" s="193" t="s">
        <v>116</v>
      </c>
      <c r="C7" s="193" t="s">
        <v>81</v>
      </c>
      <c r="D7" s="194">
        <v>-122.231369142808</v>
      </c>
      <c r="E7" s="195">
        <v>37.8485264243122</v>
      </c>
      <c r="F7" s="196">
        <v>154</v>
      </c>
      <c r="G7" s="197">
        <v>3.9</v>
      </c>
      <c r="H7" s="198">
        <v>0.06</v>
      </c>
      <c r="I7" s="197">
        <v>3.9</v>
      </c>
      <c r="J7" s="197">
        <v>32.6</v>
      </c>
      <c r="K7" s="199"/>
    </row>
    <row r="8" spans="1:11" ht="13.5" customHeight="1">
      <c r="A8" s="192">
        <v>25.98</v>
      </c>
      <c r="B8" s="193" t="s">
        <v>117</v>
      </c>
      <c r="C8" s="193" t="s">
        <v>81</v>
      </c>
      <c r="D8" s="194">
        <v>-122.198625985453</v>
      </c>
      <c r="E8" s="195">
        <v>37.8099866448032</v>
      </c>
      <c r="F8" s="196">
        <v>110</v>
      </c>
      <c r="G8" s="197">
        <v>3.4</v>
      </c>
      <c r="H8" s="198">
        <v>0.08</v>
      </c>
      <c r="I8" s="197">
        <v>3.5</v>
      </c>
      <c r="J8" s="197">
        <v>36.5</v>
      </c>
      <c r="K8" s="199"/>
    </row>
    <row r="9" spans="1:11" ht="13.5" customHeight="1">
      <c r="A9" s="192">
        <v>27.81</v>
      </c>
      <c r="B9" s="193" t="s">
        <v>118</v>
      </c>
      <c r="C9" s="193" t="s">
        <v>81</v>
      </c>
      <c r="D9" s="194">
        <v>-122.189306</v>
      </c>
      <c r="E9" s="195">
        <v>37.795035</v>
      </c>
      <c r="F9" s="196">
        <v>138.7</v>
      </c>
      <c r="G9" s="197">
        <v>3.8</v>
      </c>
      <c r="H9" s="198">
        <v>0.11</v>
      </c>
      <c r="I9" s="197">
        <v>3.9</v>
      </c>
      <c r="J9" s="197">
        <v>32.5</v>
      </c>
      <c r="K9" s="199"/>
    </row>
    <row r="10" spans="1:11" ht="13.5" customHeight="1">
      <c r="A10" s="192">
        <v>30.68</v>
      </c>
      <c r="B10" s="193" t="s">
        <v>119</v>
      </c>
      <c r="C10" s="193" t="s">
        <v>81</v>
      </c>
      <c r="D10" s="194">
        <v>-122.169769740402</v>
      </c>
      <c r="E10" s="195">
        <v>37.774259595829</v>
      </c>
      <c r="F10" s="196">
        <v>89.8</v>
      </c>
      <c r="G10" s="197">
        <v>3</v>
      </c>
      <c r="H10" s="198">
        <v>0.07</v>
      </c>
      <c r="I10" s="197">
        <v>2.9</v>
      </c>
      <c r="J10" s="197">
        <v>13.4</v>
      </c>
      <c r="K10" s="199">
        <v>1</v>
      </c>
    </row>
    <row r="11" spans="1:11" ht="13.5" customHeight="1">
      <c r="A11" s="192">
        <v>36.55</v>
      </c>
      <c r="B11" s="193" t="s">
        <v>120</v>
      </c>
      <c r="C11" s="193" t="s">
        <v>103</v>
      </c>
      <c r="D11" s="194">
        <v>-122.129933123556</v>
      </c>
      <c r="E11" s="195">
        <v>37.7318378493746</v>
      </c>
      <c r="F11" s="196">
        <v>231.2</v>
      </c>
      <c r="G11" s="197">
        <v>4</v>
      </c>
      <c r="H11" s="198">
        <v>0.24</v>
      </c>
      <c r="I11" s="197">
        <v>4.4</v>
      </c>
      <c r="J11" s="197">
        <v>13.4</v>
      </c>
      <c r="K11" s="199"/>
    </row>
    <row r="12" spans="1:11" ht="13.5" customHeight="1">
      <c r="A12" s="192">
        <v>38.28</v>
      </c>
      <c r="B12" s="193" t="s">
        <v>16</v>
      </c>
      <c r="C12" s="193" t="s">
        <v>103</v>
      </c>
      <c r="D12" s="194">
        <v>-122.12131340946</v>
      </c>
      <c r="E12" s="195">
        <v>37.7174855484364</v>
      </c>
      <c r="F12" s="196">
        <v>166.6</v>
      </c>
      <c r="G12" s="197">
        <v>3.1</v>
      </c>
      <c r="H12" s="198">
        <v>0.14</v>
      </c>
      <c r="I12" s="197">
        <v>3</v>
      </c>
      <c r="J12" s="197">
        <v>9.2</v>
      </c>
      <c r="K12" s="199">
        <v>1</v>
      </c>
    </row>
    <row r="13" spans="1:11" ht="13.5" customHeight="1">
      <c r="A13" s="192">
        <v>41.11</v>
      </c>
      <c r="B13" s="193" t="s">
        <v>17</v>
      </c>
      <c r="C13" s="193" t="s">
        <v>104</v>
      </c>
      <c r="D13" s="194">
        <v>-122.10578</v>
      </c>
      <c r="E13" s="195">
        <v>37.69495</v>
      </c>
      <c r="F13" s="196">
        <v>90.9</v>
      </c>
      <c r="G13" s="197">
        <v>4.7</v>
      </c>
      <c r="H13" s="198">
        <v>0.14</v>
      </c>
      <c r="I13" s="197">
        <v>5</v>
      </c>
      <c r="J13" s="197">
        <v>14.2</v>
      </c>
      <c r="K13" s="199"/>
    </row>
    <row r="14" spans="1:11" ht="13.5" customHeight="1">
      <c r="A14" s="192">
        <v>45.64</v>
      </c>
      <c r="B14" s="193" t="s">
        <v>18</v>
      </c>
      <c r="C14" s="193" t="s">
        <v>112</v>
      </c>
      <c r="D14" s="194">
        <v>-122.073967530993</v>
      </c>
      <c r="E14" s="195">
        <v>37.6626995100565</v>
      </c>
      <c r="F14" s="196">
        <v>179</v>
      </c>
      <c r="G14" s="197">
        <v>4.6</v>
      </c>
      <c r="H14" s="198">
        <v>0.24</v>
      </c>
      <c r="I14" s="197">
        <v>4.6</v>
      </c>
      <c r="J14" s="197">
        <v>29.8</v>
      </c>
      <c r="K14" s="199"/>
    </row>
    <row r="15" spans="1:11" ht="13.5" customHeight="1">
      <c r="A15" s="192">
        <v>47.72</v>
      </c>
      <c r="B15" s="193" t="s">
        <v>19</v>
      </c>
      <c r="C15" s="193" t="s">
        <v>112</v>
      </c>
      <c r="D15" s="194">
        <v>-122.059023124504</v>
      </c>
      <c r="E15" s="195">
        <v>37.6479790489763</v>
      </c>
      <c r="F15" s="196">
        <v>106.9</v>
      </c>
      <c r="G15" s="197">
        <v>5.6</v>
      </c>
      <c r="H15" s="198">
        <v>0.15</v>
      </c>
      <c r="I15" s="197">
        <v>5.8</v>
      </c>
      <c r="J15" s="197">
        <v>12.2</v>
      </c>
      <c r="K15" s="199"/>
    </row>
    <row r="16" spans="1:11" ht="13.5" customHeight="1">
      <c r="A16" s="192">
        <v>50.15</v>
      </c>
      <c r="B16" s="193" t="s">
        <v>20</v>
      </c>
      <c r="C16" s="193" t="s">
        <v>112</v>
      </c>
      <c r="D16" s="194">
        <v>-122.041404849137</v>
      </c>
      <c r="E16" s="195">
        <v>37.630965457002</v>
      </c>
      <c r="F16" s="196">
        <v>72.7</v>
      </c>
      <c r="G16" s="197">
        <v>4.3</v>
      </c>
      <c r="H16" s="198">
        <v>0.1</v>
      </c>
      <c r="I16" s="197">
        <v>4.3</v>
      </c>
      <c r="J16" s="197">
        <v>36.8</v>
      </c>
      <c r="K16" s="199">
        <v>1</v>
      </c>
    </row>
    <row r="17" spans="1:11" ht="13.5" customHeight="1">
      <c r="A17" s="192">
        <v>52.6</v>
      </c>
      <c r="B17" s="193" t="s">
        <v>21</v>
      </c>
      <c r="C17" s="193" t="s">
        <v>73</v>
      </c>
      <c r="D17" s="194">
        <v>-122.023245734046</v>
      </c>
      <c r="E17" s="195">
        <v>37.6142160299729</v>
      </c>
      <c r="F17" s="196">
        <v>120.3</v>
      </c>
      <c r="G17" s="197">
        <v>5.9</v>
      </c>
      <c r="H17" s="198">
        <v>0.19</v>
      </c>
      <c r="I17" s="197">
        <v>6.2</v>
      </c>
      <c r="J17" s="197">
        <v>12.2</v>
      </c>
      <c r="K17" s="199"/>
    </row>
    <row r="18" spans="1:11" ht="13.5" customHeight="1">
      <c r="A18" s="192">
        <v>59.09</v>
      </c>
      <c r="B18" s="193" t="s">
        <v>22</v>
      </c>
      <c r="C18" s="193" t="s">
        <v>30</v>
      </c>
      <c r="D18" s="194">
        <v>-121.980937687993</v>
      </c>
      <c r="E18" s="195">
        <v>37.5664487346127</v>
      </c>
      <c r="F18" s="196">
        <v>89.3</v>
      </c>
      <c r="G18" s="197">
        <v>5.1</v>
      </c>
      <c r="H18" s="198">
        <v>0.14</v>
      </c>
      <c r="I18" s="197">
        <v>5</v>
      </c>
      <c r="J18" s="197">
        <v>23.1</v>
      </c>
      <c r="K18" s="199">
        <v>2</v>
      </c>
    </row>
    <row r="19" spans="1:11" ht="13.5" customHeight="1">
      <c r="A19" s="192">
        <v>62.64</v>
      </c>
      <c r="B19" s="193" t="s">
        <v>23</v>
      </c>
      <c r="C19" s="193" t="s">
        <v>30</v>
      </c>
      <c r="D19" s="194">
        <v>-121.959136048996</v>
      </c>
      <c r="E19" s="195">
        <v>37.5394210763153</v>
      </c>
      <c r="F19" s="196">
        <v>88.5</v>
      </c>
      <c r="G19" s="197">
        <v>5.7</v>
      </c>
      <c r="H19" s="198">
        <v>0.18</v>
      </c>
      <c r="I19" s="197">
        <v>5.7</v>
      </c>
      <c r="J19" s="197">
        <v>24.8</v>
      </c>
      <c r="K19" s="199">
        <v>2</v>
      </c>
    </row>
    <row r="20" spans="1:11" ht="13.5" customHeight="1">
      <c r="A20" s="192">
        <v>63.1</v>
      </c>
      <c r="B20" s="193" t="s">
        <v>24</v>
      </c>
      <c r="C20" s="193" t="s">
        <v>30</v>
      </c>
      <c r="D20" s="194">
        <v>-121.955844450713</v>
      </c>
      <c r="E20" s="195">
        <v>37.5361404935772</v>
      </c>
      <c r="F20" s="196">
        <v>168.1</v>
      </c>
      <c r="G20" s="197">
        <v>6.9</v>
      </c>
      <c r="H20" s="198">
        <v>0.13</v>
      </c>
      <c r="I20" s="197">
        <v>6.8</v>
      </c>
      <c r="J20" s="197">
        <v>13.8</v>
      </c>
      <c r="K20" s="199">
        <v>2</v>
      </c>
    </row>
    <row r="21" spans="1:11" ht="13.5" customHeight="1">
      <c r="A21" s="192">
        <v>65.29</v>
      </c>
      <c r="B21" s="193" t="s">
        <v>25</v>
      </c>
      <c r="C21" s="193" t="s">
        <v>30</v>
      </c>
      <c r="D21" s="194">
        <v>-121.941810113783</v>
      </c>
      <c r="E21" s="195">
        <v>37.519729302176</v>
      </c>
      <c r="F21" s="196">
        <v>98</v>
      </c>
      <c r="G21" s="197">
        <v>5.9</v>
      </c>
      <c r="H21" s="198">
        <v>0.21</v>
      </c>
      <c r="I21" s="197">
        <v>5.8</v>
      </c>
      <c r="J21" s="197">
        <v>17.6</v>
      </c>
      <c r="K21" s="199">
        <v>2</v>
      </c>
    </row>
    <row r="22" spans="1:11" ht="13.5" customHeight="1">
      <c r="A22" s="192">
        <v>67.02</v>
      </c>
      <c r="B22" s="193" t="s">
        <v>26</v>
      </c>
      <c r="C22" s="193" t="s">
        <v>30</v>
      </c>
      <c r="D22" s="194">
        <v>-121.930460722967</v>
      </c>
      <c r="E22" s="195">
        <v>37.5072007862374</v>
      </c>
      <c r="F22" s="196">
        <v>129.5</v>
      </c>
      <c r="G22" s="197">
        <v>5.9</v>
      </c>
      <c r="H22" s="198">
        <v>0.31</v>
      </c>
      <c r="I22" s="197">
        <v>6.3</v>
      </c>
      <c r="J22" s="197">
        <v>24.4</v>
      </c>
      <c r="K22" s="199">
        <v>2</v>
      </c>
    </row>
    <row r="23" spans="1:11" ht="13.5" customHeight="1">
      <c r="A23" s="192">
        <v>67.21</v>
      </c>
      <c r="B23" s="193" t="s">
        <v>27</v>
      </c>
      <c r="C23" s="193" t="s">
        <v>30</v>
      </c>
      <c r="D23" s="194">
        <v>-121.928935541338</v>
      </c>
      <c r="E23" s="195">
        <v>37.5051646365342</v>
      </c>
      <c r="F23" s="196">
        <v>72.9</v>
      </c>
      <c r="G23" s="197">
        <v>2.4</v>
      </c>
      <c r="H23" s="198">
        <v>0.2</v>
      </c>
      <c r="I23" s="197">
        <v>2.8</v>
      </c>
      <c r="J23" s="197">
        <v>24.4</v>
      </c>
      <c r="K23" s="199" t="s">
        <v>105</v>
      </c>
    </row>
    <row r="24" spans="1:11" ht="13.5" customHeight="1">
      <c r="A24" s="192">
        <v>68.45</v>
      </c>
      <c r="B24" s="193" t="s">
        <v>28</v>
      </c>
      <c r="C24" s="193" t="s">
        <v>30</v>
      </c>
      <c r="D24" s="194">
        <v>-121.921824309953</v>
      </c>
      <c r="E24" s="195">
        <v>37.4962911569187</v>
      </c>
      <c r="F24" s="196">
        <v>168.9</v>
      </c>
      <c r="G24" s="197">
        <v>4.9</v>
      </c>
      <c r="H24" s="198">
        <v>0.27</v>
      </c>
      <c r="I24" s="197">
        <v>4.2</v>
      </c>
      <c r="J24" s="197">
        <v>13.7</v>
      </c>
      <c r="K24" s="199">
        <v>2</v>
      </c>
    </row>
    <row r="25" spans="1:11" ht="12.75">
      <c r="A25" s="200" t="s">
        <v>106</v>
      </c>
      <c r="B25" s="193"/>
      <c r="C25" s="193"/>
      <c r="D25" s="193"/>
      <c r="E25" s="199"/>
      <c r="F25" s="201"/>
      <c r="G25" s="199"/>
      <c r="H25" s="199"/>
      <c r="I25" s="199"/>
      <c r="J25" s="197"/>
      <c r="K25" s="199"/>
    </row>
    <row r="26" spans="1:11" ht="12.75">
      <c r="A26" s="202" t="s">
        <v>0</v>
      </c>
      <c r="B26" s="199"/>
      <c r="C26" s="199"/>
      <c r="D26" s="199"/>
      <c r="E26" s="199"/>
      <c r="F26" s="201"/>
      <c r="G26" s="199"/>
      <c r="H26" s="199"/>
      <c r="I26" s="199"/>
      <c r="J26" s="197"/>
      <c r="K26" s="199"/>
    </row>
    <row r="27" spans="1:11" ht="12.75">
      <c r="A27" s="202" t="s">
        <v>1</v>
      </c>
      <c r="B27" s="199"/>
      <c r="C27" s="199"/>
      <c r="D27" s="199"/>
      <c r="E27" s="199"/>
      <c r="F27" s="201"/>
      <c r="G27" s="199"/>
      <c r="H27" s="199"/>
      <c r="I27" s="199"/>
      <c r="J27" s="197"/>
      <c r="K27" s="199"/>
    </row>
    <row r="28" spans="1:2" ht="12.75">
      <c r="A28" s="202" t="s">
        <v>2</v>
      </c>
      <c r="B28" s="199"/>
    </row>
    <row r="29" ht="12.75">
      <c r="A29" s="205" t="s">
        <v>3</v>
      </c>
    </row>
    <row r="33" ht="12.75">
      <c r="F33" s="185"/>
    </row>
    <row r="34" ht="12.75">
      <c r="F34" s="185"/>
    </row>
    <row r="35" ht="12.75">
      <c r="F35" s="185"/>
    </row>
    <row r="36" ht="12.75">
      <c r="F36" s="185"/>
    </row>
    <row r="37" ht="12.75">
      <c r="F37" s="185"/>
    </row>
    <row r="38" ht="12.75">
      <c r="F38" s="185"/>
    </row>
    <row r="39" ht="12.75">
      <c r="F39" s="185"/>
    </row>
    <row r="40" ht="12.75">
      <c r="F40" s="185"/>
    </row>
    <row r="41" ht="12.75">
      <c r="F41" s="185"/>
    </row>
    <row r="42" ht="12.75">
      <c r="F42" s="185"/>
    </row>
    <row r="43" ht="12.75">
      <c r="F43" s="185"/>
    </row>
    <row r="44" ht="12.75">
      <c r="F44" s="185"/>
    </row>
    <row r="45" ht="12.75">
      <c r="F45" s="185"/>
    </row>
    <row r="46" ht="12.75">
      <c r="F46" s="185"/>
    </row>
    <row r="47" ht="12.75">
      <c r="F47" s="185"/>
    </row>
    <row r="48" ht="12.75">
      <c r="F48" s="185"/>
    </row>
    <row r="49" ht="12.75">
      <c r="F49" s="185"/>
    </row>
    <row r="50" ht="12.75">
      <c r="F50" s="185"/>
    </row>
    <row r="51" ht="12.75">
      <c r="F51" s="185"/>
    </row>
    <row r="52" ht="12.75">
      <c r="F52" s="185"/>
    </row>
    <row r="53" ht="12.75">
      <c r="F53" s="185"/>
    </row>
    <row r="54" ht="12.75">
      <c r="F54" s="185"/>
    </row>
    <row r="55" ht="12.75">
      <c r="F55" s="185"/>
    </row>
    <row r="56" ht="12.75">
      <c r="F56" s="185"/>
    </row>
    <row r="57" ht="12.75">
      <c r="F57" s="185"/>
    </row>
    <row r="58" ht="12.75">
      <c r="F58" s="185"/>
    </row>
    <row r="59" ht="12.75">
      <c r="F59" s="185"/>
    </row>
    <row r="60" ht="12.75">
      <c r="F60" s="185"/>
    </row>
    <row r="61" ht="12.75">
      <c r="F61" s="185"/>
    </row>
    <row r="62" ht="12.75">
      <c r="F62" s="185"/>
    </row>
    <row r="63" ht="12.75">
      <c r="F63" s="185"/>
    </row>
    <row r="64" ht="12.75">
      <c r="F64" s="185"/>
    </row>
    <row r="65" ht="12.75">
      <c r="F65" s="185"/>
    </row>
    <row r="66" ht="12.75">
      <c r="F66" s="185"/>
    </row>
    <row r="67" ht="12.75">
      <c r="F67" s="185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1" sqref="A1:D1"/>
    </sheetView>
  </sheetViews>
  <sheetFormatPr defaultColWidth="11.00390625" defaultRowHeight="12"/>
  <cols>
    <col min="1" max="2" width="10.875" style="4" customWidth="1"/>
    <col min="3" max="4" width="10.875" style="5" customWidth="1"/>
    <col min="5" max="5" width="10.875" style="6" customWidth="1"/>
    <col min="6" max="6" width="10.875" style="4" customWidth="1"/>
  </cols>
  <sheetData>
    <row r="1" spans="1:4" ht="12.75">
      <c r="A1" s="179" t="s">
        <v>85</v>
      </c>
      <c r="B1" s="179"/>
      <c r="C1" s="179"/>
      <c r="D1" s="179"/>
    </row>
    <row r="2" spans="1:4" ht="12.75">
      <c r="A2" s="111" t="s">
        <v>183</v>
      </c>
      <c r="B2" s="111"/>
      <c r="C2" s="112"/>
      <c r="D2" s="112"/>
    </row>
    <row r="3" spans="1:7" ht="12.75">
      <c r="A3" s="44"/>
      <c r="B3" s="1"/>
      <c r="C3" s="2"/>
      <c r="D3" s="2"/>
      <c r="E3" s="3"/>
      <c r="F3" s="183" t="s">
        <v>162</v>
      </c>
      <c r="G3" s="183"/>
    </row>
    <row r="4" spans="1:7" ht="24.75">
      <c r="A4" s="39" t="s">
        <v>154</v>
      </c>
      <c r="B4" s="42" t="s">
        <v>63</v>
      </c>
      <c r="C4" s="81" t="s">
        <v>109</v>
      </c>
      <c r="D4" s="81" t="s">
        <v>110</v>
      </c>
      <c r="E4" s="82" t="s">
        <v>111</v>
      </c>
      <c r="F4" s="39" t="s">
        <v>152</v>
      </c>
      <c r="G4" s="75" t="s">
        <v>153</v>
      </c>
    </row>
    <row r="5" spans="1:6" ht="12.75">
      <c r="A5" s="1">
        <v>0</v>
      </c>
      <c r="B5" s="1">
        <v>0.2</v>
      </c>
      <c r="C5" s="2">
        <v>0</v>
      </c>
      <c r="D5" s="2">
        <v>1993.019</v>
      </c>
      <c r="E5" s="3">
        <v>32514</v>
      </c>
      <c r="F5" s="1"/>
    </row>
    <row r="6" spans="1:6" ht="12.75">
      <c r="A6" s="1">
        <v>4.8</v>
      </c>
      <c r="B6" s="1">
        <v>0.3</v>
      </c>
      <c r="C6" s="2">
        <v>0.869</v>
      </c>
      <c r="D6" s="2">
        <v>1993.888</v>
      </c>
      <c r="E6" s="3">
        <v>32831</v>
      </c>
      <c r="F6" s="1">
        <v>5.5</v>
      </c>
    </row>
    <row r="7" spans="1:6" ht="12.75">
      <c r="A7" s="1">
        <v>9.4</v>
      </c>
      <c r="B7" s="1">
        <v>0.5</v>
      </c>
      <c r="C7" s="2">
        <v>1.573</v>
      </c>
      <c r="D7" s="2">
        <v>1994.592</v>
      </c>
      <c r="E7" s="3">
        <v>33088</v>
      </c>
      <c r="F7" s="1">
        <v>6</v>
      </c>
    </row>
    <row r="8" spans="1:6" ht="12.75">
      <c r="A8" s="1">
        <v>16.7</v>
      </c>
      <c r="B8" s="1">
        <v>0.4</v>
      </c>
      <c r="C8" s="2">
        <v>2.628</v>
      </c>
      <c r="D8" s="2">
        <v>1995.647</v>
      </c>
      <c r="E8" s="3">
        <v>33473</v>
      </c>
      <c r="F8" s="1">
        <v>6.4</v>
      </c>
    </row>
    <row r="9" spans="1:6" ht="12.75">
      <c r="A9" s="1">
        <v>20.7</v>
      </c>
      <c r="B9" s="1">
        <v>0.3</v>
      </c>
      <c r="C9" s="2">
        <v>3.131</v>
      </c>
      <c r="D9" s="2">
        <v>1996.15</v>
      </c>
      <c r="E9" s="3">
        <v>33657</v>
      </c>
      <c r="F9" s="1">
        <v>6.6</v>
      </c>
    </row>
    <row r="10" spans="1:6" ht="12.75">
      <c r="A10" s="1">
        <v>20.4</v>
      </c>
      <c r="B10" s="1">
        <v>0.7</v>
      </c>
      <c r="C10" s="2">
        <v>3.191</v>
      </c>
      <c r="D10" s="2">
        <v>1996.21</v>
      </c>
      <c r="E10" s="3">
        <v>33679</v>
      </c>
      <c r="F10" s="1">
        <v>6.4</v>
      </c>
    </row>
    <row r="11" spans="1:6" ht="12.75">
      <c r="A11" s="1">
        <v>20.3</v>
      </c>
      <c r="B11" s="1">
        <v>0.8</v>
      </c>
      <c r="C11" s="2">
        <v>3.629</v>
      </c>
      <c r="D11" s="2">
        <v>1996.648</v>
      </c>
      <c r="E11" s="3">
        <v>33839</v>
      </c>
      <c r="F11" s="1">
        <v>5.6</v>
      </c>
    </row>
    <row r="12" spans="1:6" ht="12.75">
      <c r="A12" s="1">
        <v>36.6</v>
      </c>
      <c r="B12" s="1">
        <v>0.2</v>
      </c>
      <c r="C12" s="2">
        <v>4.628</v>
      </c>
      <c r="D12" s="2">
        <v>1997.647</v>
      </c>
      <c r="E12" s="3">
        <v>34204</v>
      </c>
      <c r="F12" s="1">
        <v>7.9</v>
      </c>
    </row>
    <row r="13" spans="1:6" ht="12.75">
      <c r="A13" s="1">
        <v>42.5</v>
      </c>
      <c r="B13" s="1">
        <v>0.6</v>
      </c>
      <c r="C13" s="2">
        <v>5.663</v>
      </c>
      <c r="D13" s="2">
        <v>1998.682</v>
      </c>
      <c r="E13" s="3">
        <v>34582</v>
      </c>
      <c r="F13" s="1">
        <v>7.5</v>
      </c>
    </row>
    <row r="14" spans="1:6" ht="12.75">
      <c r="A14" s="1">
        <v>43.4</v>
      </c>
      <c r="B14" s="1">
        <v>0.4</v>
      </c>
      <c r="C14" s="2">
        <v>6.66</v>
      </c>
      <c r="D14" s="2">
        <v>1999.679</v>
      </c>
      <c r="E14" s="3">
        <v>34946</v>
      </c>
      <c r="F14" s="1">
        <v>6.5</v>
      </c>
    </row>
    <row r="15" spans="1:6" ht="12.75">
      <c r="A15" s="1">
        <v>52.8</v>
      </c>
      <c r="B15" s="1">
        <v>0.3</v>
      </c>
      <c r="C15" s="2">
        <v>7.825</v>
      </c>
      <c r="D15" s="2">
        <v>2000.844</v>
      </c>
      <c r="E15" s="3">
        <v>35372</v>
      </c>
      <c r="F15" s="1">
        <v>6.7</v>
      </c>
    </row>
    <row r="16" spans="1:6" ht="12.75">
      <c r="A16" s="7">
        <f>A15+7.7</f>
        <v>60.5</v>
      </c>
      <c r="B16" s="7">
        <v>0.4</v>
      </c>
      <c r="C16" s="51">
        <f aca="true" t="shared" si="0" ref="C16:C21">D16-$D$5</f>
        <v>8.798999999999978</v>
      </c>
      <c r="D16" s="51">
        <f aca="true" t="shared" si="1" ref="D16:D21">TRUNC(((E16-(365.25*TRUNC((E16/365.25),0)))/365.25),3)+TRUNC((E16/365.25+1904),0)+0.001</f>
        <v>2001.818</v>
      </c>
      <c r="E16" s="64">
        <v>35728</v>
      </c>
      <c r="F16" s="7">
        <f aca="true" t="shared" si="2" ref="F16:F21">A16/C16</f>
        <v>6.875781338788515</v>
      </c>
    </row>
    <row r="17" spans="1:6" ht="12.75">
      <c r="A17" s="7">
        <f>A16+9.8</f>
        <v>70.3</v>
      </c>
      <c r="B17" s="7">
        <v>0.3</v>
      </c>
      <c r="C17" s="51">
        <f t="shared" si="0"/>
        <v>9.836999999999989</v>
      </c>
      <c r="D17" s="51">
        <f t="shared" si="1"/>
        <v>2002.856</v>
      </c>
      <c r="E17" s="83">
        <v>36107</v>
      </c>
      <c r="F17" s="7">
        <f t="shared" si="2"/>
        <v>7.146487750330393</v>
      </c>
    </row>
    <row r="18" spans="1:6" ht="12.75">
      <c r="A18" s="7">
        <f>A17+3.3</f>
        <v>73.6</v>
      </c>
      <c r="B18" s="7">
        <v>0.2</v>
      </c>
      <c r="C18" s="51">
        <f t="shared" si="0"/>
        <v>10.795000000000073</v>
      </c>
      <c r="D18" s="51">
        <f t="shared" si="1"/>
        <v>2003.814</v>
      </c>
      <c r="E18" s="66">
        <v>36457</v>
      </c>
      <c r="F18" s="7">
        <f t="shared" si="2"/>
        <v>6.817971283001343</v>
      </c>
    </row>
    <row r="19" spans="1:6" ht="12.75">
      <c r="A19" s="7">
        <f>A18+6.6</f>
        <v>80.19999999999999</v>
      </c>
      <c r="B19" s="7">
        <v>1.4</v>
      </c>
      <c r="C19" s="51">
        <f t="shared" si="0"/>
        <v>11.810999999999922</v>
      </c>
      <c r="D19" s="51">
        <f t="shared" si="1"/>
        <v>2004.83</v>
      </c>
      <c r="E19" s="80">
        <v>36828</v>
      </c>
      <c r="F19" s="7">
        <f t="shared" si="2"/>
        <v>6.790280247227205</v>
      </c>
    </row>
    <row r="20" spans="1:6" ht="12.75">
      <c r="A20" s="7">
        <f>A19+5.4</f>
        <v>85.6</v>
      </c>
      <c r="B20" s="7">
        <v>0.6</v>
      </c>
      <c r="C20" s="51">
        <f t="shared" si="0"/>
        <v>12.758000000000038</v>
      </c>
      <c r="D20" s="51">
        <f t="shared" si="1"/>
        <v>2005.777</v>
      </c>
      <c r="E20" s="67">
        <v>37174</v>
      </c>
      <c r="F20" s="7">
        <f t="shared" si="2"/>
        <v>6.709515598056101</v>
      </c>
    </row>
    <row r="21" spans="1:7" ht="12.75">
      <c r="A21" s="7">
        <f>A20+8.9</f>
        <v>94.5</v>
      </c>
      <c r="B21" s="7">
        <v>0.8</v>
      </c>
      <c r="C21" s="51">
        <f t="shared" si="0"/>
        <v>13.822999999999865</v>
      </c>
      <c r="D21" s="51">
        <f t="shared" si="1"/>
        <v>2006.8419999999999</v>
      </c>
      <c r="E21" s="67">
        <v>37563</v>
      </c>
      <c r="F21" s="7">
        <f t="shared" si="2"/>
        <v>6.836432033567309</v>
      </c>
      <c r="G21" t="s">
        <v>69</v>
      </c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</sheetData>
  <mergeCells count="2">
    <mergeCell ref="F3:G3"/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A1" sqref="A1:F1"/>
    </sheetView>
  </sheetViews>
  <sheetFormatPr defaultColWidth="11.00390625" defaultRowHeight="12"/>
  <cols>
    <col min="1" max="1" width="6.875" style="8" customWidth="1"/>
    <col min="2" max="2" width="4.625" style="4" customWidth="1"/>
    <col min="3" max="3" width="7.00390625" style="5" customWidth="1"/>
    <col min="4" max="4" width="8.375" style="5" customWidth="1"/>
    <col min="5" max="5" width="9.875" style="6" customWidth="1"/>
    <col min="6" max="6" width="8.50390625" style="4" customWidth="1"/>
    <col min="7" max="7" width="9.50390625" style="0" customWidth="1"/>
    <col min="8" max="8" width="9.50390625" style="4" customWidth="1"/>
    <col min="9" max="9" width="10.00390625" style="0" customWidth="1"/>
  </cols>
  <sheetData>
    <row r="1" spans="1:6" ht="12.75">
      <c r="A1" s="179" t="s">
        <v>85</v>
      </c>
      <c r="B1" s="179"/>
      <c r="C1" s="179"/>
      <c r="D1" s="179"/>
      <c r="E1" s="179"/>
      <c r="F1" s="179"/>
    </row>
    <row r="2" spans="1:4" ht="12.75">
      <c r="A2" s="111" t="s">
        <v>184</v>
      </c>
      <c r="B2" s="111"/>
      <c r="C2" s="112"/>
      <c r="D2" s="112"/>
    </row>
    <row r="3" spans="1:8" ht="12.75">
      <c r="A3" s="44"/>
      <c r="B3" s="1"/>
      <c r="C3" s="2"/>
      <c r="D3" s="2"/>
      <c r="E3" s="3"/>
      <c r="F3" s="183" t="s">
        <v>162</v>
      </c>
      <c r="G3" s="183"/>
      <c r="H3" s="183"/>
    </row>
    <row r="4" spans="1:9" ht="48.75">
      <c r="A4" s="39" t="s">
        <v>49</v>
      </c>
      <c r="B4" s="42" t="s">
        <v>63</v>
      </c>
      <c r="C4" s="81" t="s">
        <v>109</v>
      </c>
      <c r="D4" s="81" t="s">
        <v>110</v>
      </c>
      <c r="E4" s="82" t="s">
        <v>111</v>
      </c>
      <c r="F4" s="39" t="s">
        <v>152</v>
      </c>
      <c r="G4" s="75" t="s">
        <v>153</v>
      </c>
      <c r="H4" s="42" t="s">
        <v>72</v>
      </c>
      <c r="I4" s="42" t="s">
        <v>52</v>
      </c>
    </row>
    <row r="5" spans="1:8" ht="12.75">
      <c r="A5" s="7">
        <v>0</v>
      </c>
      <c r="B5" s="1"/>
      <c r="C5" s="2">
        <v>0</v>
      </c>
      <c r="D5" s="2">
        <v>1989.216</v>
      </c>
      <c r="E5" s="3">
        <v>31125</v>
      </c>
      <c r="F5" s="1"/>
      <c r="H5" s="43"/>
    </row>
    <row r="6" spans="1:8" ht="12.75">
      <c r="A6" s="7">
        <v>19</v>
      </c>
      <c r="B6" s="1">
        <v>0.2</v>
      </c>
      <c r="C6" s="2">
        <v>3.806</v>
      </c>
      <c r="D6" s="2">
        <v>1993.022</v>
      </c>
      <c r="E6" s="3">
        <v>32515</v>
      </c>
      <c r="F6" s="1">
        <v>5</v>
      </c>
      <c r="H6" s="1"/>
    </row>
    <row r="7" spans="1:8" ht="12.75">
      <c r="A7" s="7">
        <v>19.2</v>
      </c>
      <c r="B7" s="1">
        <v>0.3</v>
      </c>
      <c r="C7" s="2">
        <v>4.672</v>
      </c>
      <c r="D7" s="2">
        <v>1993.888</v>
      </c>
      <c r="E7" s="3">
        <v>32831</v>
      </c>
      <c r="F7" s="1">
        <v>4.1</v>
      </c>
      <c r="H7" s="1"/>
    </row>
    <row r="8" spans="1:8" ht="12.75">
      <c r="A8" s="7">
        <v>20.6</v>
      </c>
      <c r="B8" s="1">
        <v>0.3</v>
      </c>
      <c r="C8" s="2">
        <v>5.376</v>
      </c>
      <c r="D8" s="2">
        <v>1994.592</v>
      </c>
      <c r="E8" s="3">
        <v>33088</v>
      </c>
      <c r="F8" s="1">
        <v>3.8</v>
      </c>
      <c r="H8" s="1"/>
    </row>
    <row r="9" spans="1:8" ht="12.75">
      <c r="A9" s="7">
        <v>25.4</v>
      </c>
      <c r="B9" s="1">
        <v>0.2</v>
      </c>
      <c r="C9" s="2">
        <v>6.436</v>
      </c>
      <c r="D9" s="2">
        <v>1995.652</v>
      </c>
      <c r="E9" s="3">
        <v>33475</v>
      </c>
      <c r="F9" s="1">
        <v>3.9</v>
      </c>
      <c r="H9" s="1"/>
    </row>
    <row r="10" spans="1:8" ht="12.75">
      <c r="A10" s="7">
        <v>39.1</v>
      </c>
      <c r="B10" s="1">
        <v>0.3</v>
      </c>
      <c r="C10" s="2">
        <v>6.934</v>
      </c>
      <c r="D10" s="2">
        <v>1996.15</v>
      </c>
      <c r="E10" s="3">
        <v>33657</v>
      </c>
      <c r="F10" s="1">
        <v>5.6</v>
      </c>
      <c r="H10" s="1"/>
    </row>
    <row r="11" spans="1:8" ht="12.75">
      <c r="A11" s="7">
        <v>40.9</v>
      </c>
      <c r="B11" s="1">
        <v>0.8</v>
      </c>
      <c r="C11" s="2">
        <v>6.975</v>
      </c>
      <c r="D11" s="2">
        <v>1996.191</v>
      </c>
      <c r="E11" s="3">
        <v>33672</v>
      </c>
      <c r="F11" s="1">
        <v>5.9</v>
      </c>
      <c r="H11" s="1"/>
    </row>
    <row r="12" spans="1:8" ht="12.75">
      <c r="A12" s="7">
        <v>41.9</v>
      </c>
      <c r="B12" s="1">
        <v>0.3</v>
      </c>
      <c r="C12" s="2">
        <v>7.426</v>
      </c>
      <c r="D12" s="2">
        <v>1996.642</v>
      </c>
      <c r="E12" s="3">
        <v>33837</v>
      </c>
      <c r="F12" s="1">
        <v>5.6</v>
      </c>
      <c r="H12" s="1"/>
    </row>
    <row r="13" spans="1:8" ht="12.75">
      <c r="A13" s="7">
        <v>44.9</v>
      </c>
      <c r="B13" s="1">
        <v>0.2</v>
      </c>
      <c r="C13" s="2">
        <v>8.431</v>
      </c>
      <c r="D13" s="2">
        <v>1997.647</v>
      </c>
      <c r="E13" s="3">
        <v>34204</v>
      </c>
      <c r="F13" s="1">
        <v>5.3</v>
      </c>
      <c r="H13" s="1"/>
    </row>
    <row r="14" spans="1:8" ht="12.75">
      <c r="A14" s="7">
        <v>45.1</v>
      </c>
      <c r="B14" s="1">
        <v>0.5</v>
      </c>
      <c r="C14" s="2">
        <v>9.466</v>
      </c>
      <c r="D14" s="2">
        <v>1998.682</v>
      </c>
      <c r="E14" s="3">
        <v>34582</v>
      </c>
      <c r="F14" s="1">
        <v>4.8</v>
      </c>
      <c r="H14" s="1"/>
    </row>
    <row r="15" spans="1:8" ht="12.75">
      <c r="A15" s="7">
        <v>49.4</v>
      </c>
      <c r="B15" s="1">
        <v>0.2</v>
      </c>
      <c r="C15" s="2">
        <v>10.48</v>
      </c>
      <c r="D15" s="2">
        <v>1999.696</v>
      </c>
      <c r="E15" s="3">
        <v>34952</v>
      </c>
      <c r="F15" s="1">
        <v>4.7</v>
      </c>
      <c r="H15" s="1"/>
    </row>
    <row r="16" spans="1:8" ht="12.75">
      <c r="A16" s="7">
        <v>58.6</v>
      </c>
      <c r="B16" s="1">
        <v>0.3</v>
      </c>
      <c r="C16" s="2">
        <v>11.647</v>
      </c>
      <c r="D16" s="2">
        <v>2000.863</v>
      </c>
      <c r="E16" s="72">
        <v>35379</v>
      </c>
      <c r="F16" s="1">
        <v>5</v>
      </c>
      <c r="H16" s="1">
        <f>(A16-$A$15)/(D16-$D$15)</f>
        <v>7.883461868036735</v>
      </c>
    </row>
    <row r="17" spans="1:8" ht="12.75">
      <c r="A17" s="7">
        <f>A16+8.6</f>
        <v>67.2</v>
      </c>
      <c r="B17" s="1">
        <v>0.3</v>
      </c>
      <c r="C17" s="2">
        <f aca="true" t="shared" si="0" ref="C17:C22">D17-$D$5</f>
        <v>12.605000000000018</v>
      </c>
      <c r="D17" s="51">
        <f aca="true" t="shared" si="1" ref="D17:D22">TRUNC(((E17-(365.25*TRUNC((E17/365.25),0)))/365.25),3)+TRUNC((E17/365.25+1904),0)+0.001</f>
        <v>2001.821</v>
      </c>
      <c r="E17" s="64">
        <v>35729</v>
      </c>
      <c r="F17" s="1">
        <f aca="true" t="shared" si="2" ref="F17:F22">A17/C17</f>
        <v>5.331217770725895</v>
      </c>
      <c r="H17" s="1">
        <f aca="true" t="shared" si="3" ref="H17:H22">(A17-$A$15)/(D17-$D$15)</f>
        <v>8.376470588235296</v>
      </c>
    </row>
    <row r="18" spans="1:8" ht="12.75">
      <c r="A18" s="7">
        <f>A17+6.4</f>
        <v>73.60000000000001</v>
      </c>
      <c r="B18" s="7">
        <v>0.3</v>
      </c>
      <c r="C18" s="51">
        <f t="shared" si="0"/>
        <v>13.6400000000001</v>
      </c>
      <c r="D18" s="51">
        <f t="shared" si="1"/>
        <v>2002.856</v>
      </c>
      <c r="E18" s="83">
        <v>36107</v>
      </c>
      <c r="F18" s="7">
        <f t="shared" si="2"/>
        <v>5.395894428152454</v>
      </c>
      <c r="H18" s="1">
        <f t="shared" si="3"/>
        <v>7.65822784810107</v>
      </c>
    </row>
    <row r="19" spans="1:8" ht="12.75">
      <c r="A19" s="7">
        <f>A18+8.7</f>
        <v>82.30000000000001</v>
      </c>
      <c r="B19" s="7">
        <v>0.3</v>
      </c>
      <c r="C19" s="51">
        <f t="shared" si="0"/>
        <v>14.593000000000075</v>
      </c>
      <c r="D19" s="51">
        <f t="shared" si="1"/>
        <v>2003.809</v>
      </c>
      <c r="E19" s="66">
        <v>36455</v>
      </c>
      <c r="F19" s="7">
        <f t="shared" si="2"/>
        <v>5.6396902624545735</v>
      </c>
      <c r="H19" s="1">
        <f t="shared" si="3"/>
        <v>7.999027473863253</v>
      </c>
    </row>
    <row r="20" spans="1:8" ht="12.75">
      <c r="A20" s="7">
        <f>A19+4.2</f>
        <v>86.50000000000001</v>
      </c>
      <c r="B20" s="7">
        <v>0.4</v>
      </c>
      <c r="C20" s="51">
        <f t="shared" si="0"/>
        <v>15.614000000000033</v>
      </c>
      <c r="D20" s="51">
        <f t="shared" si="1"/>
        <v>2004.83</v>
      </c>
      <c r="E20" s="80">
        <v>36828</v>
      </c>
      <c r="F20" s="7">
        <f t="shared" si="2"/>
        <v>5.539900089663112</v>
      </c>
      <c r="H20" s="1">
        <f t="shared" si="3"/>
        <v>7.2263342423061765</v>
      </c>
    </row>
    <row r="21" spans="1:8" ht="12.75">
      <c r="A21" s="7">
        <f>A20+8</f>
        <v>94.50000000000001</v>
      </c>
      <c r="B21" s="7">
        <v>0.3</v>
      </c>
      <c r="C21" s="51">
        <f t="shared" si="0"/>
        <v>16.56100000000015</v>
      </c>
      <c r="D21" s="51">
        <f t="shared" si="1"/>
        <v>2005.777</v>
      </c>
      <c r="E21" s="67">
        <v>37174</v>
      </c>
      <c r="F21" s="7">
        <f t="shared" si="2"/>
        <v>5.706177163214731</v>
      </c>
      <c r="H21" s="1">
        <f t="shared" si="3"/>
        <v>7.41654333168871</v>
      </c>
    </row>
    <row r="22" spans="1:9" ht="12.75">
      <c r="A22" s="7">
        <f>A21+7.3</f>
        <v>101.80000000000001</v>
      </c>
      <c r="B22" s="7">
        <v>0.4</v>
      </c>
      <c r="C22" s="51">
        <f t="shared" si="0"/>
        <v>17.629000000000133</v>
      </c>
      <c r="D22" s="51">
        <f t="shared" si="1"/>
        <v>2006.845</v>
      </c>
      <c r="E22" s="67">
        <v>37564</v>
      </c>
      <c r="F22" s="7">
        <f t="shared" si="2"/>
        <v>5.7745759827556435</v>
      </c>
      <c r="G22" t="s">
        <v>70</v>
      </c>
      <c r="H22" s="1">
        <f t="shared" si="3"/>
        <v>7.329696461043387</v>
      </c>
      <c r="I22" t="s">
        <v>71</v>
      </c>
    </row>
    <row r="25" spans="1:8" ht="12.75">
      <c r="A25"/>
      <c r="B25"/>
      <c r="C25"/>
      <c r="D25"/>
      <c r="E25"/>
      <c r="F25"/>
      <c r="H25"/>
    </row>
    <row r="26" spans="1:8" ht="12.75">
      <c r="A26"/>
      <c r="B26"/>
      <c r="C26"/>
      <c r="D26"/>
      <c r="E26"/>
      <c r="F26"/>
      <c r="H26"/>
    </row>
    <row r="27" spans="1:8" ht="12.75">
      <c r="A27"/>
      <c r="B27"/>
      <c r="C27"/>
      <c r="D27"/>
      <c r="E27"/>
      <c r="F27"/>
      <c r="H27"/>
    </row>
    <row r="28" spans="1:8" ht="12.75">
      <c r="A28"/>
      <c r="B28"/>
      <c r="C28"/>
      <c r="D28"/>
      <c r="E28"/>
      <c r="F28"/>
      <c r="H28"/>
    </row>
    <row r="29" spans="1:8" ht="12.75">
      <c r="A29"/>
      <c r="B29"/>
      <c r="C29"/>
      <c r="D29"/>
      <c r="E29"/>
      <c r="F29"/>
      <c r="H29"/>
    </row>
    <row r="30" spans="1:8" ht="12.75">
      <c r="A30"/>
      <c r="B30"/>
      <c r="C30"/>
      <c r="D30"/>
      <c r="E30"/>
      <c r="F30"/>
      <c r="H30"/>
    </row>
    <row r="31" spans="1:8" ht="12.75">
      <c r="A31"/>
      <c r="B31"/>
      <c r="C31"/>
      <c r="D31"/>
      <c r="E31"/>
      <c r="F31"/>
      <c r="H31"/>
    </row>
    <row r="32" spans="1:8" ht="12.75">
      <c r="A32"/>
      <c r="B32"/>
      <c r="C32"/>
      <c r="D32"/>
      <c r="E32"/>
      <c r="F32"/>
      <c r="H32"/>
    </row>
    <row r="33" spans="1:8" ht="12.75">
      <c r="A33"/>
      <c r="B33"/>
      <c r="C33"/>
      <c r="D33"/>
      <c r="E33"/>
      <c r="F33"/>
      <c r="H33"/>
    </row>
    <row r="34" spans="1:8" ht="12.75">
      <c r="A34"/>
      <c r="B34"/>
      <c r="C34"/>
      <c r="D34"/>
      <c r="E34"/>
      <c r="F34"/>
      <c r="H34"/>
    </row>
    <row r="35" spans="1:8" ht="12.75">
      <c r="A35"/>
      <c r="B35"/>
      <c r="C35"/>
      <c r="D35"/>
      <c r="E35"/>
      <c r="F35"/>
      <c r="H35"/>
    </row>
    <row r="36" spans="1:8" ht="12.75">
      <c r="A36"/>
      <c r="B36"/>
      <c r="C36"/>
      <c r="D36"/>
      <c r="E36"/>
      <c r="F36"/>
      <c r="H36"/>
    </row>
    <row r="37" spans="1:8" ht="12.75">
      <c r="A37"/>
      <c r="B37"/>
      <c r="C37"/>
      <c r="D37"/>
      <c r="E37"/>
      <c r="F37"/>
      <c r="H37"/>
    </row>
    <row r="38" spans="1:8" ht="12.75">
      <c r="A38"/>
      <c r="B38"/>
      <c r="C38"/>
      <c r="D38"/>
      <c r="E38"/>
      <c r="F38"/>
      <c r="H38"/>
    </row>
    <row r="39" spans="1:8" ht="12.75">
      <c r="A39"/>
      <c r="B39"/>
      <c r="C39"/>
      <c r="D39"/>
      <c r="E39"/>
      <c r="F39"/>
      <c r="H39"/>
    </row>
    <row r="40" spans="1:8" ht="12.75">
      <c r="A40"/>
      <c r="B40"/>
      <c r="C40"/>
      <c r="D40"/>
      <c r="E40"/>
      <c r="F40"/>
      <c r="H40"/>
    </row>
    <row r="41" spans="1:8" ht="12.75">
      <c r="A41"/>
      <c r="B41"/>
      <c r="C41"/>
      <c r="D41"/>
      <c r="E41"/>
      <c r="F41"/>
      <c r="H41"/>
    </row>
    <row r="42" spans="1:8" ht="12.75">
      <c r="A42"/>
      <c r="B42"/>
      <c r="C42"/>
      <c r="D42"/>
      <c r="E42"/>
      <c r="F42"/>
      <c r="H42"/>
    </row>
    <row r="43" spans="1:8" ht="12.75">
      <c r="A43"/>
      <c r="B43"/>
      <c r="C43"/>
      <c r="D43"/>
      <c r="E43"/>
      <c r="F43"/>
      <c r="H43"/>
    </row>
    <row r="44" spans="1:8" ht="12.75">
      <c r="A44"/>
      <c r="B44"/>
      <c r="C44"/>
      <c r="D44"/>
      <c r="E44"/>
      <c r="F44"/>
      <c r="H44"/>
    </row>
    <row r="45" spans="1:8" ht="12.75">
      <c r="A45"/>
      <c r="B45"/>
      <c r="C45"/>
      <c r="D45"/>
      <c r="E45"/>
      <c r="F45"/>
      <c r="H45"/>
    </row>
    <row r="46" spans="1:8" ht="12.75">
      <c r="A46"/>
      <c r="B46"/>
      <c r="C46"/>
      <c r="D46"/>
      <c r="E46"/>
      <c r="F46"/>
      <c r="H46"/>
    </row>
    <row r="47" spans="1:8" ht="12.75">
      <c r="A47"/>
      <c r="B47"/>
      <c r="C47"/>
      <c r="D47"/>
      <c r="E47"/>
      <c r="F47"/>
      <c r="H47"/>
    </row>
    <row r="48" spans="1:8" ht="12.75">
      <c r="A48"/>
      <c r="B48"/>
      <c r="C48"/>
      <c r="D48"/>
      <c r="E48"/>
      <c r="F48"/>
      <c r="H48"/>
    </row>
    <row r="49" spans="1:8" ht="12.75">
      <c r="A49"/>
      <c r="B49"/>
      <c r="C49"/>
      <c r="D49"/>
      <c r="E49"/>
      <c r="F49"/>
      <c r="H49"/>
    </row>
    <row r="50" spans="1:8" ht="12.75">
      <c r="A50"/>
      <c r="B50"/>
      <c r="C50"/>
      <c r="D50"/>
      <c r="E50"/>
      <c r="F50"/>
      <c r="H50"/>
    </row>
    <row r="51" spans="1:8" ht="12.75">
      <c r="A51"/>
      <c r="B51"/>
      <c r="C51"/>
      <c r="D51"/>
      <c r="E51"/>
      <c r="F51"/>
      <c r="H51"/>
    </row>
    <row r="52" spans="1:8" ht="12.75">
      <c r="A52"/>
      <c r="B52"/>
      <c r="C52"/>
      <c r="D52"/>
      <c r="E52"/>
      <c r="F52"/>
      <c r="H52"/>
    </row>
    <row r="53" spans="1:8" ht="12.75">
      <c r="A53"/>
      <c r="B53"/>
      <c r="C53"/>
      <c r="D53"/>
      <c r="E53"/>
      <c r="F53"/>
      <c r="H53"/>
    </row>
    <row r="54" spans="1:8" ht="12.75">
      <c r="A54"/>
      <c r="B54"/>
      <c r="C54"/>
      <c r="D54"/>
      <c r="E54"/>
      <c r="F54"/>
      <c r="H54"/>
    </row>
    <row r="55" spans="1:8" ht="12.75">
      <c r="A55"/>
      <c r="B55"/>
      <c r="C55"/>
      <c r="D55"/>
      <c r="E55"/>
      <c r="F55"/>
      <c r="H55"/>
    </row>
    <row r="56" spans="1:8" ht="12.75">
      <c r="A56"/>
      <c r="B56"/>
      <c r="C56"/>
      <c r="D56"/>
      <c r="E56"/>
      <c r="F56"/>
      <c r="H56"/>
    </row>
    <row r="57" spans="1:8" ht="12.75">
      <c r="A57"/>
      <c r="B57"/>
      <c r="C57"/>
      <c r="D57"/>
      <c r="E57"/>
      <c r="F57"/>
      <c r="H57"/>
    </row>
    <row r="58" spans="1:8" ht="12.75">
      <c r="A58"/>
      <c r="B58"/>
      <c r="C58"/>
      <c r="D58"/>
      <c r="E58"/>
      <c r="F58"/>
      <c r="H58"/>
    </row>
    <row r="59" spans="1:8" ht="12.75">
      <c r="A59"/>
      <c r="B59"/>
      <c r="C59"/>
      <c r="D59"/>
      <c r="E59"/>
      <c r="F59"/>
      <c r="H59"/>
    </row>
    <row r="60" spans="1:8" ht="12.75">
      <c r="A60"/>
      <c r="B60"/>
      <c r="C60"/>
      <c r="D60"/>
      <c r="E60"/>
      <c r="F60"/>
      <c r="H60"/>
    </row>
    <row r="61" spans="1:8" ht="12.75">
      <c r="A61"/>
      <c r="B61"/>
      <c r="C61"/>
      <c r="D61"/>
      <c r="E61"/>
      <c r="F61"/>
      <c r="H61"/>
    </row>
    <row r="62" spans="1:8" ht="12.75">
      <c r="A62"/>
      <c r="B62"/>
      <c r="C62"/>
      <c r="D62"/>
      <c r="E62"/>
      <c r="F62"/>
      <c r="H62"/>
    </row>
    <row r="63" spans="1:8" ht="12.75">
      <c r="A63"/>
      <c r="B63"/>
      <c r="C63"/>
      <c r="D63"/>
      <c r="E63"/>
      <c r="F63"/>
      <c r="H63"/>
    </row>
    <row r="64" spans="1:8" ht="12.75">
      <c r="A64"/>
      <c r="B64"/>
      <c r="C64"/>
      <c r="D64"/>
      <c r="E64"/>
      <c r="F64"/>
      <c r="H64"/>
    </row>
    <row r="65" spans="1:8" ht="12.75">
      <c r="A65"/>
      <c r="B65"/>
      <c r="C65"/>
      <c r="D65"/>
      <c r="E65"/>
      <c r="F65"/>
      <c r="H65"/>
    </row>
    <row r="66" spans="1:8" ht="12.75">
      <c r="A66"/>
      <c r="B66"/>
      <c r="C66"/>
      <c r="D66"/>
      <c r="E66"/>
      <c r="F66"/>
      <c r="H66"/>
    </row>
    <row r="67" spans="1:8" ht="12.75">
      <c r="A67"/>
      <c r="B67"/>
      <c r="C67"/>
      <c r="D67"/>
      <c r="E67"/>
      <c r="F67"/>
      <c r="H67"/>
    </row>
    <row r="68" spans="1:8" ht="12.75">
      <c r="A68"/>
      <c r="B68"/>
      <c r="C68"/>
      <c r="D68"/>
      <c r="E68"/>
      <c r="F68"/>
      <c r="H68"/>
    </row>
    <row r="69" spans="1:8" ht="12.75">
      <c r="A69"/>
      <c r="B69"/>
      <c r="C69"/>
      <c r="D69"/>
      <c r="E69"/>
      <c r="F69"/>
      <c r="H69"/>
    </row>
    <row r="70" spans="1:8" ht="12.75">
      <c r="A70"/>
      <c r="B70"/>
      <c r="C70"/>
      <c r="D70"/>
      <c r="E70"/>
      <c r="F70"/>
      <c r="H70"/>
    </row>
    <row r="71" spans="1:8" ht="12.75">
      <c r="A71"/>
      <c r="B71"/>
      <c r="C71"/>
      <c r="D71"/>
      <c r="E71"/>
      <c r="F71"/>
      <c r="H71"/>
    </row>
    <row r="72" spans="1:8" ht="12.75">
      <c r="A72"/>
      <c r="B72"/>
      <c r="C72"/>
      <c r="D72"/>
      <c r="E72"/>
      <c r="F72"/>
      <c r="H72"/>
    </row>
    <row r="73" spans="1:8" ht="12.75">
      <c r="A73"/>
      <c r="B73"/>
      <c r="C73"/>
      <c r="D73"/>
      <c r="E73"/>
      <c r="F73"/>
      <c r="H73"/>
    </row>
    <row r="74" spans="1:8" ht="12.75">
      <c r="A74"/>
      <c r="B74"/>
      <c r="C74"/>
      <c r="D74"/>
      <c r="E74"/>
      <c r="F74"/>
      <c r="H74"/>
    </row>
    <row r="75" spans="1:8" ht="12.75">
      <c r="A75"/>
      <c r="B75"/>
      <c r="C75"/>
      <c r="D75"/>
      <c r="E75"/>
      <c r="F75"/>
      <c r="H75"/>
    </row>
    <row r="76" spans="1:8" ht="12.75">
      <c r="A76"/>
      <c r="B76"/>
      <c r="C76"/>
      <c r="D76"/>
      <c r="E76"/>
      <c r="F76"/>
      <c r="H76"/>
    </row>
    <row r="77" spans="1:8" ht="12.75">
      <c r="A77"/>
      <c r="B77"/>
      <c r="C77"/>
      <c r="D77"/>
      <c r="E77"/>
      <c r="F77"/>
      <c r="H77"/>
    </row>
    <row r="78" spans="1:8" ht="12.75">
      <c r="A78"/>
      <c r="B78"/>
      <c r="C78"/>
      <c r="D78"/>
      <c r="E78"/>
      <c r="F78"/>
      <c r="H78"/>
    </row>
    <row r="79" spans="1:8" ht="12.75">
      <c r="A79"/>
      <c r="B79"/>
      <c r="C79"/>
      <c r="D79"/>
      <c r="E79"/>
      <c r="F79"/>
      <c r="H79"/>
    </row>
    <row r="80" spans="1:8" ht="12.75">
      <c r="A80"/>
      <c r="B80"/>
      <c r="C80"/>
      <c r="D80"/>
      <c r="E80"/>
      <c r="F80"/>
      <c r="H80"/>
    </row>
    <row r="81" spans="1:8" ht="12.75">
      <c r="A81"/>
      <c r="B81"/>
      <c r="C81"/>
      <c r="D81"/>
      <c r="E81"/>
      <c r="F81"/>
      <c r="H81"/>
    </row>
    <row r="82" spans="1:8" ht="12.75">
      <c r="A82"/>
      <c r="B82"/>
      <c r="C82"/>
      <c r="D82"/>
      <c r="E82"/>
      <c r="F82"/>
      <c r="H82"/>
    </row>
    <row r="83" spans="1:8" ht="12.75">
      <c r="A83"/>
      <c r="B83"/>
      <c r="C83"/>
      <c r="D83"/>
      <c r="E83"/>
      <c r="F83"/>
      <c r="H83"/>
    </row>
    <row r="84" spans="1:8" ht="12.75">
      <c r="A84"/>
      <c r="B84"/>
      <c r="C84"/>
      <c r="D84"/>
      <c r="E84"/>
      <c r="F84"/>
      <c r="H84"/>
    </row>
    <row r="85" spans="1:8" ht="12.75">
      <c r="A85"/>
      <c r="B85"/>
      <c r="C85"/>
      <c r="D85"/>
      <c r="E85"/>
      <c r="F85"/>
      <c r="H85"/>
    </row>
    <row r="86" spans="1:8" ht="12.75">
      <c r="A86"/>
      <c r="B86"/>
      <c r="C86"/>
      <c r="D86"/>
      <c r="E86"/>
      <c r="F86"/>
      <c r="H86"/>
    </row>
    <row r="87" spans="1:8" ht="12.75">
      <c r="A87"/>
      <c r="B87"/>
      <c r="C87"/>
      <c r="D87"/>
      <c r="E87"/>
      <c r="F87"/>
      <c r="H87"/>
    </row>
    <row r="88" spans="1:8" ht="12.75">
      <c r="A88"/>
      <c r="B88"/>
      <c r="C88"/>
      <c r="D88"/>
      <c r="E88"/>
      <c r="F88"/>
      <c r="H88"/>
    </row>
    <row r="89" spans="1:8" ht="12.75">
      <c r="A89"/>
      <c r="B89"/>
      <c r="C89"/>
      <c r="D89"/>
      <c r="E89"/>
      <c r="F89"/>
      <c r="H89"/>
    </row>
    <row r="90" spans="1:8" ht="12.75">
      <c r="A90"/>
      <c r="B90"/>
      <c r="C90"/>
      <c r="D90"/>
      <c r="E90"/>
      <c r="F90"/>
      <c r="H90"/>
    </row>
    <row r="91" spans="1:8" ht="12.75">
      <c r="A91"/>
      <c r="B91"/>
      <c r="C91"/>
      <c r="D91"/>
      <c r="E91"/>
      <c r="F91"/>
      <c r="H91"/>
    </row>
    <row r="92" spans="1:8" ht="12.75">
      <c r="A92"/>
      <c r="B92"/>
      <c r="C92"/>
      <c r="D92"/>
      <c r="E92"/>
      <c r="F92"/>
      <c r="H92"/>
    </row>
    <row r="93" spans="1:8" ht="12.75">
      <c r="A93"/>
      <c r="B93"/>
      <c r="C93"/>
      <c r="D93"/>
      <c r="E93"/>
      <c r="F93"/>
      <c r="H93"/>
    </row>
    <row r="94" spans="1:8" ht="12.75">
      <c r="A94"/>
      <c r="B94"/>
      <c r="C94"/>
      <c r="D94"/>
      <c r="E94"/>
      <c r="F94"/>
      <c r="H94"/>
    </row>
    <row r="95" spans="1:8" ht="12.75">
      <c r="A95"/>
      <c r="B95"/>
      <c r="C95"/>
      <c r="D95"/>
      <c r="E95"/>
      <c r="F95"/>
      <c r="H95"/>
    </row>
    <row r="96" spans="1:8" ht="12.75">
      <c r="A96"/>
      <c r="B96"/>
      <c r="C96"/>
      <c r="D96"/>
      <c r="E96"/>
      <c r="F96"/>
      <c r="H96"/>
    </row>
    <row r="97" spans="1:8" ht="12.75">
      <c r="A97"/>
      <c r="B97"/>
      <c r="C97"/>
      <c r="D97"/>
      <c r="E97"/>
      <c r="F97"/>
      <c r="H97"/>
    </row>
  </sheetData>
  <mergeCells count="2">
    <mergeCell ref="F3:H3"/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9"/>
  <sheetViews>
    <sheetView workbookViewId="0" topLeftCell="A1">
      <selection activeCell="A1" sqref="A1:J1"/>
    </sheetView>
  </sheetViews>
  <sheetFormatPr defaultColWidth="11.00390625" defaultRowHeight="12"/>
  <cols>
    <col min="1" max="1" width="7.00390625" style="4" customWidth="1"/>
    <col min="2" max="2" width="4.875" style="4" customWidth="1"/>
    <col min="3" max="3" width="7.00390625" style="5" customWidth="1"/>
    <col min="4" max="4" width="8.875" style="5" customWidth="1"/>
    <col min="5" max="5" width="9.625" style="6" customWidth="1"/>
    <col min="6" max="6" width="7.00390625" style="4" customWidth="1"/>
    <col min="7" max="7" width="9.625" style="0" customWidth="1"/>
    <col min="8" max="8" width="7.00390625" style="0" customWidth="1"/>
    <col min="9" max="9" width="9.125" style="0" customWidth="1"/>
    <col min="10" max="10" width="21.625" style="0" customWidth="1"/>
  </cols>
  <sheetData>
    <row r="1" spans="1:10" ht="12.75">
      <c r="A1" s="179" t="s">
        <v>85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7" ht="12.75">
      <c r="A2" s="111" t="s">
        <v>185</v>
      </c>
      <c r="B2" s="111"/>
      <c r="C2" s="112"/>
      <c r="D2" s="112"/>
      <c r="G2" s="4"/>
    </row>
    <row r="3" spans="1:9" ht="12.75">
      <c r="A3" s="44"/>
      <c r="B3" s="1"/>
      <c r="C3" s="2"/>
      <c r="D3" s="2"/>
      <c r="E3" s="3"/>
      <c r="F3" s="183" t="s">
        <v>162</v>
      </c>
      <c r="G3" s="183"/>
      <c r="H3" s="183"/>
      <c r="I3" s="183"/>
    </row>
    <row r="4" spans="1:9" ht="48.75">
      <c r="A4" s="39" t="s">
        <v>49</v>
      </c>
      <c r="B4" s="39" t="s">
        <v>63</v>
      </c>
      <c r="C4" s="81" t="s">
        <v>109</v>
      </c>
      <c r="D4" s="81" t="s">
        <v>110</v>
      </c>
      <c r="E4" s="82" t="s">
        <v>111</v>
      </c>
      <c r="F4" s="39" t="s">
        <v>152</v>
      </c>
      <c r="G4" s="75" t="s">
        <v>153</v>
      </c>
      <c r="H4" s="39" t="s">
        <v>54</v>
      </c>
      <c r="I4" s="39" t="s">
        <v>55</v>
      </c>
    </row>
    <row r="5" spans="1:7" ht="12.75">
      <c r="A5" s="1">
        <v>0</v>
      </c>
      <c r="B5" s="1"/>
      <c r="C5" s="2">
        <v>0</v>
      </c>
      <c r="D5" s="2">
        <v>1982.46</v>
      </c>
      <c r="E5" s="3">
        <v>28657</v>
      </c>
      <c r="F5" s="1"/>
      <c r="G5" s="1"/>
    </row>
    <row r="6" spans="1:8" ht="12.75">
      <c r="A6" s="1">
        <v>77.7</v>
      </c>
      <c r="B6" s="1">
        <v>1.360672102833218</v>
      </c>
      <c r="C6" s="2">
        <v>10.978</v>
      </c>
      <c r="D6" s="2">
        <v>1993.438</v>
      </c>
      <c r="E6" s="3">
        <v>32667</v>
      </c>
      <c r="F6" s="1">
        <v>7.1</v>
      </c>
      <c r="G6" s="1"/>
      <c r="H6" s="4"/>
    </row>
    <row r="7" spans="1:8" ht="12.75">
      <c r="A7" s="1">
        <v>76.2</v>
      </c>
      <c r="B7" s="1">
        <v>0.9827076298239907</v>
      </c>
      <c r="C7" s="2">
        <v>12.167</v>
      </c>
      <c r="D7" s="2">
        <v>1994.627</v>
      </c>
      <c r="E7" s="3">
        <v>33101</v>
      </c>
      <c r="F7" s="1">
        <v>6.3</v>
      </c>
      <c r="G7" s="1"/>
      <c r="H7" s="4"/>
    </row>
    <row r="8" spans="1:8" ht="12.75">
      <c r="A8" s="1">
        <v>103.4</v>
      </c>
      <c r="B8" s="1">
        <v>0.3779644730092272</v>
      </c>
      <c r="C8" s="2">
        <v>13.69</v>
      </c>
      <c r="D8" s="2">
        <v>1996.15</v>
      </c>
      <c r="E8" s="3">
        <v>33657</v>
      </c>
      <c r="F8" s="1">
        <v>7.6</v>
      </c>
      <c r="G8" s="1"/>
      <c r="H8" s="4"/>
    </row>
    <row r="9" spans="1:8" ht="12.75">
      <c r="A9" s="1">
        <v>105.8</v>
      </c>
      <c r="B9" s="1">
        <v>0.41576092031014994</v>
      </c>
      <c r="C9" s="2">
        <v>13.75</v>
      </c>
      <c r="D9" s="2">
        <v>1996.21</v>
      </c>
      <c r="E9" s="3">
        <v>33679</v>
      </c>
      <c r="F9" s="1">
        <v>7.7</v>
      </c>
      <c r="G9" s="1"/>
      <c r="H9" s="4"/>
    </row>
    <row r="10" spans="1:8" ht="12.75">
      <c r="A10" s="1">
        <v>104.1</v>
      </c>
      <c r="B10" s="1">
        <v>1.3228756555322951</v>
      </c>
      <c r="C10" s="2">
        <v>14.188</v>
      </c>
      <c r="D10" s="2">
        <v>1996.648</v>
      </c>
      <c r="E10" s="72">
        <v>33839</v>
      </c>
      <c r="F10" s="1">
        <v>7.3</v>
      </c>
      <c r="G10" s="1"/>
      <c r="H10" s="4"/>
    </row>
    <row r="11" spans="1:8" ht="12.75">
      <c r="A11" s="1">
        <v>106.7</v>
      </c>
      <c r="B11" s="1">
        <v>0.41576092031014994</v>
      </c>
      <c r="C11" s="2">
        <v>15.187</v>
      </c>
      <c r="D11" s="2">
        <v>1997.647</v>
      </c>
      <c r="E11" s="72">
        <v>34204</v>
      </c>
      <c r="F11" s="1">
        <v>7</v>
      </c>
      <c r="G11" s="1"/>
      <c r="H11" s="4"/>
    </row>
    <row r="12" spans="1:8" ht="12.75">
      <c r="A12" s="1">
        <v>106.8</v>
      </c>
      <c r="B12" s="1">
        <v>0.30237157840738177</v>
      </c>
      <c r="C12" s="2">
        <v>16.225</v>
      </c>
      <c r="D12" s="2">
        <v>1998.685</v>
      </c>
      <c r="E12" s="72">
        <v>34583</v>
      </c>
      <c r="F12" s="1">
        <v>6.6</v>
      </c>
      <c r="G12" s="1"/>
      <c r="H12" s="4"/>
    </row>
    <row r="13" spans="1:8" ht="12.75">
      <c r="A13" s="1">
        <v>109.7</v>
      </c>
      <c r="B13" s="1">
        <v>1.2850792082313724</v>
      </c>
      <c r="C13" s="2">
        <v>17.239</v>
      </c>
      <c r="D13" s="2">
        <v>1999.699</v>
      </c>
      <c r="E13" s="72">
        <v>34953</v>
      </c>
      <c r="F13" s="1">
        <v>6.4</v>
      </c>
      <c r="G13" s="1"/>
      <c r="H13" s="4"/>
    </row>
    <row r="14" spans="1:8" ht="12.75">
      <c r="A14" s="1">
        <v>117.8</v>
      </c>
      <c r="B14" s="1">
        <v>1.1338934190276817</v>
      </c>
      <c r="C14" s="2">
        <v>18.403</v>
      </c>
      <c r="D14" s="2">
        <v>2000.863</v>
      </c>
      <c r="E14" s="72">
        <v>35379</v>
      </c>
      <c r="F14" s="1">
        <v>6.4</v>
      </c>
      <c r="G14" s="1"/>
      <c r="H14" s="4"/>
    </row>
    <row r="15" spans="1:7" ht="12.75">
      <c r="A15" s="1">
        <f>A14+2.5</f>
        <v>120.3</v>
      </c>
      <c r="B15" s="1">
        <v>0.9</v>
      </c>
      <c r="C15" s="2">
        <f aca="true" t="shared" si="0" ref="C15:C20">D15-$D$5</f>
        <v>19.364000000000033</v>
      </c>
      <c r="D15" s="51">
        <f aca="true" t="shared" si="1" ref="D15:D20">TRUNC(((E15-(365.25*TRUNC((E15/365.25),0)))/365.25),3)+TRUNC((E15/365.25+1904),0)+0.001</f>
        <v>2001.824</v>
      </c>
      <c r="E15" s="64">
        <v>35730</v>
      </c>
      <c r="F15" s="1">
        <f aca="true" t="shared" si="2" ref="F15:F20">A15/C15</f>
        <v>6.212559388556072</v>
      </c>
      <c r="G15" s="1"/>
    </row>
    <row r="16" spans="1:7" ht="12.75">
      <c r="A16" s="1">
        <f>A15+6.5</f>
        <v>126.8</v>
      </c>
      <c r="B16" s="1">
        <v>0.4</v>
      </c>
      <c r="C16" s="2">
        <f t="shared" si="0"/>
        <v>20.398999999999887</v>
      </c>
      <c r="D16" s="51">
        <f t="shared" si="1"/>
        <v>2002.859</v>
      </c>
      <c r="E16" s="83">
        <v>36108</v>
      </c>
      <c r="F16" s="1">
        <f t="shared" si="2"/>
        <v>6.215990979950032</v>
      </c>
      <c r="G16" s="1"/>
    </row>
    <row r="17" spans="1:10" ht="34.5" customHeight="1">
      <c r="A17" s="120">
        <f>A16+5</f>
        <v>131.8</v>
      </c>
      <c r="B17" s="120">
        <v>0.4</v>
      </c>
      <c r="C17" s="121">
        <f t="shared" si="0"/>
        <v>21.35699999999997</v>
      </c>
      <c r="D17" s="121">
        <f t="shared" si="1"/>
        <v>2003.817</v>
      </c>
      <c r="E17" s="122">
        <v>36458</v>
      </c>
      <c r="F17" s="120">
        <f t="shared" si="2"/>
        <v>6.171278737650428</v>
      </c>
      <c r="G17" s="120"/>
      <c r="H17" s="119"/>
      <c r="I17" s="119"/>
      <c r="J17" s="118" t="s">
        <v>53</v>
      </c>
    </row>
    <row r="18" spans="1:8" ht="12.75">
      <c r="A18" s="7">
        <f>A16+14.4</f>
        <v>141.2</v>
      </c>
      <c r="B18" s="7">
        <v>0.4</v>
      </c>
      <c r="C18" s="51">
        <f t="shared" si="0"/>
        <v>22.354000000000042</v>
      </c>
      <c r="D18" s="51">
        <f t="shared" si="1"/>
        <v>2004.814</v>
      </c>
      <c r="E18" s="67">
        <v>36822</v>
      </c>
      <c r="F18" s="7">
        <f t="shared" si="2"/>
        <v>6.316542900599433</v>
      </c>
      <c r="G18" s="7"/>
      <c r="H18" s="1">
        <f>(A18-$A$17)/(C18-$C$17)</f>
        <v>9.428284854562998</v>
      </c>
    </row>
    <row r="19" spans="1:8" ht="12.75">
      <c r="A19" s="7">
        <f>A18+3.5</f>
        <v>144.7</v>
      </c>
      <c r="B19" s="7">
        <v>0.3</v>
      </c>
      <c r="C19" s="51">
        <f t="shared" si="0"/>
        <v>23.327999999999975</v>
      </c>
      <c r="D19" s="51">
        <f t="shared" si="1"/>
        <v>2005.788</v>
      </c>
      <c r="E19" s="67">
        <v>37178</v>
      </c>
      <c r="F19" s="7">
        <f t="shared" si="2"/>
        <v>6.202846364883408</v>
      </c>
      <c r="G19" s="7"/>
      <c r="H19" s="1">
        <f>(A19-$A$17)/(C19-$C$17)</f>
        <v>6.544901065448987</v>
      </c>
    </row>
    <row r="20" spans="1:9" ht="12.75">
      <c r="A20" s="7">
        <f>A19+9.4</f>
        <v>154.1</v>
      </c>
      <c r="B20" s="7">
        <v>0.9</v>
      </c>
      <c r="C20" s="51">
        <f t="shared" si="0"/>
        <v>24.38499999999999</v>
      </c>
      <c r="D20" s="51">
        <f t="shared" si="1"/>
        <v>2006.845</v>
      </c>
      <c r="E20" s="67">
        <v>37564</v>
      </c>
      <c r="F20" s="7">
        <f t="shared" si="2"/>
        <v>6.31945868361698</v>
      </c>
      <c r="G20" s="7" t="s">
        <v>32</v>
      </c>
      <c r="H20" s="1">
        <f>(A20-$A$17)/(C20-$C$17)</f>
        <v>7.364597093791227</v>
      </c>
      <c r="I20" s="10" t="s">
        <v>33</v>
      </c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</sheetData>
  <mergeCells count="2">
    <mergeCell ref="F3:I3"/>
    <mergeCell ref="A1:J1"/>
  </mergeCells>
  <printOptions/>
  <pageMargins left="0.38" right="0.37" top="1" bottom="0.75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:I1"/>
    </sheetView>
  </sheetViews>
  <sheetFormatPr defaultColWidth="11.00390625" defaultRowHeight="12"/>
  <cols>
    <col min="1" max="1" width="5.625" style="4" customWidth="1"/>
    <col min="2" max="2" width="5.00390625" style="4" customWidth="1"/>
    <col min="3" max="3" width="7.50390625" style="5" customWidth="1"/>
    <col min="4" max="4" width="10.875" style="5" customWidth="1"/>
    <col min="5" max="5" width="10.875" style="6" customWidth="1"/>
    <col min="6" max="7" width="10.875" style="4" customWidth="1"/>
  </cols>
  <sheetData>
    <row r="1" spans="1:9" ht="12.75">
      <c r="A1" s="179" t="s">
        <v>85</v>
      </c>
      <c r="B1" s="179"/>
      <c r="C1" s="179"/>
      <c r="D1" s="179"/>
      <c r="E1" s="179"/>
      <c r="F1" s="179"/>
      <c r="G1" s="179"/>
      <c r="H1" s="179"/>
      <c r="I1" s="179"/>
    </row>
    <row r="2" spans="1:4" ht="12.75">
      <c r="A2" s="111" t="s">
        <v>186</v>
      </c>
      <c r="B2" s="101"/>
      <c r="C2" s="101"/>
      <c r="D2" s="101"/>
    </row>
    <row r="3" spans="1:9" ht="12.75">
      <c r="A3" s="44"/>
      <c r="B3" s="1"/>
      <c r="C3" s="2"/>
      <c r="D3" s="2"/>
      <c r="E3" s="3"/>
      <c r="F3" s="183" t="s">
        <v>162</v>
      </c>
      <c r="G3" s="183"/>
      <c r="H3" s="183"/>
      <c r="I3" s="183"/>
    </row>
    <row r="4" spans="1:9" ht="48.75">
      <c r="A4" s="39" t="s">
        <v>154</v>
      </c>
      <c r="B4" s="39" t="s">
        <v>63</v>
      </c>
      <c r="C4" s="81" t="s">
        <v>109</v>
      </c>
      <c r="D4" s="81" t="s">
        <v>110</v>
      </c>
      <c r="E4" s="82" t="s">
        <v>111</v>
      </c>
      <c r="F4" s="39" t="s">
        <v>152</v>
      </c>
      <c r="G4" s="75" t="s">
        <v>153</v>
      </c>
      <c r="H4" s="39" t="s">
        <v>34</v>
      </c>
      <c r="I4" s="39" t="s">
        <v>35</v>
      </c>
    </row>
    <row r="5" spans="1:8" ht="12.75">
      <c r="A5" s="1">
        <v>0</v>
      </c>
      <c r="B5" s="1"/>
      <c r="C5" s="2">
        <v>0</v>
      </c>
      <c r="D5" s="2">
        <v>1982.4</v>
      </c>
      <c r="E5" s="3">
        <v>28635</v>
      </c>
      <c r="F5" s="1"/>
      <c r="H5" s="1"/>
    </row>
    <row r="6" spans="1:8" ht="12.75">
      <c r="A6" s="1">
        <v>41.5</v>
      </c>
      <c r="B6" s="1">
        <v>0.3</v>
      </c>
      <c r="C6" s="2">
        <v>12.227</v>
      </c>
      <c r="D6" s="2">
        <v>1994.627</v>
      </c>
      <c r="E6" s="3">
        <v>33101</v>
      </c>
      <c r="F6" s="1">
        <v>3.4</v>
      </c>
      <c r="H6" s="1"/>
    </row>
    <row r="7" spans="1:8" ht="12.75">
      <c r="A7" s="1">
        <v>39.9</v>
      </c>
      <c r="B7" s="1">
        <v>0.8693182879212226</v>
      </c>
      <c r="C7" s="2">
        <v>14.245</v>
      </c>
      <c r="D7" s="2">
        <v>1996.645</v>
      </c>
      <c r="E7" s="3">
        <v>33838</v>
      </c>
      <c r="F7" s="1">
        <v>2.8</v>
      </c>
      <c r="H7" s="1"/>
    </row>
    <row r="8" spans="1:8" ht="12.75">
      <c r="A8" s="1">
        <v>42.1</v>
      </c>
      <c r="B8" s="1">
        <v>0.1889822365046136</v>
      </c>
      <c r="C8" s="2">
        <v>15.244</v>
      </c>
      <c r="D8" s="2">
        <v>1997.644</v>
      </c>
      <c r="E8" s="3">
        <v>34203</v>
      </c>
      <c r="F8" s="1">
        <v>2.8</v>
      </c>
      <c r="H8" s="1"/>
    </row>
    <row r="9" spans="1:8" ht="12.75">
      <c r="A9" s="1">
        <v>41.2</v>
      </c>
      <c r="B9" s="1">
        <v>0.2267786838055363</v>
      </c>
      <c r="C9" s="2">
        <v>16.285</v>
      </c>
      <c r="D9" s="2">
        <v>1998.685</v>
      </c>
      <c r="E9" s="3">
        <v>34583</v>
      </c>
      <c r="F9" s="1">
        <v>2.5</v>
      </c>
      <c r="H9" s="1"/>
    </row>
    <row r="10" spans="1:8" ht="12.75">
      <c r="A10" s="1">
        <v>41.2</v>
      </c>
      <c r="B10" s="1">
        <v>0.2267786838055363</v>
      </c>
      <c r="C10" s="2">
        <v>17.299</v>
      </c>
      <c r="D10" s="2">
        <v>1999.699</v>
      </c>
      <c r="E10" s="3">
        <v>34953</v>
      </c>
      <c r="F10" s="1">
        <v>2.4</v>
      </c>
      <c r="H10" s="1"/>
    </row>
    <row r="11" spans="1:8" ht="12.75">
      <c r="A11" s="1">
        <v>41.7</v>
      </c>
      <c r="B11" s="1">
        <v>0.5669467095138409</v>
      </c>
      <c r="C11" s="2">
        <v>18.463</v>
      </c>
      <c r="D11" s="2">
        <v>2000.863</v>
      </c>
      <c r="E11" s="3">
        <v>35379</v>
      </c>
      <c r="F11" s="1">
        <v>2.3</v>
      </c>
      <c r="H11" s="1"/>
    </row>
    <row r="12" spans="1:7" ht="12.75">
      <c r="A12" s="1">
        <f>A11+1.7</f>
        <v>43.400000000000006</v>
      </c>
      <c r="B12" s="1">
        <v>0.2</v>
      </c>
      <c r="C12" s="2">
        <f aca="true" t="shared" si="0" ref="C12:C17">D12-$D$5</f>
        <v>19.423999999999978</v>
      </c>
      <c r="D12" s="51">
        <f aca="true" t="shared" si="1" ref="D12:D17">TRUNC(((E12-(365.25*TRUNC((E12/365.25),0)))/365.25),3)+TRUNC((E12/365.25+1904),0)+0.001</f>
        <v>2001.824</v>
      </c>
      <c r="E12" s="64">
        <v>35730</v>
      </c>
      <c r="F12" s="1">
        <f aca="true" t="shared" si="2" ref="F12:F17">A12/C12</f>
        <v>2.2343492586490967</v>
      </c>
      <c r="G12" s="1"/>
    </row>
    <row r="13" spans="1:8" ht="12.75">
      <c r="A13" s="1">
        <f>A12+4.7</f>
        <v>48.10000000000001</v>
      </c>
      <c r="B13" s="1">
        <v>0.3</v>
      </c>
      <c r="C13" s="2">
        <f t="shared" si="0"/>
        <v>20.458999999999833</v>
      </c>
      <c r="D13" s="51">
        <f t="shared" si="1"/>
        <v>2002.859</v>
      </c>
      <c r="E13" s="83">
        <v>36108</v>
      </c>
      <c r="F13" s="1">
        <f t="shared" si="2"/>
        <v>2.3510435505156853</v>
      </c>
      <c r="G13" s="1"/>
      <c r="H13" s="1">
        <f>(A13-$A$12)/(D13-$D$12)</f>
        <v>4.541062801933008</v>
      </c>
    </row>
    <row r="14" spans="1:8" ht="12.75">
      <c r="A14" s="1">
        <f>A13+3.9</f>
        <v>52.00000000000001</v>
      </c>
      <c r="B14" s="1">
        <v>0.5</v>
      </c>
      <c r="C14" s="2">
        <f t="shared" si="0"/>
        <v>21.416999999999916</v>
      </c>
      <c r="D14" s="51">
        <f t="shared" si="1"/>
        <v>2003.817</v>
      </c>
      <c r="E14" s="66">
        <v>36458</v>
      </c>
      <c r="F14" s="1">
        <f t="shared" si="2"/>
        <v>2.4279777746649955</v>
      </c>
      <c r="G14" s="1"/>
      <c r="H14" s="1">
        <f>(A14-$A$12)/(D14-$D$12)</f>
        <v>4.31510286001017</v>
      </c>
    </row>
    <row r="15" spans="1:8" ht="12.75">
      <c r="A15" s="7">
        <f>A14+6.7</f>
        <v>58.70000000000001</v>
      </c>
      <c r="B15" s="7">
        <v>0.7</v>
      </c>
      <c r="C15" s="51">
        <f t="shared" si="0"/>
        <v>22.41099999999983</v>
      </c>
      <c r="D15" s="51">
        <f t="shared" si="1"/>
        <v>2004.811</v>
      </c>
      <c r="E15" s="80">
        <v>36821</v>
      </c>
      <c r="F15" s="7">
        <f t="shared" si="2"/>
        <v>2.6192494757039158</v>
      </c>
      <c r="H15" s="1">
        <f>(A15-$A$12)/(D15-$D$12)</f>
        <v>5.122196183461921</v>
      </c>
    </row>
    <row r="16" spans="1:8" ht="12.75">
      <c r="A16" s="7">
        <f>A15+1.5</f>
        <v>60.20000000000001</v>
      </c>
      <c r="B16" s="7">
        <v>0.4</v>
      </c>
      <c r="C16" s="51">
        <f t="shared" si="0"/>
        <v>23.38799999999992</v>
      </c>
      <c r="D16" s="51">
        <f t="shared" si="1"/>
        <v>2005.788</v>
      </c>
      <c r="E16" s="67">
        <v>37178</v>
      </c>
      <c r="F16" s="7">
        <f t="shared" si="2"/>
        <v>2.5739695570378065</v>
      </c>
      <c r="H16" s="1">
        <f>(A16-$A$12)/(D16-$D$12)</f>
        <v>4.238143289606522</v>
      </c>
    </row>
    <row r="17" spans="1:9" ht="12.75">
      <c r="A17" s="7">
        <f>A16+7.7</f>
        <v>67.9</v>
      </c>
      <c r="B17" s="7">
        <v>0.1</v>
      </c>
      <c r="C17" s="51">
        <f t="shared" si="0"/>
        <v>24.444999999999936</v>
      </c>
      <c r="D17" s="51">
        <f t="shared" si="1"/>
        <v>2006.845</v>
      </c>
      <c r="E17" s="67">
        <v>37564</v>
      </c>
      <c r="F17" s="7">
        <f t="shared" si="2"/>
        <v>2.7776641439967347</v>
      </c>
      <c r="G17" s="4" t="s">
        <v>36</v>
      </c>
      <c r="H17" s="1">
        <f>(A17-$A$12)/(D17-$D$12)</f>
        <v>4.879506074487194</v>
      </c>
      <c r="I17" t="s">
        <v>37</v>
      </c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</sheetData>
  <mergeCells count="2">
    <mergeCell ref="F3:I3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L40" sqref="L40"/>
    </sheetView>
  </sheetViews>
  <sheetFormatPr defaultColWidth="11.00390625" defaultRowHeight="12"/>
  <cols>
    <col min="1" max="1" width="6.00390625" style="4" customWidth="1"/>
    <col min="2" max="2" width="5.125" style="4" customWidth="1"/>
    <col min="3" max="3" width="7.125" style="5" customWidth="1"/>
    <col min="4" max="4" width="10.875" style="5" customWidth="1"/>
    <col min="5" max="5" width="10.875" style="6" customWidth="1"/>
    <col min="6" max="6" width="10.875" style="4" customWidth="1"/>
  </cols>
  <sheetData>
    <row r="1" spans="1:9" ht="12.75">
      <c r="A1" s="179" t="s">
        <v>85</v>
      </c>
      <c r="B1" s="179"/>
      <c r="C1" s="179"/>
      <c r="D1" s="179"/>
      <c r="E1" s="179"/>
      <c r="F1" s="179"/>
      <c r="G1" s="179"/>
      <c r="H1" s="179"/>
      <c r="I1" s="179"/>
    </row>
    <row r="2" spans="1:4" ht="12.75">
      <c r="A2" s="111" t="s">
        <v>187</v>
      </c>
      <c r="B2" s="101"/>
      <c r="C2" s="101"/>
      <c r="D2" s="101"/>
    </row>
    <row r="3" spans="1:9" ht="12.75">
      <c r="A3" s="44"/>
      <c r="B3" s="1"/>
      <c r="C3" s="2"/>
      <c r="D3" s="2"/>
      <c r="E3" s="3"/>
      <c r="F3" s="183" t="s">
        <v>162</v>
      </c>
      <c r="G3" s="183"/>
      <c r="H3" s="183"/>
      <c r="I3" s="183"/>
    </row>
    <row r="4" spans="1:9" ht="48.75">
      <c r="A4" s="39" t="s">
        <v>154</v>
      </c>
      <c r="B4" s="39" t="s">
        <v>63</v>
      </c>
      <c r="C4" s="81" t="s">
        <v>109</v>
      </c>
      <c r="D4" s="81" t="s">
        <v>110</v>
      </c>
      <c r="E4" s="82" t="s">
        <v>111</v>
      </c>
      <c r="F4" s="39" t="s">
        <v>152</v>
      </c>
      <c r="G4" s="75" t="s">
        <v>153</v>
      </c>
      <c r="H4" s="39" t="s">
        <v>39</v>
      </c>
      <c r="I4" s="39" t="s">
        <v>40</v>
      </c>
    </row>
    <row r="5" spans="1:6" ht="12.75">
      <c r="A5" s="1">
        <v>0</v>
      </c>
      <c r="B5" s="1">
        <v>0.7</v>
      </c>
      <c r="C5" s="2">
        <v>0</v>
      </c>
      <c r="D5" s="2">
        <v>1993.189</v>
      </c>
      <c r="E5" s="3">
        <v>32576</v>
      </c>
      <c r="F5" s="1"/>
    </row>
    <row r="6" spans="1:7" ht="12.75">
      <c r="A6" s="1">
        <v>-0.5</v>
      </c>
      <c r="B6" s="1">
        <v>0.4535573676110726</v>
      </c>
      <c r="C6" s="2">
        <v>1.4</v>
      </c>
      <c r="D6" s="2">
        <v>1994.589</v>
      </c>
      <c r="E6" s="3">
        <v>33087</v>
      </c>
      <c r="F6" s="1">
        <v>-0.4</v>
      </c>
      <c r="G6" s="1"/>
    </row>
    <row r="7" spans="1:7" ht="12.75">
      <c r="A7" s="1">
        <v>-3.6</v>
      </c>
      <c r="B7" s="1">
        <v>0.9071147352221453</v>
      </c>
      <c r="C7" s="2">
        <v>2.458</v>
      </c>
      <c r="D7" s="2">
        <v>1995.647</v>
      </c>
      <c r="E7" s="3">
        <v>33473</v>
      </c>
      <c r="F7" s="1">
        <v>-1.5</v>
      </c>
      <c r="G7" s="1"/>
    </row>
    <row r="8" spans="1:7" ht="12.75">
      <c r="A8" s="1">
        <v>4.2</v>
      </c>
      <c r="B8" s="1">
        <v>0.3779644730092272</v>
      </c>
      <c r="C8" s="2">
        <v>2.961</v>
      </c>
      <c r="D8" s="2">
        <v>1996.15</v>
      </c>
      <c r="E8" s="3">
        <v>33657</v>
      </c>
      <c r="F8" s="1">
        <v>1.4</v>
      </c>
      <c r="G8" s="1"/>
    </row>
    <row r="9" spans="1:7" ht="12.75">
      <c r="A9" s="1">
        <v>3.5</v>
      </c>
      <c r="B9" s="1">
        <v>0.41576092031014994</v>
      </c>
      <c r="C9" s="2">
        <v>3.021</v>
      </c>
      <c r="D9" s="2">
        <v>1996.21</v>
      </c>
      <c r="E9" s="3">
        <v>33679</v>
      </c>
      <c r="F9" s="1">
        <v>1.2</v>
      </c>
      <c r="G9" s="1"/>
    </row>
    <row r="10" spans="1:7" ht="12.75">
      <c r="A10" s="1">
        <v>4</v>
      </c>
      <c r="B10" s="1">
        <v>0.3779644730092272</v>
      </c>
      <c r="C10" s="2">
        <v>3.459</v>
      </c>
      <c r="D10" s="2">
        <v>1996.648</v>
      </c>
      <c r="E10" s="3">
        <v>33839</v>
      </c>
      <c r="F10" s="1">
        <v>1.2</v>
      </c>
      <c r="G10" s="1"/>
    </row>
    <row r="11" spans="1:7" ht="12.75">
      <c r="A11" s="1">
        <v>6.3</v>
      </c>
      <c r="B11" s="1">
        <v>0.2267786838055363</v>
      </c>
      <c r="C11" s="2">
        <v>4.455</v>
      </c>
      <c r="D11" s="2">
        <v>1997.644</v>
      </c>
      <c r="E11" s="3">
        <v>34203</v>
      </c>
      <c r="F11" s="1">
        <v>1.4</v>
      </c>
      <c r="G11" s="1"/>
    </row>
    <row r="12" spans="1:8" ht="12.75">
      <c r="A12" s="1">
        <v>12.3</v>
      </c>
      <c r="B12" s="1">
        <v>0.6047431568147635</v>
      </c>
      <c r="C12" s="2">
        <v>5.493</v>
      </c>
      <c r="D12" s="2">
        <v>1998.682</v>
      </c>
      <c r="E12" s="3">
        <v>34582</v>
      </c>
      <c r="F12" s="1">
        <v>2.2</v>
      </c>
      <c r="G12" s="1"/>
      <c r="H12" s="1">
        <f>(A12-$A$11)/(D12-$D$11)</f>
        <v>5.780346820809188</v>
      </c>
    </row>
    <row r="13" spans="1:8" ht="12.75">
      <c r="A13" s="1">
        <v>17.3</v>
      </c>
      <c r="B13" s="1">
        <v>0.3779644730092272</v>
      </c>
      <c r="C13" s="2">
        <v>6.51</v>
      </c>
      <c r="D13" s="2">
        <v>1999.699</v>
      </c>
      <c r="E13" s="3">
        <v>34953</v>
      </c>
      <c r="F13" s="1">
        <v>2.7</v>
      </c>
      <c r="G13" s="1"/>
      <c r="H13" s="1">
        <f aca="true" t="shared" si="0" ref="H13:H20">(A13-$A$11)/(D13-$D$11)</f>
        <v>5.352798053527815</v>
      </c>
    </row>
    <row r="14" spans="1:8" ht="12.75">
      <c r="A14" s="7">
        <v>22.7</v>
      </c>
      <c r="B14" s="7">
        <v>0.680336051416609</v>
      </c>
      <c r="C14" s="51">
        <v>7.674</v>
      </c>
      <c r="D14" s="51">
        <v>2000.863</v>
      </c>
      <c r="E14" s="72">
        <v>35379</v>
      </c>
      <c r="F14" s="7">
        <v>3</v>
      </c>
      <c r="G14" s="1"/>
      <c r="H14" s="1">
        <f t="shared" si="0"/>
        <v>5.094749922336049</v>
      </c>
    </row>
    <row r="15" spans="1:8" ht="12.75">
      <c r="A15" s="7">
        <f>A14+11.1</f>
        <v>33.8</v>
      </c>
      <c r="B15" s="7">
        <v>0.15118578920369088</v>
      </c>
      <c r="C15" s="51">
        <f aca="true" t="shared" si="1" ref="C15:C20">D15-$D$5</f>
        <v>8.634999999999991</v>
      </c>
      <c r="D15" s="51">
        <f aca="true" t="shared" si="2" ref="D15:D20">TRUNC(((E15-(365.25*TRUNC((E15/365.25),0)))/365.25),3)+TRUNC((E15/365.25+1904),0)+0.001</f>
        <v>2001.824</v>
      </c>
      <c r="E15" s="64">
        <v>35730</v>
      </c>
      <c r="F15" s="7">
        <f aca="true" t="shared" si="3" ref="F15:F20">A15/C15</f>
        <v>3.9143022582513067</v>
      </c>
      <c r="G15" s="1"/>
      <c r="H15" s="1">
        <f t="shared" si="0"/>
        <v>6.578947368420952</v>
      </c>
    </row>
    <row r="16" spans="1:8" ht="12.75">
      <c r="A16" s="7">
        <f>A15+5.1</f>
        <v>38.9</v>
      </c>
      <c r="B16" s="7">
        <v>0.2</v>
      </c>
      <c r="C16" s="51">
        <f t="shared" si="1"/>
        <v>9.669999999999845</v>
      </c>
      <c r="D16" s="51">
        <f t="shared" si="2"/>
        <v>2002.859</v>
      </c>
      <c r="E16" s="83">
        <v>36108</v>
      </c>
      <c r="F16" s="7">
        <f t="shared" si="3"/>
        <v>4.0227507755946865</v>
      </c>
      <c r="H16" s="1">
        <f t="shared" si="0"/>
        <v>6.2511984659636655</v>
      </c>
    </row>
    <row r="17" spans="1:8" ht="12.75">
      <c r="A17" s="7">
        <f>A16+7.7</f>
        <v>46.6</v>
      </c>
      <c r="B17" s="7">
        <v>0.6</v>
      </c>
      <c r="C17" s="51">
        <f t="shared" si="1"/>
        <v>10.627999999999929</v>
      </c>
      <c r="D17" s="51">
        <f t="shared" si="2"/>
        <v>2003.817</v>
      </c>
      <c r="E17" s="85">
        <v>36458</v>
      </c>
      <c r="F17" s="7">
        <f t="shared" si="3"/>
        <v>4.384644335717003</v>
      </c>
      <c r="H17" s="1">
        <f t="shared" si="0"/>
        <v>6.528430260813217</v>
      </c>
    </row>
    <row r="18" spans="1:8" ht="12.75">
      <c r="A18" s="7">
        <f>A17+1.5</f>
        <v>48.1</v>
      </c>
      <c r="B18" s="7">
        <v>0.1</v>
      </c>
      <c r="C18" s="51">
        <f t="shared" si="1"/>
        <v>11.625</v>
      </c>
      <c r="D18" s="51">
        <f t="shared" si="2"/>
        <v>2004.814</v>
      </c>
      <c r="E18" s="67">
        <v>36822</v>
      </c>
      <c r="F18" s="7">
        <f t="shared" si="3"/>
        <v>4.137634408602151</v>
      </c>
      <c r="H18" s="1">
        <f t="shared" si="0"/>
        <v>5.8298465829846</v>
      </c>
    </row>
    <row r="19" spans="1:8" ht="12.75">
      <c r="A19" s="7">
        <f>A18+4.1</f>
        <v>52.2</v>
      </c>
      <c r="B19" s="7">
        <v>0.6</v>
      </c>
      <c r="C19" s="51">
        <f t="shared" si="1"/>
        <v>12.59699999999998</v>
      </c>
      <c r="D19" s="51">
        <f t="shared" si="2"/>
        <v>2005.786</v>
      </c>
      <c r="E19" s="86">
        <v>37177</v>
      </c>
      <c r="F19" s="7">
        <f t="shared" si="3"/>
        <v>4.143843772326751</v>
      </c>
      <c r="H19" s="1">
        <f t="shared" si="0"/>
        <v>5.637435519528336</v>
      </c>
    </row>
    <row r="20" spans="1:9" ht="12.75">
      <c r="A20" s="7">
        <f>A19+4.9</f>
        <v>57.1</v>
      </c>
      <c r="B20" s="7">
        <v>0.4</v>
      </c>
      <c r="C20" s="51">
        <f t="shared" si="1"/>
        <v>13.652999999999793</v>
      </c>
      <c r="D20" s="51">
        <f t="shared" si="2"/>
        <v>2006.8419999999999</v>
      </c>
      <c r="E20" s="67">
        <v>37563</v>
      </c>
      <c r="F20" s="7">
        <f t="shared" si="3"/>
        <v>4.1822310114993675</v>
      </c>
      <c r="G20" s="10" t="s">
        <v>38</v>
      </c>
      <c r="H20" s="1">
        <f t="shared" si="0"/>
        <v>5.522939769515193</v>
      </c>
      <c r="I20" s="10" t="s">
        <v>41</v>
      </c>
    </row>
    <row r="21" spans="1:6" ht="12.75">
      <c r="A21" s="7"/>
      <c r="B21" s="7"/>
      <c r="C21" s="51"/>
      <c r="D21" s="51"/>
      <c r="E21" s="72"/>
      <c r="F21" s="7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</sheetData>
  <mergeCells count="2">
    <mergeCell ref="F3:I3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1" sqref="A1"/>
    </sheetView>
  </sheetViews>
  <sheetFormatPr defaultColWidth="11.00390625" defaultRowHeight="12"/>
  <cols>
    <col min="1" max="1" width="10.875" style="1" customWidth="1"/>
    <col min="2" max="2" width="11.50390625" style="1" bestFit="1" customWidth="1"/>
    <col min="3" max="3" width="11.00390625" style="2" bestFit="1" customWidth="1"/>
    <col min="4" max="4" width="10.875" style="2" customWidth="1"/>
    <col min="5" max="5" width="10.875" style="3" customWidth="1"/>
    <col min="6" max="6" width="10.875" style="1" customWidth="1"/>
    <col min="7" max="16384" width="10.875" style="10" customWidth="1"/>
  </cols>
  <sheetData>
    <row r="1" ht="16.5" customHeight="1">
      <c r="A1" s="101" t="s">
        <v>85</v>
      </c>
    </row>
    <row r="2" ht="12.75">
      <c r="A2" s="101" t="s">
        <v>159</v>
      </c>
    </row>
    <row r="3" spans="1:7" ht="12.75" customHeight="1" thickBot="1">
      <c r="A3" s="44"/>
      <c r="F3" s="178" t="s">
        <v>162</v>
      </c>
      <c r="G3" s="178"/>
    </row>
    <row r="4" spans="1:7" ht="28.5" customHeight="1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161</v>
      </c>
      <c r="G4" s="75" t="s">
        <v>163</v>
      </c>
    </row>
    <row r="5" spans="1:5" ht="12.75">
      <c r="A5" s="1">
        <v>0</v>
      </c>
      <c r="B5" s="1">
        <v>0</v>
      </c>
      <c r="C5" s="2">
        <v>0</v>
      </c>
      <c r="D5" s="2">
        <v>1989.748</v>
      </c>
      <c r="E5" s="72">
        <v>31319</v>
      </c>
    </row>
    <row r="6" spans="1:6" ht="12.75">
      <c r="A6" s="1">
        <v>14.3</v>
      </c>
      <c r="B6" s="1">
        <v>0.8</v>
      </c>
      <c r="C6" s="2">
        <v>2.867</v>
      </c>
      <c r="D6" s="2">
        <v>1992.615</v>
      </c>
      <c r="E6" s="72">
        <v>32366</v>
      </c>
      <c r="F6" s="1">
        <v>5</v>
      </c>
    </row>
    <row r="7" spans="1:6" ht="12.75">
      <c r="A7" s="1">
        <v>26.9</v>
      </c>
      <c r="B7" s="1">
        <v>0.9</v>
      </c>
      <c r="C7" s="2">
        <v>4.83</v>
      </c>
      <c r="D7" s="2">
        <v>1994.578</v>
      </c>
      <c r="E7" s="72">
        <v>33083</v>
      </c>
      <c r="F7" s="1">
        <v>5.6</v>
      </c>
    </row>
    <row r="8" spans="1:6" ht="12.75">
      <c r="A8" s="1">
        <v>31.1</v>
      </c>
      <c r="B8" s="1">
        <v>1.5</v>
      </c>
      <c r="C8" s="2">
        <v>5.885</v>
      </c>
      <c r="D8" s="2">
        <v>1995.633</v>
      </c>
      <c r="E8" s="72">
        <v>33468</v>
      </c>
      <c r="F8" s="1">
        <v>5.3</v>
      </c>
    </row>
    <row r="9" spans="1:6" ht="12.75">
      <c r="A9" s="1">
        <v>34.1</v>
      </c>
      <c r="B9" s="1">
        <v>0.6</v>
      </c>
      <c r="C9" s="2">
        <v>6.88</v>
      </c>
      <c r="D9" s="2">
        <v>1996.628</v>
      </c>
      <c r="E9" s="72">
        <v>33832</v>
      </c>
      <c r="F9" s="1">
        <v>5</v>
      </c>
    </row>
    <row r="10" spans="1:6" ht="12.75">
      <c r="A10" s="1">
        <v>40.7</v>
      </c>
      <c r="B10" s="1">
        <v>0.8</v>
      </c>
      <c r="C10" s="2">
        <v>7.877</v>
      </c>
      <c r="D10" s="2">
        <v>1997.625</v>
      </c>
      <c r="E10" s="72">
        <v>34196</v>
      </c>
      <c r="F10" s="1">
        <v>5.2</v>
      </c>
    </row>
    <row r="11" spans="1:6" ht="12.75">
      <c r="A11" s="1">
        <v>42.6</v>
      </c>
      <c r="B11" s="1">
        <v>1.2</v>
      </c>
      <c r="C11" s="2">
        <v>8.912</v>
      </c>
      <c r="D11" s="2">
        <v>1998.66</v>
      </c>
      <c r="E11" s="72">
        <v>34574</v>
      </c>
      <c r="F11" s="1">
        <v>4.8</v>
      </c>
    </row>
    <row r="12" spans="1:10" ht="12.75">
      <c r="A12" s="1">
        <v>50.3</v>
      </c>
      <c r="B12" s="1">
        <v>0.6</v>
      </c>
      <c r="C12" s="2">
        <v>9.929</v>
      </c>
      <c r="D12" s="2">
        <v>1999.677</v>
      </c>
      <c r="E12" s="72">
        <v>34945</v>
      </c>
      <c r="F12" s="1">
        <v>5.1</v>
      </c>
      <c r="I12"/>
      <c r="J12"/>
    </row>
    <row r="13" spans="1:15" ht="12.75">
      <c r="A13" s="1">
        <v>57.4</v>
      </c>
      <c r="B13" s="1">
        <v>1</v>
      </c>
      <c r="C13" s="2">
        <v>11.118</v>
      </c>
      <c r="D13" s="2">
        <v>2000.866</v>
      </c>
      <c r="E13" s="72">
        <v>35380</v>
      </c>
      <c r="F13" s="1">
        <v>5.2</v>
      </c>
      <c r="I13"/>
      <c r="J13"/>
      <c r="K13"/>
      <c r="L13"/>
      <c r="M13"/>
      <c r="N13"/>
      <c r="O13"/>
    </row>
    <row r="14" spans="1:15" ht="12.75">
      <c r="A14" s="1">
        <v>62.1</v>
      </c>
      <c r="B14" s="1">
        <v>0.6</v>
      </c>
      <c r="C14" s="2">
        <f>D14-D5</f>
        <v>12.055000000000064</v>
      </c>
      <c r="D14" s="2">
        <v>2001.803</v>
      </c>
      <c r="E14" s="72">
        <v>35722</v>
      </c>
      <c r="F14" s="1">
        <f aca="true" t="shared" si="0" ref="F14:F19">A14/C14</f>
        <v>5.151389464952275</v>
      </c>
      <c r="I14"/>
      <c r="J14"/>
      <c r="K14"/>
      <c r="L14"/>
      <c r="M14"/>
      <c r="N14"/>
      <c r="O14"/>
    </row>
    <row r="15" spans="1:15" ht="12.75">
      <c r="A15" s="1">
        <f>A14+4.9</f>
        <v>67</v>
      </c>
      <c r="B15" s="1">
        <v>0.6</v>
      </c>
      <c r="C15" s="2">
        <f>D15-$D$5</f>
        <v>13.088999999999942</v>
      </c>
      <c r="D15" s="2">
        <f>TRUNC(((E15-(365.25*TRUNC((E15/365.25),0)))/365.25),3)+TRUNC((E15/365.25+1904),0)+0.001</f>
        <v>2002.837</v>
      </c>
      <c r="E15" s="64">
        <v>36100</v>
      </c>
      <c r="F15" s="1">
        <f t="shared" si="0"/>
        <v>5.118802047520842</v>
      </c>
      <c r="I15"/>
      <c r="J15"/>
      <c r="K15"/>
      <c r="L15"/>
      <c r="M15"/>
      <c r="N15"/>
      <c r="O15"/>
    </row>
    <row r="16" spans="1:15" ht="12.75">
      <c r="A16" s="1">
        <f>A15+2.8</f>
        <v>69.8</v>
      </c>
      <c r="B16" s="1">
        <v>1.4</v>
      </c>
      <c r="C16" s="2">
        <f>D16-$D$5</f>
        <v>14.06399999999985</v>
      </c>
      <c r="D16" s="2">
        <f>TRUNC(((E16-(365.25*TRUNC((E16/365.25),0)))/365.25),3)+TRUNC((E16/365.25+1904),0)+0.001</f>
        <v>2003.812</v>
      </c>
      <c r="E16" s="66">
        <v>36456</v>
      </c>
      <c r="F16" s="1">
        <f t="shared" si="0"/>
        <v>4.963026166097891</v>
      </c>
      <c r="I16"/>
      <c r="J16"/>
      <c r="K16"/>
      <c r="L16"/>
      <c r="M16"/>
      <c r="N16"/>
      <c r="O16"/>
    </row>
    <row r="17" spans="1:15" ht="12.75">
      <c r="A17" s="1">
        <f>A16+4.9</f>
        <v>74.7</v>
      </c>
      <c r="B17" s="1">
        <v>0.5</v>
      </c>
      <c r="C17" s="2">
        <f>D17-$D$5</f>
        <v>15.045999999999822</v>
      </c>
      <c r="D17" s="2">
        <f>TRUNC(((E17-(365.25*TRUNC((E17/365.25),0)))/365.25),3)+TRUNC((E17/365.25+1904),0)+0.001</f>
        <v>2004.7939999999999</v>
      </c>
      <c r="E17" s="67">
        <v>36815</v>
      </c>
      <c r="F17" s="1">
        <f t="shared" si="0"/>
        <v>4.964774690947819</v>
      </c>
      <c r="I17"/>
      <c r="J17"/>
      <c r="K17"/>
      <c r="L17"/>
      <c r="M17"/>
      <c r="N17"/>
      <c r="O17"/>
    </row>
    <row r="18" spans="1:15" ht="12.75">
      <c r="A18" s="1">
        <f>A17+9.3</f>
        <v>84</v>
      </c>
      <c r="B18" s="1">
        <v>0.5</v>
      </c>
      <c r="C18" s="2">
        <f>D18-$D$5</f>
        <v>16.039999999999964</v>
      </c>
      <c r="D18" s="2">
        <f>TRUNC(((E18-(365.25*TRUNC((E18/365.25),0)))/365.25),3)+TRUNC((E18/365.25+1904),0)+0.001</f>
        <v>2005.788</v>
      </c>
      <c r="E18" s="67">
        <v>37178</v>
      </c>
      <c r="F18" s="1">
        <f t="shared" si="0"/>
        <v>5.2369077306733285</v>
      </c>
      <c r="I18"/>
      <c r="J18"/>
      <c r="K18"/>
      <c r="L18"/>
      <c r="M18"/>
      <c r="N18"/>
      <c r="O18"/>
    </row>
    <row r="19" spans="1:17" ht="12.75">
      <c r="A19" s="1">
        <f>A18+7.6</f>
        <v>91.6</v>
      </c>
      <c r="B19" s="1">
        <v>0.6</v>
      </c>
      <c r="C19" s="2">
        <f>D19-$D$5</f>
        <v>17.05899999999997</v>
      </c>
      <c r="D19" s="2">
        <f>TRUNC(((E19-(365.25*TRUNC((E19/365.25),0)))/365.25),3)+TRUNC((E19/365.25+1904),0)+0.001</f>
        <v>2006.807</v>
      </c>
      <c r="E19" s="67">
        <v>37550</v>
      </c>
      <c r="F19" s="1">
        <f t="shared" si="0"/>
        <v>5.369599624831476</v>
      </c>
      <c r="G19" s="10" t="s">
        <v>140</v>
      </c>
      <c r="I19"/>
      <c r="J19"/>
      <c r="K19"/>
      <c r="L19"/>
      <c r="M19"/>
      <c r="N19"/>
      <c r="O19"/>
      <c r="P19"/>
      <c r="Q19"/>
    </row>
    <row r="20" spans="9:17" ht="12.75">
      <c r="I20"/>
      <c r="J20"/>
      <c r="K20"/>
      <c r="L20"/>
      <c r="M20"/>
      <c r="N20"/>
      <c r="O20"/>
      <c r="P20"/>
      <c r="Q20"/>
    </row>
    <row r="21" spans="5:17" ht="12.75"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0" ht="12.75">
      <c r="A22" s="10"/>
      <c r="B22"/>
      <c r="C22"/>
      <c r="D22"/>
      <c r="E22"/>
      <c r="F22"/>
      <c r="G22"/>
      <c r="H22"/>
      <c r="I22"/>
      <c r="J22"/>
    </row>
    <row r="23" spans="1:10" ht="12.75">
      <c r="A23" s="10"/>
      <c r="B23"/>
      <c r="C23"/>
      <c r="D23"/>
      <c r="E23"/>
      <c r="F23"/>
      <c r="G23"/>
      <c r="H23"/>
      <c r="I23"/>
      <c r="J23"/>
    </row>
    <row r="24" spans="1:10" ht="12.75">
      <c r="A24" s="10"/>
      <c r="B24"/>
      <c r="C24"/>
      <c r="D24"/>
      <c r="E24"/>
      <c r="F24"/>
      <c r="G24"/>
      <c r="H24"/>
      <c r="I24"/>
      <c r="J24"/>
    </row>
    <row r="25" spans="1:10" ht="12.75">
      <c r="A25" s="10"/>
      <c r="E25"/>
      <c r="F25"/>
      <c r="G25"/>
      <c r="H25"/>
      <c r="I25"/>
      <c r="J25"/>
    </row>
    <row r="26" spans="1:10" ht="12.75">
      <c r="A26" s="10"/>
      <c r="E26"/>
      <c r="F26"/>
      <c r="G26"/>
      <c r="H26"/>
      <c r="I26"/>
      <c r="J26"/>
    </row>
    <row r="27" spans="1:10" ht="12.75">
      <c r="A27" s="10"/>
      <c r="E27"/>
      <c r="F27"/>
      <c r="G27"/>
      <c r="H27"/>
      <c r="I27"/>
      <c r="J27"/>
    </row>
    <row r="28" spans="1:10" ht="12.75">
      <c r="A28" s="10"/>
      <c r="E28"/>
      <c r="F28"/>
      <c r="G28"/>
      <c r="H28"/>
      <c r="I28"/>
      <c r="J28"/>
    </row>
    <row r="29" spans="1:10" ht="12.75">
      <c r="A29" s="10"/>
      <c r="B29" s="11"/>
      <c r="C29" s="11"/>
      <c r="D29" s="11"/>
      <c r="E29"/>
      <c r="F29"/>
      <c r="G29"/>
      <c r="H29"/>
      <c r="I29"/>
      <c r="J29"/>
    </row>
    <row r="30" spans="1:10" ht="12.75">
      <c r="A30"/>
      <c r="B30" s="11"/>
      <c r="C30" s="11"/>
      <c r="D30" s="11"/>
      <c r="E30"/>
      <c r="F30"/>
      <c r="G30"/>
      <c r="H30"/>
      <c r="I30"/>
      <c r="J30"/>
    </row>
    <row r="31" spans="1:10" ht="12.75">
      <c r="A31"/>
      <c r="B31" s="11"/>
      <c r="C31" s="11"/>
      <c r="D31" s="11"/>
      <c r="E31"/>
      <c r="F31"/>
      <c r="G31"/>
      <c r="H31"/>
      <c r="I31"/>
      <c r="J31"/>
    </row>
    <row r="32" spans="1:10" ht="12.75">
      <c r="A32"/>
      <c r="B32" s="11"/>
      <c r="C32" s="11"/>
      <c r="D32" s="11"/>
      <c r="E32"/>
      <c r="F32"/>
      <c r="G32"/>
      <c r="H32"/>
      <c r="I32"/>
      <c r="J32"/>
    </row>
    <row r="33" spans="1:10" ht="12.75">
      <c r="A33"/>
      <c r="B33" s="11"/>
      <c r="C33" s="11"/>
      <c r="D33" s="11"/>
      <c r="E33"/>
      <c r="F33"/>
      <c r="G33"/>
      <c r="H33"/>
      <c r="I33"/>
      <c r="J33"/>
    </row>
    <row r="34" spans="1:10" ht="12.75">
      <c r="A34"/>
      <c r="E34"/>
      <c r="F34"/>
      <c r="G34"/>
      <c r="H34"/>
      <c r="I34"/>
      <c r="J34"/>
    </row>
    <row r="35" spans="1:10" ht="12.75">
      <c r="A35"/>
      <c r="E35"/>
      <c r="F35"/>
      <c r="G35"/>
      <c r="H35"/>
      <c r="I35"/>
      <c r="J35"/>
    </row>
    <row r="36" spans="1:10" ht="12.75">
      <c r="A36"/>
      <c r="E36"/>
      <c r="F36"/>
      <c r="G36"/>
      <c r="H36"/>
      <c r="I36"/>
      <c r="J36"/>
    </row>
    <row r="37" spans="1:10" ht="12.75">
      <c r="A37"/>
      <c r="E37"/>
      <c r="F37"/>
      <c r="G37"/>
      <c r="H37"/>
      <c r="I37"/>
      <c r="J37"/>
    </row>
    <row r="38" spans="1:10" ht="12.75">
      <c r="A38"/>
      <c r="E38"/>
      <c r="F38"/>
      <c r="G38"/>
      <c r="H38"/>
      <c r="I38"/>
      <c r="J38"/>
    </row>
    <row r="39" spans="1:10" s="11" customFormat="1" ht="12.75">
      <c r="A39" s="37"/>
      <c r="B39" s="1"/>
      <c r="C39" s="2"/>
      <c r="D39" s="2"/>
      <c r="E39"/>
      <c r="F39"/>
      <c r="G39"/>
      <c r="H39"/>
      <c r="I39"/>
      <c r="J39"/>
    </row>
    <row r="40" spans="1:10" s="11" customFormat="1" ht="12.75">
      <c r="A40" s="37"/>
      <c r="B40" s="1"/>
      <c r="C40" s="2"/>
      <c r="D40"/>
      <c r="E40"/>
      <c r="F40"/>
      <c r="G40"/>
      <c r="H40"/>
      <c r="I40" s="10"/>
      <c r="J40" s="10"/>
    </row>
    <row r="41" spans="1:10" s="11" customFormat="1" ht="12.75">
      <c r="A41" s="37"/>
      <c r="G41"/>
      <c r="H41"/>
      <c r="I41" s="10"/>
      <c r="J41" s="10"/>
    </row>
    <row r="42" spans="1:10" s="11" customFormat="1" ht="12.75">
      <c r="A42" s="37"/>
      <c r="G42" s="10"/>
      <c r="H42" s="10"/>
      <c r="I42" s="10"/>
      <c r="J42" s="10"/>
    </row>
    <row r="43" spans="1:10" s="11" customFormat="1" ht="12.75">
      <c r="A43" s="37"/>
      <c r="G43" s="10"/>
      <c r="H43" s="10"/>
      <c r="I43" s="10"/>
      <c r="J43" s="10"/>
    </row>
    <row r="44" ht="12.75">
      <c r="A44"/>
    </row>
    <row r="45" ht="12.75">
      <c r="A45" s="10"/>
    </row>
    <row r="46" ht="12.75">
      <c r="A46" s="10"/>
    </row>
    <row r="47" ht="12.75">
      <c r="A47" s="10"/>
    </row>
    <row r="48" spans="1:7" ht="12.75">
      <c r="A48" s="169"/>
      <c r="B48" s="170"/>
      <c r="C48" s="171"/>
      <c r="D48" s="171"/>
      <c r="E48" s="172"/>
      <c r="F48" s="170"/>
      <c r="G48" s="169"/>
    </row>
    <row r="49" spans="1:7" ht="12.75">
      <c r="A49" s="169"/>
      <c r="B49" s="170"/>
      <c r="C49" s="171"/>
      <c r="D49" s="171"/>
      <c r="E49" s="172"/>
      <c r="F49" s="170"/>
      <c r="G49" s="169"/>
    </row>
    <row r="50" spans="1:7" ht="12.75">
      <c r="A50" s="169"/>
      <c r="B50" s="170"/>
      <c r="C50" s="171"/>
      <c r="D50" s="171"/>
      <c r="E50" s="172"/>
      <c r="F50" s="170"/>
      <c r="G50" s="169"/>
    </row>
    <row r="51" spans="1:7" ht="12.75">
      <c r="A51" s="74"/>
      <c r="B51" s="74"/>
      <c r="C51" s="74"/>
      <c r="D51" s="74"/>
      <c r="E51" s="74"/>
      <c r="F51" s="74"/>
      <c r="G51" s="169"/>
    </row>
    <row r="52" spans="1:7" ht="12.75">
      <c r="A52" s="69"/>
      <c r="B52" s="87"/>
      <c r="C52" s="87"/>
      <c r="D52" s="69"/>
      <c r="E52" s="69"/>
      <c r="F52" s="69"/>
      <c r="G52" s="169"/>
    </row>
    <row r="53" spans="1:7" ht="12.75">
      <c r="A53" s="69"/>
      <c r="B53" s="173"/>
      <c r="C53" s="173"/>
      <c r="D53" s="69"/>
      <c r="E53" s="69"/>
      <c r="F53" s="69"/>
      <c r="G53" s="169"/>
    </row>
    <row r="54" spans="1:7" ht="12.75">
      <c r="A54" s="174"/>
      <c r="B54" s="174"/>
      <c r="C54" s="174"/>
      <c r="D54" s="69"/>
      <c r="E54" s="69"/>
      <c r="F54" s="69"/>
      <c r="G54" s="169"/>
    </row>
    <row r="55" spans="1:7" ht="12.75">
      <c r="A55" s="174"/>
      <c r="B55" s="174"/>
      <c r="C55" s="169"/>
      <c r="D55" s="69"/>
      <c r="E55" s="69"/>
      <c r="F55" s="69"/>
      <c r="G55" s="169"/>
    </row>
    <row r="56" spans="1:7" ht="12.75">
      <c r="A56" s="174"/>
      <c r="B56" s="174"/>
      <c r="C56" s="169"/>
      <c r="D56" s="69"/>
      <c r="E56" s="69"/>
      <c r="F56" s="69"/>
      <c r="G56" s="169"/>
    </row>
    <row r="57" spans="1:9" ht="12.75">
      <c r="A57" s="174"/>
      <c r="B57" s="169"/>
      <c r="C57" s="169"/>
      <c r="D57" s="69"/>
      <c r="E57" s="69"/>
      <c r="F57" s="69"/>
      <c r="G57" s="169"/>
      <c r="I57"/>
    </row>
    <row r="58" spans="1:9" ht="12.75">
      <c r="A58" s="174"/>
      <c r="B58" s="169"/>
      <c r="C58" s="169"/>
      <c r="D58" s="69"/>
      <c r="E58" s="69"/>
      <c r="F58" s="69"/>
      <c r="G58" s="169"/>
      <c r="I58"/>
    </row>
    <row r="59" spans="1:9" ht="12.75">
      <c r="A59" s="174"/>
      <c r="B59" s="169"/>
      <c r="C59" s="169"/>
      <c r="D59" s="69"/>
      <c r="E59" s="69"/>
      <c r="F59" s="69"/>
      <c r="G59" s="169"/>
      <c r="H59" s="2"/>
      <c r="I59"/>
    </row>
    <row r="60" spans="1:9" ht="12.75">
      <c r="A60" s="174"/>
      <c r="B60" s="169"/>
      <c r="C60" s="169"/>
      <c r="D60" s="69"/>
      <c r="E60" s="69"/>
      <c r="F60" s="69"/>
      <c r="G60" s="169"/>
      <c r="H60" s="2"/>
      <c r="I60"/>
    </row>
    <row r="61" spans="1:8" ht="12.75">
      <c r="A61" s="174"/>
      <c r="B61" s="169"/>
      <c r="C61" s="169"/>
      <c r="D61" s="69"/>
      <c r="E61" s="69"/>
      <c r="F61" s="69"/>
      <c r="G61" s="174"/>
      <c r="H61"/>
    </row>
    <row r="62" spans="1:8" ht="12.75">
      <c r="A62" s="174"/>
      <c r="B62" s="169"/>
      <c r="C62" s="169"/>
      <c r="D62" s="69"/>
      <c r="E62" s="69"/>
      <c r="F62" s="69"/>
      <c r="G62" s="174"/>
      <c r="H62"/>
    </row>
    <row r="63" spans="1:7" ht="12.75">
      <c r="A63" s="174"/>
      <c r="B63" s="169"/>
      <c r="C63" s="169"/>
      <c r="D63" s="69"/>
      <c r="E63" s="69"/>
      <c r="F63" s="69"/>
      <c r="G63" s="169"/>
    </row>
    <row r="64" spans="1:7" ht="12.75">
      <c r="A64" s="174"/>
      <c r="B64" s="169"/>
      <c r="C64" s="169"/>
      <c r="D64" s="69"/>
      <c r="E64" s="69"/>
      <c r="F64" s="69"/>
      <c r="G64" s="169"/>
    </row>
    <row r="65" spans="1:7" ht="12.75">
      <c r="A65" s="174"/>
      <c r="B65" s="169"/>
      <c r="C65" s="169"/>
      <c r="D65" s="69"/>
      <c r="E65" s="69"/>
      <c r="F65" s="69"/>
      <c r="G65" s="169"/>
    </row>
    <row r="66" spans="1:7" ht="12.75">
      <c r="A66" s="174"/>
      <c r="B66" s="174"/>
      <c r="C66" s="169"/>
      <c r="D66" s="69"/>
      <c r="E66" s="69"/>
      <c r="F66" s="69"/>
      <c r="G66" s="169"/>
    </row>
    <row r="67" spans="1:7" ht="12.75">
      <c r="A67" s="171"/>
      <c r="B67" s="170"/>
      <c r="C67" s="171"/>
      <c r="D67" s="171"/>
      <c r="E67" s="172"/>
      <c r="F67" s="170"/>
      <c r="G67" s="169"/>
    </row>
    <row r="68" spans="1:7" ht="12.75">
      <c r="A68" s="171"/>
      <c r="B68" s="170"/>
      <c r="C68" s="171"/>
      <c r="D68" s="171"/>
      <c r="E68" s="172"/>
      <c r="F68" s="170"/>
      <c r="G68" s="169"/>
    </row>
    <row r="69" spans="1:7" ht="12.75">
      <c r="A69" s="170"/>
      <c r="B69" s="170"/>
      <c r="C69" s="171"/>
      <c r="D69" s="171"/>
      <c r="E69" s="172"/>
      <c r="F69" s="170"/>
      <c r="G69" s="169"/>
    </row>
    <row r="70" spans="1:7" ht="12.75">
      <c r="A70" s="170"/>
      <c r="B70" s="170"/>
      <c r="C70" s="171"/>
      <c r="D70" s="171"/>
      <c r="E70" s="172"/>
      <c r="F70" s="170"/>
      <c r="G70" s="169"/>
    </row>
    <row r="71" spans="1:7" ht="12.75">
      <c r="A71" s="170"/>
      <c r="B71" s="170"/>
      <c r="C71" s="171"/>
      <c r="D71" s="171"/>
      <c r="E71" s="172"/>
      <c r="F71" s="170"/>
      <c r="G71" s="169"/>
    </row>
    <row r="72" spans="1:7" ht="12.75">
      <c r="A72" s="170"/>
      <c r="B72" s="170"/>
      <c r="C72" s="171"/>
      <c r="D72" s="171"/>
      <c r="E72" s="172"/>
      <c r="F72" s="170"/>
      <c r="G72" s="169"/>
    </row>
  </sheetData>
  <mergeCells count="1"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11.00390625" defaultRowHeight="12"/>
  <sheetData>
    <row r="1" spans="1:7" ht="12.75">
      <c r="A1" s="101" t="s">
        <v>85</v>
      </c>
      <c r="B1" s="1"/>
      <c r="C1" s="2"/>
      <c r="D1" s="2"/>
      <c r="E1" s="3"/>
      <c r="F1" s="1"/>
      <c r="G1" s="10"/>
    </row>
    <row r="2" spans="1:7" ht="12.75">
      <c r="A2" s="101" t="s">
        <v>57</v>
      </c>
      <c r="B2" s="1"/>
      <c r="C2" s="2"/>
      <c r="D2" s="2"/>
      <c r="E2" s="3"/>
      <c r="F2" s="1"/>
      <c r="G2" s="10"/>
    </row>
    <row r="3" spans="1:7" ht="13.5" thickBot="1">
      <c r="A3" s="44"/>
      <c r="B3" s="1"/>
      <c r="C3" s="2"/>
      <c r="D3" s="2"/>
      <c r="E3" s="3"/>
      <c r="F3" s="178" t="s">
        <v>162</v>
      </c>
      <c r="G3" s="178"/>
    </row>
    <row r="4" spans="1:7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161</v>
      </c>
      <c r="G4" s="75" t="s">
        <v>163</v>
      </c>
    </row>
    <row r="5" spans="1:9" ht="13.5">
      <c r="A5" s="125">
        <v>0</v>
      </c>
      <c r="B5" s="1">
        <v>0.3401680257083045</v>
      </c>
      <c r="C5" s="2">
        <f>D5-$D$5</f>
        <v>0</v>
      </c>
      <c r="D5" s="2">
        <f aca="true" t="shared" si="0" ref="D5:D12">TRUNC(((E5-(365.25*TRUNC((E5/365.25),0)))/365.25),3)+TRUNC((E5/365.25+1904),0)+0.001</f>
        <v>1997.624</v>
      </c>
      <c r="E5" s="123">
        <v>34196</v>
      </c>
      <c r="F5" s="1"/>
      <c r="H5" s="124"/>
      <c r="I5" s="1"/>
    </row>
    <row r="6" spans="1:9" ht="13.5">
      <c r="A6" s="125">
        <v>2.3</v>
      </c>
      <c r="B6" s="1">
        <v>0.3779644730092272</v>
      </c>
      <c r="C6" s="2">
        <f aca="true" t="shared" si="1" ref="C6:C12">D6-$D$5</f>
        <v>1.0349999999998545</v>
      </c>
      <c r="D6" s="2">
        <f t="shared" si="0"/>
        <v>1998.6589999999999</v>
      </c>
      <c r="E6" s="123">
        <v>34574</v>
      </c>
      <c r="F6" s="1">
        <f aca="true" t="shared" si="2" ref="F6:F12">A6/C6</f>
        <v>2.2222222222225345</v>
      </c>
      <c r="H6" s="124"/>
      <c r="I6" s="1"/>
    </row>
    <row r="7" spans="1:9" ht="13.5">
      <c r="A7" s="125">
        <v>4.9</v>
      </c>
      <c r="B7" s="1">
        <v>0.3779644730092272</v>
      </c>
      <c r="C7" s="2">
        <f t="shared" si="1"/>
        <v>2.050999999999931</v>
      </c>
      <c r="D7" s="2">
        <f t="shared" si="0"/>
        <v>1999.675</v>
      </c>
      <c r="E7" s="123">
        <v>34945</v>
      </c>
      <c r="F7" s="1">
        <f t="shared" si="2"/>
        <v>2.389078498293596</v>
      </c>
      <c r="H7" s="124"/>
      <c r="I7" s="1"/>
    </row>
    <row r="8" spans="1:9" ht="13.5">
      <c r="A8" s="1">
        <v>9</v>
      </c>
      <c r="B8" s="1">
        <v>1.1</v>
      </c>
      <c r="C8" s="2">
        <f t="shared" si="1"/>
        <v>3.241999999999962</v>
      </c>
      <c r="D8" s="2">
        <f t="shared" si="0"/>
        <v>2000.866</v>
      </c>
      <c r="E8" s="64">
        <v>35380</v>
      </c>
      <c r="F8" s="1">
        <f t="shared" si="2"/>
        <v>2.7760641579272383</v>
      </c>
      <c r="H8" s="124"/>
      <c r="I8" s="1"/>
    </row>
    <row r="9" spans="1:9" ht="13.5">
      <c r="A9" s="1">
        <v>10.7</v>
      </c>
      <c r="B9" s="1">
        <v>0.7</v>
      </c>
      <c r="C9" s="2">
        <f t="shared" si="1"/>
        <v>4.177999999999884</v>
      </c>
      <c r="D9" s="2">
        <f t="shared" si="0"/>
        <v>2001.802</v>
      </c>
      <c r="E9" s="64">
        <v>35722</v>
      </c>
      <c r="F9" s="1">
        <f t="shared" si="2"/>
        <v>2.5610339875539245</v>
      </c>
      <c r="H9" s="124"/>
      <c r="I9" s="1"/>
    </row>
    <row r="10" spans="1:9" ht="13.5">
      <c r="A10" s="1">
        <v>15.3</v>
      </c>
      <c r="B10" s="1">
        <v>0.6</v>
      </c>
      <c r="C10" s="2">
        <f t="shared" si="1"/>
        <v>5.212999999999965</v>
      </c>
      <c r="D10" s="2">
        <f t="shared" si="0"/>
        <v>2002.837</v>
      </c>
      <c r="E10" s="64">
        <v>36100</v>
      </c>
      <c r="F10" s="1">
        <f t="shared" si="2"/>
        <v>2.934970266641109</v>
      </c>
      <c r="H10" s="124"/>
      <c r="I10" s="1"/>
    </row>
    <row r="11" spans="1:9" ht="13.5">
      <c r="A11" s="1">
        <v>17.4</v>
      </c>
      <c r="B11" s="1">
        <v>1.2</v>
      </c>
      <c r="C11" s="2">
        <f t="shared" si="1"/>
        <v>6.171000000000049</v>
      </c>
      <c r="D11" s="2">
        <f t="shared" si="0"/>
        <v>2003.795</v>
      </c>
      <c r="E11" s="66">
        <v>36450</v>
      </c>
      <c r="F11" s="1">
        <f t="shared" si="2"/>
        <v>2.81964025279531</v>
      </c>
      <c r="H11" s="124"/>
      <c r="I11" s="1"/>
    </row>
    <row r="12" spans="1:9" ht="13.5">
      <c r="A12" s="1">
        <v>21.2</v>
      </c>
      <c r="B12" s="1">
        <v>0.5</v>
      </c>
      <c r="C12" s="2">
        <f t="shared" si="1"/>
        <v>7.167999999999893</v>
      </c>
      <c r="D12" s="2">
        <f t="shared" si="0"/>
        <v>2004.792</v>
      </c>
      <c r="E12" s="67">
        <v>36814</v>
      </c>
      <c r="F12" s="1">
        <f t="shared" si="2"/>
        <v>2.95758928571433</v>
      </c>
      <c r="G12" t="s">
        <v>128</v>
      </c>
      <c r="H12" s="124"/>
      <c r="I12" s="1"/>
    </row>
    <row r="13" spans="3:8" ht="12.75">
      <c r="C13" s="2"/>
      <c r="D13" s="2"/>
      <c r="E13" s="67">
        <v>37171</v>
      </c>
      <c r="F13" s="1"/>
      <c r="H13" t="s">
        <v>58</v>
      </c>
    </row>
  </sheetData>
  <mergeCells count="1"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1"/>
  <sheetViews>
    <sheetView workbookViewId="0" topLeftCell="A1">
      <selection activeCell="A1" sqref="A1"/>
    </sheetView>
  </sheetViews>
  <sheetFormatPr defaultColWidth="11.00390625" defaultRowHeight="12"/>
  <cols>
    <col min="1" max="1" width="10.875" style="1" customWidth="1"/>
    <col min="2" max="2" width="13.50390625" style="1" bestFit="1" customWidth="1"/>
    <col min="3" max="3" width="11.00390625" style="2" bestFit="1" customWidth="1"/>
    <col min="4" max="4" width="10.875" style="2" customWidth="1"/>
    <col min="5" max="5" width="10.875" style="3" customWidth="1"/>
    <col min="6" max="6" width="10.875" style="1" customWidth="1"/>
    <col min="7" max="16384" width="10.875" style="10" customWidth="1"/>
  </cols>
  <sheetData>
    <row r="1" spans="1:256" s="103" customFormat="1" ht="13.5" customHeight="1">
      <c r="A1" s="99" t="s">
        <v>85</v>
      </c>
      <c r="B1" s="100"/>
      <c r="C1" s="101"/>
      <c r="D1" s="100"/>
      <c r="E1" s="102"/>
      <c r="F1" s="100"/>
      <c r="H1" s="100"/>
      <c r="I1" s="101"/>
      <c r="J1" s="100"/>
      <c r="K1" s="101"/>
      <c r="L1" s="100"/>
      <c r="M1" s="101"/>
      <c r="N1" s="100"/>
      <c r="O1" s="101"/>
      <c r="P1" s="100"/>
      <c r="Q1" s="101"/>
      <c r="R1" s="100"/>
      <c r="S1" s="101"/>
      <c r="T1" s="100"/>
      <c r="U1" s="101"/>
      <c r="V1" s="100"/>
      <c r="W1" s="101"/>
      <c r="X1" s="100"/>
      <c r="Y1" s="101"/>
      <c r="Z1" s="100"/>
      <c r="AA1" s="101"/>
      <c r="AB1" s="100"/>
      <c r="AC1" s="101"/>
      <c r="AD1" s="100"/>
      <c r="AE1" s="101"/>
      <c r="AF1" s="100"/>
      <c r="AG1" s="101"/>
      <c r="AH1" s="100"/>
      <c r="AI1" s="101"/>
      <c r="AJ1" s="100"/>
      <c r="AK1" s="101"/>
      <c r="AL1" s="100"/>
      <c r="AM1" s="101"/>
      <c r="AN1" s="100"/>
      <c r="AO1" s="101"/>
      <c r="AP1" s="100"/>
      <c r="AQ1" s="101"/>
      <c r="AR1" s="100"/>
      <c r="AS1" s="101"/>
      <c r="AT1" s="100"/>
      <c r="AU1" s="101"/>
      <c r="AV1" s="100"/>
      <c r="AW1" s="101"/>
      <c r="AX1" s="100"/>
      <c r="AY1" s="101"/>
      <c r="AZ1" s="100"/>
      <c r="BA1" s="101"/>
      <c r="BB1" s="100"/>
      <c r="BC1" s="101"/>
      <c r="BD1" s="100"/>
      <c r="BE1" s="101"/>
      <c r="BF1" s="100"/>
      <c r="BG1" s="101"/>
      <c r="BH1" s="100"/>
      <c r="BI1" s="101"/>
      <c r="BJ1" s="100"/>
      <c r="BK1" s="101"/>
      <c r="BL1" s="100"/>
      <c r="BM1" s="101"/>
      <c r="BN1" s="100"/>
      <c r="BO1" s="101"/>
      <c r="BP1" s="100"/>
      <c r="BQ1" s="101"/>
      <c r="BR1" s="100"/>
      <c r="BS1" s="101"/>
      <c r="BT1" s="100"/>
      <c r="BU1" s="101"/>
      <c r="BV1" s="100"/>
      <c r="BW1" s="101"/>
      <c r="BX1" s="100"/>
      <c r="BY1" s="101"/>
      <c r="BZ1" s="100"/>
      <c r="CA1" s="101"/>
      <c r="CB1" s="100"/>
      <c r="CC1" s="101"/>
      <c r="CD1" s="100"/>
      <c r="CE1" s="101"/>
      <c r="CF1" s="100"/>
      <c r="CG1" s="101"/>
      <c r="CH1" s="100"/>
      <c r="CI1" s="101"/>
      <c r="CJ1" s="100"/>
      <c r="CK1" s="101"/>
      <c r="CL1" s="100"/>
      <c r="CM1" s="101"/>
      <c r="CN1" s="100"/>
      <c r="CO1" s="101"/>
      <c r="CP1" s="100"/>
      <c r="CQ1" s="101"/>
      <c r="CR1" s="100"/>
      <c r="CS1" s="101"/>
      <c r="CT1" s="100"/>
      <c r="CU1" s="101"/>
      <c r="CV1" s="100"/>
      <c r="CW1" s="101"/>
      <c r="CX1" s="100"/>
      <c r="CY1" s="101"/>
      <c r="CZ1" s="100"/>
      <c r="DA1" s="101"/>
      <c r="DB1" s="100"/>
      <c r="DC1" s="101"/>
      <c r="DD1" s="100"/>
      <c r="DE1" s="101"/>
      <c r="DF1" s="100"/>
      <c r="DG1" s="101"/>
      <c r="DH1" s="100"/>
      <c r="DI1" s="101"/>
      <c r="DJ1" s="100"/>
      <c r="DK1" s="101"/>
      <c r="DL1" s="100"/>
      <c r="DM1" s="101"/>
      <c r="DN1" s="100"/>
      <c r="DO1" s="101"/>
      <c r="DP1" s="100"/>
      <c r="DQ1" s="101"/>
      <c r="DR1" s="100"/>
      <c r="DS1" s="101"/>
      <c r="DT1" s="100"/>
      <c r="DU1" s="101"/>
      <c r="DV1" s="100"/>
      <c r="DW1" s="101"/>
      <c r="DX1" s="100"/>
      <c r="DY1" s="101"/>
      <c r="DZ1" s="100"/>
      <c r="EA1" s="101"/>
      <c r="EB1" s="100"/>
      <c r="EC1" s="101"/>
      <c r="ED1" s="100"/>
      <c r="EE1" s="101"/>
      <c r="EF1" s="100"/>
      <c r="EG1" s="101"/>
      <c r="EH1" s="100"/>
      <c r="EI1" s="101"/>
      <c r="EJ1" s="100"/>
      <c r="EK1" s="101"/>
      <c r="EL1" s="100"/>
      <c r="EM1" s="101"/>
      <c r="EN1" s="100"/>
      <c r="EO1" s="101"/>
      <c r="EP1" s="100"/>
      <c r="EQ1" s="101"/>
      <c r="ER1" s="100"/>
      <c r="ES1" s="101"/>
      <c r="ET1" s="100"/>
      <c r="EU1" s="101"/>
      <c r="EV1" s="100"/>
      <c r="EW1" s="101"/>
      <c r="EX1" s="100"/>
      <c r="EY1" s="101"/>
      <c r="EZ1" s="100"/>
      <c r="FA1" s="101"/>
      <c r="FB1" s="100"/>
      <c r="FC1" s="101"/>
      <c r="FD1" s="100"/>
      <c r="FE1" s="101"/>
      <c r="FF1" s="100"/>
      <c r="FG1" s="101"/>
      <c r="FH1" s="100"/>
      <c r="FI1" s="101"/>
      <c r="FJ1" s="100"/>
      <c r="FK1" s="101"/>
      <c r="FL1" s="100"/>
      <c r="FM1" s="101"/>
      <c r="FN1" s="100"/>
      <c r="FO1" s="101"/>
      <c r="FP1" s="100"/>
      <c r="FQ1" s="101"/>
      <c r="FR1" s="100"/>
      <c r="FS1" s="101"/>
      <c r="FT1" s="100"/>
      <c r="FU1" s="101"/>
      <c r="FV1" s="100"/>
      <c r="FW1" s="101"/>
      <c r="FX1" s="100"/>
      <c r="FY1" s="101"/>
      <c r="FZ1" s="100"/>
      <c r="GA1" s="101"/>
      <c r="GB1" s="100"/>
      <c r="GC1" s="101"/>
      <c r="GD1" s="100"/>
      <c r="GE1" s="101"/>
      <c r="GF1" s="100"/>
      <c r="GG1" s="101"/>
      <c r="GH1" s="100"/>
      <c r="GI1" s="101"/>
      <c r="GJ1" s="100"/>
      <c r="GK1" s="101"/>
      <c r="GL1" s="100"/>
      <c r="GM1" s="101"/>
      <c r="GN1" s="100"/>
      <c r="GO1" s="101"/>
      <c r="GP1" s="100"/>
      <c r="GQ1" s="101"/>
      <c r="GR1" s="100"/>
      <c r="GS1" s="101"/>
      <c r="GT1" s="100"/>
      <c r="GU1" s="101"/>
      <c r="GV1" s="100"/>
      <c r="GW1" s="101"/>
      <c r="GX1" s="100"/>
      <c r="GY1" s="101"/>
      <c r="GZ1" s="100"/>
      <c r="HA1" s="101"/>
      <c r="HB1" s="100"/>
      <c r="HC1" s="101"/>
      <c r="HD1" s="100"/>
      <c r="HE1" s="101"/>
      <c r="HF1" s="100"/>
      <c r="HG1" s="101"/>
      <c r="HH1" s="100"/>
      <c r="HI1" s="101"/>
      <c r="HJ1" s="100"/>
      <c r="HK1" s="101"/>
      <c r="HL1" s="100"/>
      <c r="HM1" s="101"/>
      <c r="HN1" s="100"/>
      <c r="HO1" s="101"/>
      <c r="HP1" s="100"/>
      <c r="HQ1" s="101"/>
      <c r="HR1" s="100"/>
      <c r="HS1" s="101"/>
      <c r="HT1" s="100"/>
      <c r="HU1" s="101"/>
      <c r="HV1" s="100"/>
      <c r="HW1" s="101"/>
      <c r="HX1" s="100"/>
      <c r="HY1" s="101"/>
      <c r="HZ1" s="100"/>
      <c r="IA1" s="101"/>
      <c r="IB1" s="100"/>
      <c r="IC1" s="101"/>
      <c r="ID1" s="100"/>
      <c r="IE1" s="101"/>
      <c r="IF1" s="100"/>
      <c r="IG1" s="101"/>
      <c r="IH1" s="100"/>
      <c r="II1" s="101"/>
      <c r="IJ1" s="100"/>
      <c r="IK1" s="101"/>
      <c r="IL1" s="100"/>
      <c r="IM1" s="101"/>
      <c r="IN1" s="100"/>
      <c r="IO1" s="101"/>
      <c r="IP1" s="100"/>
      <c r="IQ1" s="101"/>
      <c r="IR1" s="100"/>
      <c r="IS1" s="101"/>
      <c r="IT1" s="100"/>
      <c r="IU1" s="101"/>
      <c r="IV1" s="100"/>
    </row>
    <row r="2" spans="1:6" s="103" customFormat="1" ht="13.5" customHeight="1">
      <c r="A2" s="101" t="s">
        <v>172</v>
      </c>
      <c r="B2" s="100"/>
      <c r="C2" s="104"/>
      <c r="D2" s="104"/>
      <c r="E2" s="102"/>
      <c r="F2" s="100"/>
    </row>
    <row r="3" spans="1:7" ht="13.5" thickBot="1">
      <c r="A3" s="44"/>
      <c r="F3" s="178" t="s">
        <v>162</v>
      </c>
      <c r="G3" s="178"/>
    </row>
    <row r="4" spans="1:7" ht="24.75">
      <c r="A4" s="39" t="s">
        <v>135</v>
      </c>
      <c r="B4" s="39" t="s">
        <v>42</v>
      </c>
      <c r="C4" s="40" t="s">
        <v>109</v>
      </c>
      <c r="D4" s="40" t="s">
        <v>110</v>
      </c>
      <c r="E4" s="41" t="s">
        <v>111</v>
      </c>
      <c r="F4" s="39" t="s">
        <v>161</v>
      </c>
      <c r="G4" s="75" t="s">
        <v>163</v>
      </c>
    </row>
    <row r="5" spans="1:6" ht="12.75">
      <c r="A5" s="7">
        <v>0</v>
      </c>
      <c r="B5" s="7" t="s">
        <v>160</v>
      </c>
      <c r="C5" s="51">
        <v>0</v>
      </c>
      <c r="D5" s="51">
        <v>1966.912</v>
      </c>
      <c r="E5" s="72">
        <v>22978</v>
      </c>
      <c r="F5" s="7"/>
    </row>
    <row r="6" spans="1:6" ht="12.75">
      <c r="A6" s="7">
        <v>101.5</v>
      </c>
      <c r="B6" s="7" t="s">
        <v>160</v>
      </c>
      <c r="C6" s="51">
        <v>21.503</v>
      </c>
      <c r="D6" s="51">
        <v>1988.415</v>
      </c>
      <c r="E6" s="72">
        <v>30832</v>
      </c>
      <c r="F6" s="7">
        <f>A6/C6</f>
        <v>4.720271590010696</v>
      </c>
    </row>
    <row r="7" spans="1:6" ht="12.75">
      <c r="A7" s="7">
        <v>120.4</v>
      </c>
      <c r="B7" s="7">
        <v>1.9</v>
      </c>
      <c r="C7" s="51">
        <v>25.755</v>
      </c>
      <c r="D7" s="51">
        <v>1992.667</v>
      </c>
      <c r="E7" s="72">
        <v>32385</v>
      </c>
      <c r="F7" s="7">
        <f aca="true" t="shared" si="0" ref="F7:F18">A7/C7</f>
        <v>4.674820423218793</v>
      </c>
    </row>
    <row r="8" spans="1:6" ht="12.75">
      <c r="A8" s="7">
        <v>124</v>
      </c>
      <c r="B8" s="7">
        <v>1.4</v>
      </c>
      <c r="C8" s="51">
        <v>26.576</v>
      </c>
      <c r="D8" s="51">
        <v>1993.488</v>
      </c>
      <c r="E8" s="72">
        <v>32685</v>
      </c>
      <c r="F8" s="7">
        <f t="shared" si="0"/>
        <v>4.665863937387116</v>
      </c>
    </row>
    <row r="9" spans="1:6" ht="12.75">
      <c r="A9" s="7">
        <v>141.1</v>
      </c>
      <c r="B9" s="7">
        <v>0.6</v>
      </c>
      <c r="C9" s="51">
        <v>30.521</v>
      </c>
      <c r="D9" s="51">
        <v>1997.433</v>
      </c>
      <c r="E9" s="72">
        <v>34126</v>
      </c>
      <c r="F9" s="7">
        <f t="shared" si="0"/>
        <v>4.623046427050228</v>
      </c>
    </row>
    <row r="10" spans="1:6" ht="12.75">
      <c r="A10" s="7">
        <v>148.4</v>
      </c>
      <c r="B10" s="7">
        <v>1</v>
      </c>
      <c r="C10" s="51">
        <v>31.748</v>
      </c>
      <c r="D10" s="51">
        <v>1998.66</v>
      </c>
      <c r="E10" s="72">
        <v>34574</v>
      </c>
      <c r="F10" s="7">
        <f t="shared" si="0"/>
        <v>4.674310192768049</v>
      </c>
    </row>
    <row r="11" spans="1:6" ht="12.75">
      <c r="A11" s="7">
        <v>153.8</v>
      </c>
      <c r="B11" s="7">
        <v>0.4</v>
      </c>
      <c r="C11" s="51">
        <v>32.746</v>
      </c>
      <c r="D11" s="51">
        <v>1999.658</v>
      </c>
      <c r="E11" s="72">
        <v>34938</v>
      </c>
      <c r="F11" s="7">
        <f t="shared" si="0"/>
        <v>4.6967568557991815</v>
      </c>
    </row>
    <row r="12" spans="1:6" ht="12.75">
      <c r="A12" s="7">
        <v>158.9</v>
      </c>
      <c r="B12" s="7">
        <v>1.1</v>
      </c>
      <c r="C12" s="51">
        <v>33.916</v>
      </c>
      <c r="D12" s="51">
        <v>2000.828</v>
      </c>
      <c r="E12" s="72">
        <v>35366</v>
      </c>
      <c r="F12" s="7">
        <f t="shared" si="0"/>
        <v>4.685104375515981</v>
      </c>
    </row>
    <row r="13" spans="1:6" ht="12.75">
      <c r="A13" s="73">
        <v>162.7</v>
      </c>
      <c r="B13" s="7">
        <v>1.6</v>
      </c>
      <c r="C13" s="51">
        <f aca="true" t="shared" si="1" ref="C13:C18">D13-$D$5</f>
        <v>34.891000000000076</v>
      </c>
      <c r="D13" s="51">
        <v>2001.803</v>
      </c>
      <c r="E13" s="50">
        <v>35722</v>
      </c>
      <c r="F13" s="7">
        <f t="shared" si="0"/>
        <v>4.663093634461599</v>
      </c>
    </row>
    <row r="14" spans="1:6" ht="12.75">
      <c r="A14" s="7">
        <f>A13+5.8</f>
        <v>168.5</v>
      </c>
      <c r="B14" s="7">
        <v>0.8</v>
      </c>
      <c r="C14" s="51">
        <f t="shared" si="1"/>
        <v>35.924999999999955</v>
      </c>
      <c r="D14" s="51">
        <f>TRUNC(((E14-(365.25*TRUNC((E14/365.25),0)))/365.25),3)+TRUNC((E14/365.25+1904),0)+0.001</f>
        <v>2002.837</v>
      </c>
      <c r="E14" s="64">
        <v>36100</v>
      </c>
      <c r="F14" s="7">
        <f t="shared" si="0"/>
        <v>4.690327070285322</v>
      </c>
    </row>
    <row r="15" spans="1:6" ht="12.75">
      <c r="A15" s="7">
        <f>A14+7.3</f>
        <v>175.8</v>
      </c>
      <c r="B15" s="7">
        <v>0.8</v>
      </c>
      <c r="C15" s="51">
        <f t="shared" si="1"/>
        <v>36.88300000000004</v>
      </c>
      <c r="D15" s="51">
        <f>TRUNC(((E15-(365.25*TRUNC((E15/365.25),0)))/365.25),3)+TRUNC((E15/365.25+1904),0)+0.001</f>
        <v>2003.795</v>
      </c>
      <c r="E15" s="66">
        <v>36450</v>
      </c>
      <c r="F15" s="7">
        <f t="shared" si="0"/>
        <v>4.766423555567601</v>
      </c>
    </row>
    <row r="16" spans="1:6" ht="12.75">
      <c r="A16" s="7">
        <f>A15+0.1</f>
        <v>175.9</v>
      </c>
      <c r="B16" s="7">
        <v>0.6</v>
      </c>
      <c r="C16" s="51">
        <f t="shared" si="1"/>
        <v>37.902000000000044</v>
      </c>
      <c r="D16" s="51">
        <f>TRUNC(((E16-(365.25*TRUNC((E16/365.25),0)))/365.25),3)+TRUNC((E16/365.25+1904),0)+0.001</f>
        <v>2004.814</v>
      </c>
      <c r="E16" s="67">
        <v>36822</v>
      </c>
      <c r="F16" s="7">
        <f t="shared" si="0"/>
        <v>4.64091604664661</v>
      </c>
    </row>
    <row r="17" spans="1:6" ht="12.75">
      <c r="A17" s="7">
        <f>A16+6.1</f>
        <v>182</v>
      </c>
      <c r="B17" s="7">
        <v>0.4</v>
      </c>
      <c r="C17" s="51">
        <f t="shared" si="1"/>
        <v>38.878999999999905</v>
      </c>
      <c r="D17" s="51">
        <f>TRUNC(((E17-(365.25*TRUNC((E17/365.25),0)))/365.25),3)+TRUNC((E17/365.25+1904),0)+0.001</f>
        <v>2005.791</v>
      </c>
      <c r="E17" s="67">
        <v>37179</v>
      </c>
      <c r="F17" s="7">
        <f t="shared" si="0"/>
        <v>4.681190359834369</v>
      </c>
    </row>
    <row r="18" spans="1:7" ht="12.75">
      <c r="A18" s="7">
        <f>A17+6</f>
        <v>188</v>
      </c>
      <c r="B18" s="7">
        <v>0.5</v>
      </c>
      <c r="C18" s="51">
        <f t="shared" si="1"/>
        <v>39.89499999999998</v>
      </c>
      <c r="D18" s="51">
        <f>TRUNC(((E18-(365.25*TRUNC((E18/365.25),0)))/365.25),3)+TRUNC((E18/365.25+1904),0)+0.001</f>
        <v>2006.807</v>
      </c>
      <c r="E18" s="72">
        <v>37550</v>
      </c>
      <c r="F18" s="7">
        <f t="shared" si="0"/>
        <v>4.7123699711743345</v>
      </c>
      <c r="G18" s="10" t="s">
        <v>164</v>
      </c>
    </row>
    <row r="19" spans="1:6" ht="12.75">
      <c r="A19" s="7"/>
      <c r="B19" s="7"/>
      <c r="C19" s="51"/>
      <c r="D19" s="51"/>
      <c r="E19" s="72"/>
      <c r="F19" s="7"/>
    </row>
    <row r="20" spans="1:6" ht="12.75">
      <c r="A20" s="7"/>
      <c r="B20" s="7"/>
      <c r="C20" s="51"/>
      <c r="D20" s="51"/>
      <c r="E20" s="72"/>
      <c r="F20" s="7"/>
    </row>
    <row r="21" spans="1:6" ht="12.75">
      <c r="A21" s="7"/>
      <c r="B21" s="7"/>
      <c r="C21" s="51"/>
      <c r="D21" s="51"/>
      <c r="E21" s="72"/>
      <c r="F21" s="7"/>
    </row>
    <row r="22" spans="1:6" ht="12.75">
      <c r="A22" s="10"/>
      <c r="B22" s="10"/>
      <c r="C22" s="10"/>
      <c r="D22" s="10"/>
      <c r="E22" s="10"/>
      <c r="F22" s="10"/>
    </row>
    <row r="23" spans="1:6" ht="12.75" customHeight="1">
      <c r="A23" s="10"/>
      <c r="B23" s="10"/>
      <c r="C23" s="10"/>
      <c r="D23" s="10"/>
      <c r="E23" s="10"/>
      <c r="F23" s="10"/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2.75">
      <c r="A35" s="10"/>
      <c r="B35" s="10"/>
      <c r="C35" s="10"/>
      <c r="D35" s="10"/>
      <c r="E35" s="10"/>
      <c r="F35" s="10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  <row r="71" spans="1:6" ht="12.75">
      <c r="A71" s="10"/>
      <c r="B71" s="10"/>
      <c r="C71" s="10"/>
      <c r="D71" s="10"/>
      <c r="E71" s="10"/>
      <c r="F71" s="10"/>
    </row>
    <row r="72" spans="1:6" ht="12.75">
      <c r="A72" s="10"/>
      <c r="B72" s="10"/>
      <c r="C72" s="10"/>
      <c r="D72" s="10"/>
      <c r="E72" s="10"/>
      <c r="F72" s="10"/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0"/>
      <c r="B74" s="10"/>
      <c r="C74" s="10"/>
      <c r="D74" s="10"/>
      <c r="E74" s="10"/>
      <c r="F74" s="10"/>
    </row>
    <row r="75" spans="1:6" ht="12.75">
      <c r="A75" s="10"/>
      <c r="B75" s="10"/>
      <c r="C75" s="10"/>
      <c r="D75" s="10"/>
      <c r="E75" s="10"/>
      <c r="F75" s="10"/>
    </row>
    <row r="76" spans="1:6" ht="12.75">
      <c r="A76" s="10"/>
      <c r="B76" s="10"/>
      <c r="C76" s="10"/>
      <c r="D76" s="10"/>
      <c r="E76" s="10"/>
      <c r="F76" s="10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</sheetData>
  <mergeCells count="1"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11.00390625" defaultRowHeight="12"/>
  <cols>
    <col min="1" max="1" width="12.125" style="52" customWidth="1"/>
    <col min="2" max="3" width="10.625" style="52" customWidth="1"/>
    <col min="4" max="4" width="10.00390625" style="52" customWidth="1"/>
    <col min="5" max="5" width="11.00390625" style="52" customWidth="1"/>
    <col min="6" max="6" width="9.375" style="52" customWidth="1"/>
    <col min="7" max="7" width="10.50390625" style="52" customWidth="1"/>
    <col min="8" max="8" width="9.50390625" style="52" customWidth="1"/>
    <col min="9" max="9" width="6.625" style="52" customWidth="1"/>
    <col min="10" max="10" width="12.375" style="52" customWidth="1"/>
    <col min="11" max="16384" width="10.875" style="52" customWidth="1"/>
  </cols>
  <sheetData>
    <row r="1" spans="1:9" ht="12.75">
      <c r="A1" s="106" t="s">
        <v>85</v>
      </c>
      <c r="D1" s="79"/>
      <c r="F1" s="53"/>
      <c r="I1" s="55"/>
    </row>
    <row r="2" spans="1:9" ht="15.75">
      <c r="A2" s="105" t="s">
        <v>43</v>
      </c>
      <c r="B2" s="77"/>
      <c r="C2" s="77"/>
      <c r="D2" s="79"/>
      <c r="F2" s="56"/>
      <c r="I2" s="55"/>
    </row>
    <row r="3" spans="4:9" ht="13.5" customHeight="1" thickBot="1">
      <c r="D3" s="88"/>
      <c r="E3" s="78"/>
      <c r="F3" s="178" t="s">
        <v>162</v>
      </c>
      <c r="G3" s="178"/>
      <c r="H3" s="78"/>
      <c r="I3" s="91"/>
    </row>
    <row r="4" spans="1:8" ht="24.75" customHeight="1">
      <c r="A4" s="39" t="s">
        <v>135</v>
      </c>
      <c r="B4" s="39" t="s">
        <v>108</v>
      </c>
      <c r="C4" s="40" t="s">
        <v>109</v>
      </c>
      <c r="D4" s="40" t="s">
        <v>110</v>
      </c>
      <c r="E4" s="54" t="s">
        <v>111</v>
      </c>
      <c r="F4" s="39" t="s">
        <v>161</v>
      </c>
      <c r="G4" s="75" t="s">
        <v>163</v>
      </c>
      <c r="H4" s="58"/>
    </row>
    <row r="5" spans="1:6" ht="12.75">
      <c r="A5" s="60">
        <v>0</v>
      </c>
      <c r="B5" s="61">
        <v>0.7</v>
      </c>
      <c r="C5" s="62">
        <v>0</v>
      </c>
      <c r="D5" s="92">
        <v>1997.624</v>
      </c>
      <c r="E5" s="93">
        <v>34196</v>
      </c>
      <c r="F5" s="62" t="s">
        <v>160</v>
      </c>
    </row>
    <row r="6" spans="1:6" ht="12.75">
      <c r="A6" s="61">
        <v>-0.1645416202709325</v>
      </c>
      <c r="B6" s="61">
        <v>0.3</v>
      </c>
      <c r="C6" s="63">
        <v>1.0349999999998545</v>
      </c>
      <c r="D6" s="92">
        <v>1998.6589999999999</v>
      </c>
      <c r="E6" s="93">
        <v>34574</v>
      </c>
      <c r="F6" s="57">
        <v>-0.1589774108898122</v>
      </c>
    </row>
    <row r="7" spans="1:6" ht="12.75">
      <c r="A7" s="61">
        <v>7.630617635019693</v>
      </c>
      <c r="B7" s="61">
        <v>0.3</v>
      </c>
      <c r="C7" s="63">
        <v>2.0319999999999254</v>
      </c>
      <c r="D7" s="92">
        <v>1999.656</v>
      </c>
      <c r="E7" s="93">
        <v>34938</v>
      </c>
      <c r="F7" s="57">
        <v>3.7552252140846325</v>
      </c>
    </row>
    <row r="8" spans="1:6" ht="12.75">
      <c r="A8" s="61">
        <v>16.310188057910036</v>
      </c>
      <c r="B8" s="61">
        <v>0.8</v>
      </c>
      <c r="C8" s="63">
        <v>3.2029999999999745</v>
      </c>
      <c r="D8" s="92">
        <v>2000.827</v>
      </c>
      <c r="E8" s="93">
        <v>35366</v>
      </c>
      <c r="F8" s="57">
        <v>5.09215986822047</v>
      </c>
    </row>
    <row r="9" spans="1:6" ht="12.75">
      <c r="A9" s="61">
        <v>14.726474976479507</v>
      </c>
      <c r="B9" s="61">
        <v>0.6</v>
      </c>
      <c r="C9" s="63">
        <v>4.177999999999884</v>
      </c>
      <c r="D9" s="92">
        <v>2001.802</v>
      </c>
      <c r="E9" s="93">
        <v>35722</v>
      </c>
      <c r="F9" s="57">
        <v>3.5247666291239628</v>
      </c>
    </row>
    <row r="10" spans="1:6" ht="12.75">
      <c r="A10" s="61">
        <v>24.208185713019834</v>
      </c>
      <c r="B10" s="61">
        <v>1.2</v>
      </c>
      <c r="C10" s="65">
        <v>5.212999999999965</v>
      </c>
      <c r="D10" s="92">
        <v>2002.837</v>
      </c>
      <c r="E10" s="94">
        <v>36100</v>
      </c>
      <c r="F10" s="59">
        <v>4.6438108024208695</v>
      </c>
    </row>
    <row r="11" spans="1:6" ht="12.75">
      <c r="A11" s="61">
        <v>31.11893357326202</v>
      </c>
      <c r="B11" s="61">
        <v>0.6</v>
      </c>
      <c r="C11" s="65">
        <v>6.171000000000049</v>
      </c>
      <c r="D11" s="92">
        <v>2003.795</v>
      </c>
      <c r="E11" s="95">
        <v>36450</v>
      </c>
      <c r="F11" s="59">
        <v>5.042769984323735</v>
      </c>
    </row>
    <row r="12" spans="1:6" ht="12.75">
      <c r="A12" s="61">
        <v>30.008277673747536</v>
      </c>
      <c r="B12" s="61">
        <v>0.6</v>
      </c>
      <c r="C12" s="65">
        <v>7.169999999999845</v>
      </c>
      <c r="D12" s="92">
        <v>2004.7939999999999</v>
      </c>
      <c r="E12" s="96">
        <v>36815</v>
      </c>
      <c r="F12" s="59">
        <v>4.185254905683149</v>
      </c>
    </row>
    <row r="13" spans="1:6" ht="12.75">
      <c r="A13" s="61">
        <v>33.916141011428955</v>
      </c>
      <c r="B13" s="89">
        <v>0.4</v>
      </c>
      <c r="C13" s="65">
        <v>8.144999999999982</v>
      </c>
      <c r="D13" s="92">
        <v>2005.769</v>
      </c>
      <c r="E13" s="96">
        <v>37171</v>
      </c>
      <c r="F13" s="59">
        <v>4.164044323072932</v>
      </c>
    </row>
    <row r="14" spans="1:7" s="68" customFormat="1" ht="12.75">
      <c r="A14" s="61">
        <v>33.957276414805605</v>
      </c>
      <c r="B14" s="90">
        <v>0.3</v>
      </c>
      <c r="C14" s="65">
        <v>9.182999999999993</v>
      </c>
      <c r="D14" s="92">
        <v>2006.807</v>
      </c>
      <c r="E14" s="96">
        <v>37550</v>
      </c>
      <c r="F14" s="59">
        <v>3.697841273527783</v>
      </c>
      <c r="G14" s="68" t="s">
        <v>139</v>
      </c>
    </row>
    <row r="15" spans="1:9" ht="12.75">
      <c r="A15" s="68"/>
      <c r="B15" s="68"/>
      <c r="C15" s="68"/>
      <c r="D15" s="68"/>
      <c r="E15" s="68"/>
      <c r="F15" s="68"/>
      <c r="G15" s="68"/>
      <c r="H15" s="68"/>
      <c r="I15" s="68"/>
    </row>
    <row r="16" spans="1:9" ht="12.75">
      <c r="A16" s="68"/>
      <c r="B16" s="68"/>
      <c r="C16" s="68"/>
      <c r="D16" s="68"/>
      <c r="E16" s="68"/>
      <c r="F16" s="68"/>
      <c r="G16" s="68"/>
      <c r="H16" s="68"/>
      <c r="I16" s="68"/>
    </row>
    <row r="17" spans="1:9" ht="12.75">
      <c r="A17" s="68"/>
      <c r="B17" s="68"/>
      <c r="C17" s="68"/>
      <c r="D17" s="68"/>
      <c r="E17" s="68"/>
      <c r="F17" s="68"/>
      <c r="G17" s="68"/>
      <c r="H17" s="68"/>
      <c r="I17" s="68"/>
    </row>
    <row r="18" ht="12.75">
      <c r="A18" s="68"/>
    </row>
    <row r="19" ht="12.75">
      <c r="A19" s="68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</sheetData>
  <mergeCells count="1"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"/>
    </sheetView>
  </sheetViews>
  <sheetFormatPr defaultColWidth="11.00390625" defaultRowHeight="12"/>
  <cols>
    <col min="1" max="2" width="10.875" style="1" customWidth="1"/>
    <col min="3" max="4" width="10.875" style="2" customWidth="1"/>
    <col min="5" max="5" width="10.875" style="10" customWidth="1"/>
    <col min="6" max="6" width="10.875" style="1" customWidth="1"/>
    <col min="7" max="16384" width="10.875" style="10" customWidth="1"/>
  </cols>
  <sheetData>
    <row r="1" spans="1:4" ht="12.75">
      <c r="A1" s="101" t="s">
        <v>85</v>
      </c>
      <c r="C1" s="49"/>
      <c r="D1" s="1"/>
    </row>
    <row r="2" ht="12.75">
      <c r="A2" s="101" t="s">
        <v>173</v>
      </c>
    </row>
    <row r="3" spans="1:7" ht="13.5" thickBot="1">
      <c r="A3" s="44"/>
      <c r="E3" s="3"/>
      <c r="F3" s="178" t="s">
        <v>162</v>
      </c>
      <c r="G3" s="178"/>
    </row>
    <row r="4" spans="1:7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161</v>
      </c>
      <c r="G4" s="75" t="s">
        <v>163</v>
      </c>
    </row>
    <row r="5" spans="1:5" ht="12.75">
      <c r="A5" s="1">
        <v>0</v>
      </c>
      <c r="C5" s="2">
        <v>0</v>
      </c>
      <c r="D5" s="2">
        <v>1974.258</v>
      </c>
      <c r="E5" s="72">
        <v>25661</v>
      </c>
    </row>
    <row r="6" spans="1:6" ht="12.75">
      <c r="A6" s="1">
        <v>74.8</v>
      </c>
      <c r="B6" s="1">
        <v>1.2</v>
      </c>
      <c r="C6" s="2">
        <v>19.86</v>
      </c>
      <c r="D6" s="2">
        <v>1994.118</v>
      </c>
      <c r="E6" s="72">
        <v>32915</v>
      </c>
      <c r="F6" s="1">
        <v>3.8</v>
      </c>
    </row>
    <row r="7" spans="1:6" ht="12.75">
      <c r="A7" s="1">
        <v>74.9</v>
      </c>
      <c r="B7" s="1">
        <v>0.3</v>
      </c>
      <c r="C7" s="2">
        <v>20.326</v>
      </c>
      <c r="D7" s="2">
        <v>1994.584</v>
      </c>
      <c r="E7" s="72">
        <v>33085</v>
      </c>
      <c r="F7" s="1">
        <v>3.7</v>
      </c>
    </row>
    <row r="8" spans="1:6" ht="12.75">
      <c r="A8" s="1">
        <v>80.3</v>
      </c>
      <c r="B8" s="1">
        <v>0.4</v>
      </c>
      <c r="C8" s="2">
        <v>21.383</v>
      </c>
      <c r="D8" s="2">
        <v>1995.641</v>
      </c>
      <c r="E8" s="72">
        <v>33471</v>
      </c>
      <c r="F8" s="1">
        <v>3.8</v>
      </c>
    </row>
    <row r="9" spans="1:6" ht="12.75">
      <c r="A9" s="1">
        <v>92.1</v>
      </c>
      <c r="B9" s="1">
        <v>1.1</v>
      </c>
      <c r="C9" s="2">
        <v>24.482</v>
      </c>
      <c r="D9" s="2">
        <v>1998.74</v>
      </c>
      <c r="E9" s="72">
        <v>34603</v>
      </c>
      <c r="F9" s="1">
        <v>3.8</v>
      </c>
    </row>
    <row r="10" spans="1:6" ht="12.75">
      <c r="A10" s="1">
        <v>97.5</v>
      </c>
      <c r="B10" s="1">
        <v>1.4</v>
      </c>
      <c r="C10" s="2">
        <v>25.438</v>
      </c>
      <c r="D10" s="2">
        <v>1999.696</v>
      </c>
      <c r="E10" s="72">
        <v>34952</v>
      </c>
      <c r="F10" s="1">
        <v>3.8</v>
      </c>
    </row>
    <row r="11" spans="1:6" ht="12.75">
      <c r="A11" s="1">
        <v>102.8</v>
      </c>
      <c r="B11" s="1">
        <v>0.8</v>
      </c>
      <c r="C11" s="2">
        <f aca="true" t="shared" si="0" ref="C11:C16">D11-$D$5</f>
        <v>26.607999999999947</v>
      </c>
      <c r="D11" s="2">
        <v>2000.866</v>
      </c>
      <c r="E11" s="72">
        <v>35380</v>
      </c>
      <c r="F11" s="1">
        <v>3.9</v>
      </c>
    </row>
    <row r="12" spans="1:6" ht="12.75">
      <c r="A12" s="1">
        <f>A11+5.4</f>
        <v>108.2</v>
      </c>
      <c r="B12" s="1">
        <v>0.6</v>
      </c>
      <c r="C12" s="2">
        <f t="shared" si="0"/>
        <v>28.57899999999995</v>
      </c>
      <c r="D12" s="2">
        <f>TRUNC(((E12-(365.25*TRUNC((E12/365.25),0)))/365.25),3)+TRUNC((E12/365.25+1904),0)+0.001</f>
        <v>2002.837</v>
      </c>
      <c r="E12" s="64">
        <v>36100</v>
      </c>
      <c r="F12" s="1">
        <f>A12/C12</f>
        <v>3.7859967108716255</v>
      </c>
    </row>
    <row r="13" spans="1:6" ht="12.75">
      <c r="A13" s="1">
        <f>A12+6.2</f>
        <v>114.4</v>
      </c>
      <c r="B13" s="1">
        <v>0.8</v>
      </c>
      <c r="C13" s="2">
        <f t="shared" si="0"/>
        <v>29.537000000000035</v>
      </c>
      <c r="D13" s="2">
        <f>TRUNC(((E13-(365.25*TRUNC((E13/365.25),0)))/365.25),3)+TRUNC((E13/365.25+1904),0)+0.001</f>
        <v>2003.795</v>
      </c>
      <c r="E13" s="66">
        <v>36450</v>
      </c>
      <c r="F13" s="1">
        <f>A13/C13</f>
        <v>3.8731083048379955</v>
      </c>
    </row>
    <row r="14" spans="1:6" ht="12.75">
      <c r="A14" s="1">
        <f>A13+4.3</f>
        <v>118.7</v>
      </c>
      <c r="B14" s="1">
        <v>0.3</v>
      </c>
      <c r="C14" s="2">
        <f t="shared" si="0"/>
        <v>30.552999999999884</v>
      </c>
      <c r="D14" s="2">
        <f>TRUNC(((E14-(365.25*TRUNC((E14/365.25),0)))/365.25),3)+TRUNC((E14/365.25+1904),0)+0.001</f>
        <v>2004.811</v>
      </c>
      <c r="E14" s="67">
        <v>36821</v>
      </c>
      <c r="F14" s="1">
        <f>A14/C14</f>
        <v>3.885052204366198</v>
      </c>
    </row>
    <row r="15" spans="1:6" ht="12.75">
      <c r="A15" s="1">
        <f>A14+0.5</f>
        <v>119.2</v>
      </c>
      <c r="B15" s="1">
        <v>0.4</v>
      </c>
      <c r="C15" s="2">
        <f t="shared" si="0"/>
        <v>31.513999999999896</v>
      </c>
      <c r="D15" s="2">
        <f>TRUNC(((E15-(365.25*TRUNC((E15/365.25),0)))/365.25),3)+TRUNC((E15/365.25+1904),0)+0.001</f>
        <v>2005.772</v>
      </c>
      <c r="E15" s="67">
        <v>37172</v>
      </c>
      <c r="F15" s="1">
        <f>A15/C15</f>
        <v>3.782445897061636</v>
      </c>
    </row>
    <row r="16" spans="1:7" ht="12.75">
      <c r="A16" s="1">
        <f>A15+7.7</f>
        <v>126.9</v>
      </c>
      <c r="B16" s="1">
        <v>0.7</v>
      </c>
      <c r="C16" s="2">
        <f t="shared" si="0"/>
        <v>32.56499999999983</v>
      </c>
      <c r="D16" s="2">
        <f>TRUNC(((E16-(365.25*TRUNC((E16/365.25),0)))/365.25),3)+TRUNC((E16/365.25+1904),0)+0.001</f>
        <v>2006.8229999999999</v>
      </c>
      <c r="E16" s="67">
        <v>37556</v>
      </c>
      <c r="F16" s="1">
        <f>A16/C16</f>
        <v>3.8968217411331394</v>
      </c>
      <c r="G16" s="10" t="s">
        <v>138</v>
      </c>
    </row>
    <row r="20" spans="1:6" ht="12.75">
      <c r="A20" s="10"/>
      <c r="B20" s="10"/>
      <c r="C20" s="10"/>
      <c r="D20" s="10"/>
      <c r="F20" s="10"/>
    </row>
    <row r="21" spans="1:6" ht="12.75">
      <c r="A21" s="10"/>
      <c r="B21" s="10"/>
      <c r="C21" s="10"/>
      <c r="D21" s="10"/>
      <c r="F21" s="10"/>
    </row>
    <row r="22" spans="1:6" ht="12.75">
      <c r="A22" s="10"/>
      <c r="B22" s="10"/>
      <c r="C22" s="10"/>
      <c r="D22" s="10"/>
      <c r="F22" s="10"/>
    </row>
    <row r="23" spans="1:6" ht="12.75">
      <c r="A23" s="10"/>
      <c r="B23" s="10"/>
      <c r="C23" s="10"/>
      <c r="D23" s="10"/>
      <c r="F23" s="10"/>
    </row>
    <row r="24" spans="1:6" ht="12.75">
      <c r="A24" s="10"/>
      <c r="B24" s="10"/>
      <c r="C24" s="10"/>
      <c r="D24" s="10"/>
      <c r="F24" s="10"/>
    </row>
    <row r="25" spans="1:6" ht="12.75">
      <c r="A25" s="10"/>
      <c r="B25" s="10"/>
      <c r="C25" s="10"/>
      <c r="D25" s="10"/>
      <c r="F25" s="10"/>
    </row>
    <row r="26" spans="1:6" ht="12.75">
      <c r="A26" s="10"/>
      <c r="B26" s="10"/>
      <c r="C26" s="10"/>
      <c r="D26" s="10"/>
      <c r="F26" s="10"/>
    </row>
    <row r="27" spans="1:6" ht="12.75">
      <c r="A27" s="10"/>
      <c r="B27" s="10"/>
      <c r="C27" s="10"/>
      <c r="D27" s="10"/>
      <c r="F27" s="10"/>
    </row>
    <row r="28" spans="1:6" ht="12.75">
      <c r="A28" s="10"/>
      <c r="B28" s="10"/>
      <c r="C28" s="10"/>
      <c r="D28" s="10"/>
      <c r="F28" s="10"/>
    </row>
    <row r="29" spans="1:6" ht="12.75">
      <c r="A29" s="10"/>
      <c r="B29" s="10"/>
      <c r="C29" s="10"/>
      <c r="D29" s="10"/>
      <c r="F29" s="10"/>
    </row>
    <row r="30" spans="1:6" ht="12.75">
      <c r="A30"/>
      <c r="B30" s="10"/>
      <c r="C30" s="10"/>
      <c r="D30" s="10"/>
      <c r="F30" s="10"/>
    </row>
    <row r="31" spans="1:6" ht="12.75">
      <c r="A31"/>
      <c r="B31" s="10"/>
      <c r="C31" s="10"/>
      <c r="D31" s="10"/>
      <c r="F31" s="10"/>
    </row>
    <row r="32" spans="1:6" ht="12.75">
      <c r="A32"/>
      <c r="B32" s="10"/>
      <c r="C32" s="10"/>
      <c r="D32" s="10"/>
      <c r="F32" s="10"/>
    </row>
    <row r="33" spans="1:6" ht="12.75">
      <c r="A33"/>
      <c r="B33" s="10"/>
      <c r="C33" s="10"/>
      <c r="D33" s="10"/>
      <c r="F33" s="10"/>
    </row>
    <row r="34" spans="1:6" ht="12.75">
      <c r="A34"/>
      <c r="B34" s="10"/>
      <c r="C34" s="10"/>
      <c r="D34" s="10"/>
      <c r="F34" s="10"/>
    </row>
    <row r="35" spans="1:6" ht="12.75">
      <c r="A35"/>
      <c r="B35" s="10"/>
      <c r="C35" s="10"/>
      <c r="D35" s="10"/>
      <c r="F35" s="10"/>
    </row>
    <row r="36" spans="1:6" ht="12.75">
      <c r="A36"/>
      <c r="B36" s="10"/>
      <c r="C36" s="10"/>
      <c r="D36" s="10"/>
      <c r="F36" s="10"/>
    </row>
    <row r="37" spans="1:6" ht="12.75">
      <c r="A37"/>
      <c r="B37" s="10"/>
      <c r="C37" s="10"/>
      <c r="D37" s="10"/>
      <c r="F37" s="10"/>
    </row>
    <row r="38" spans="1:6" ht="12.75">
      <c r="A38"/>
      <c r="B38" s="10"/>
      <c r="C38" s="10"/>
      <c r="D38" s="10"/>
      <c r="F38" s="10"/>
    </row>
    <row r="39" spans="1:6" ht="12.75">
      <c r="A39" s="10"/>
      <c r="B39" s="10"/>
      <c r="C39" s="10"/>
      <c r="D39" s="10"/>
      <c r="F39" s="10"/>
    </row>
    <row r="40" spans="1:6" ht="12.75">
      <c r="A40" s="10"/>
      <c r="B40" s="10"/>
      <c r="C40" s="10"/>
      <c r="D40" s="10"/>
      <c r="F40" s="10"/>
    </row>
    <row r="41" spans="1:6" ht="12.75">
      <c r="A41" s="10"/>
      <c r="B41" s="10"/>
      <c r="C41" s="10"/>
      <c r="D41" s="10"/>
      <c r="F41" s="10"/>
    </row>
    <row r="42" spans="1:6" ht="12.75">
      <c r="A42" s="10"/>
      <c r="B42" s="10"/>
      <c r="C42" s="10"/>
      <c r="D42" s="10"/>
      <c r="F42" s="10"/>
    </row>
    <row r="43" spans="1:6" ht="12.75">
      <c r="A43"/>
      <c r="B43" s="10"/>
      <c r="C43" s="10"/>
      <c r="D43" s="10"/>
      <c r="F43" s="10"/>
    </row>
    <row r="44" spans="1:6" ht="12.75">
      <c r="A44"/>
      <c r="B44" s="10"/>
      <c r="C44" s="10"/>
      <c r="D44" s="10"/>
      <c r="F44" s="10"/>
    </row>
    <row r="45" spans="1:6" ht="12.75">
      <c r="A45" s="10"/>
      <c r="B45" s="10"/>
      <c r="C45" s="10"/>
      <c r="D45" s="10"/>
      <c r="F45" s="10"/>
    </row>
    <row r="46" spans="1:6" ht="12.75">
      <c r="A46" s="10"/>
      <c r="B46" s="10"/>
      <c r="C46" s="10"/>
      <c r="D46" s="10"/>
      <c r="F46" s="10"/>
    </row>
    <row r="47" spans="1:6" ht="12.75">
      <c r="A47" s="10"/>
      <c r="B47" s="10"/>
      <c r="C47" s="10"/>
      <c r="D47" s="10"/>
      <c r="F47" s="10"/>
    </row>
    <row r="48" spans="1:6" ht="12.75">
      <c r="A48"/>
      <c r="B48" s="10"/>
      <c r="C48" s="10"/>
      <c r="D48" s="10"/>
      <c r="F48" s="10"/>
    </row>
    <row r="49" spans="1:6" ht="12.75">
      <c r="A49"/>
      <c r="B49" s="10"/>
      <c r="C49" s="10"/>
      <c r="D49" s="10"/>
      <c r="F49" s="10"/>
    </row>
    <row r="50" spans="1:6" ht="12.75">
      <c r="A50"/>
      <c r="B50" s="10"/>
      <c r="C50" s="10"/>
      <c r="D50" s="10"/>
      <c r="F50" s="10"/>
    </row>
    <row r="51" spans="1:6" ht="12.75">
      <c r="A51" s="10"/>
      <c r="B51" s="10"/>
      <c r="C51" s="10"/>
      <c r="D51" s="10"/>
      <c r="F51" s="10"/>
    </row>
    <row r="52" spans="1:6" ht="12.75">
      <c r="A52" s="10"/>
      <c r="B52" s="10"/>
      <c r="C52" s="10"/>
      <c r="D52" s="10"/>
      <c r="F52" s="10"/>
    </row>
    <row r="53" spans="1:6" ht="12.75">
      <c r="A53" s="10"/>
      <c r="B53" s="10"/>
      <c r="C53" s="10"/>
      <c r="D53" s="10"/>
      <c r="F53" s="10"/>
    </row>
    <row r="54" spans="1:6" ht="12.75">
      <c r="A54" s="10"/>
      <c r="B54" s="10"/>
      <c r="C54" s="10"/>
      <c r="D54" s="10"/>
      <c r="F54" s="10"/>
    </row>
    <row r="55" spans="1:6" ht="12.75">
      <c r="A55" s="10"/>
      <c r="B55" s="10"/>
      <c r="C55" s="10"/>
      <c r="D55" s="10"/>
      <c r="F55" s="10"/>
    </row>
    <row r="56" spans="1:6" ht="12.75">
      <c r="A56" s="10"/>
      <c r="B56" s="10"/>
      <c r="C56" s="10"/>
      <c r="D56" s="10"/>
      <c r="F56" s="10"/>
    </row>
    <row r="57" spans="1:6" ht="12.75">
      <c r="A57" s="10"/>
      <c r="B57" s="10"/>
      <c r="C57" s="10"/>
      <c r="D57" s="10"/>
      <c r="F57" s="10"/>
    </row>
    <row r="58" spans="1:6" ht="12.75">
      <c r="A58" s="10"/>
      <c r="B58" s="10"/>
      <c r="C58" s="10"/>
      <c r="D58" s="10"/>
      <c r="F58" s="10"/>
    </row>
    <row r="59" spans="1:6" ht="12.75">
      <c r="A59" s="10"/>
      <c r="B59" s="10"/>
      <c r="C59" s="10"/>
      <c r="D59" s="10"/>
      <c r="F59" s="10"/>
    </row>
    <row r="60" spans="1:6" ht="12.75">
      <c r="A60"/>
      <c r="B60" s="10"/>
      <c r="C60" s="10"/>
      <c r="D60" s="10"/>
      <c r="F60" s="10"/>
    </row>
    <row r="61" spans="1:6" ht="12.75">
      <c r="A61"/>
      <c r="B61" s="10"/>
      <c r="C61" s="10"/>
      <c r="D61" s="10"/>
      <c r="F61" s="10"/>
    </row>
    <row r="62" spans="1:6" ht="12.75">
      <c r="A62"/>
      <c r="B62" s="10"/>
      <c r="C62" s="10"/>
      <c r="D62" s="10"/>
      <c r="F62" s="10"/>
    </row>
    <row r="63" spans="1:6" ht="12.75">
      <c r="A63"/>
      <c r="B63" s="10"/>
      <c r="C63" s="10"/>
      <c r="D63" s="10"/>
      <c r="F63" s="10"/>
    </row>
    <row r="64" spans="8:9" ht="12.75">
      <c r="H64"/>
      <c r="I64"/>
    </row>
    <row r="65" spans="8:9" ht="12.75">
      <c r="H65"/>
      <c r="I65"/>
    </row>
  </sheetData>
  <mergeCells count="1"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:E1"/>
    </sheetView>
  </sheetViews>
  <sheetFormatPr defaultColWidth="11.00390625" defaultRowHeight="12"/>
  <cols>
    <col min="1" max="1" width="10.875" style="1" customWidth="1"/>
    <col min="2" max="2" width="8.125" style="1" customWidth="1"/>
    <col min="3" max="4" width="10.875" style="2" customWidth="1"/>
    <col min="5" max="5" width="10.875" style="3" customWidth="1"/>
    <col min="6" max="6" width="7.00390625" style="1" customWidth="1"/>
    <col min="7" max="7" width="9.00390625" style="43" customWidth="1"/>
    <col min="8" max="8" width="7.50390625" style="10" customWidth="1"/>
    <col min="9" max="16384" width="10.875" style="10" customWidth="1"/>
  </cols>
  <sheetData>
    <row r="1" spans="1:5" ht="12.75">
      <c r="A1" s="179" t="s">
        <v>85</v>
      </c>
      <c r="B1" s="179"/>
      <c r="C1" s="179"/>
      <c r="D1" s="179"/>
      <c r="E1" s="179"/>
    </row>
    <row r="2" spans="1:7" s="36" customFormat="1" ht="12.75">
      <c r="A2" s="101" t="s">
        <v>174</v>
      </c>
      <c r="B2" s="107"/>
      <c r="C2" s="108"/>
      <c r="D2" s="108"/>
      <c r="E2" s="109"/>
      <c r="F2" s="44"/>
      <c r="G2" s="46"/>
    </row>
    <row r="3" spans="1:8" s="36" customFormat="1" ht="13.5" thickBot="1">
      <c r="A3" s="44"/>
      <c r="B3" s="1"/>
      <c r="C3" s="2"/>
      <c r="D3" s="2"/>
      <c r="E3" s="3"/>
      <c r="F3" s="178" t="s">
        <v>162</v>
      </c>
      <c r="G3" s="178"/>
      <c r="H3" s="178"/>
    </row>
    <row r="4" spans="1:8" ht="60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165</v>
      </c>
      <c r="G4" s="75" t="s">
        <v>163</v>
      </c>
      <c r="H4" s="42" t="s">
        <v>166</v>
      </c>
    </row>
    <row r="5" spans="1:8" ht="12.75">
      <c r="A5" s="1">
        <v>0</v>
      </c>
      <c r="C5" s="2">
        <v>0</v>
      </c>
      <c r="D5" s="2">
        <v>1970.29</v>
      </c>
      <c r="E5" s="72">
        <v>24212</v>
      </c>
      <c r="G5" s="10"/>
      <c r="H5" s="43"/>
    </row>
    <row r="6" spans="1:8" ht="12.75">
      <c r="A6" s="1">
        <v>72</v>
      </c>
      <c r="C6" s="2">
        <v>18.068</v>
      </c>
      <c r="D6" s="2">
        <v>1988.358</v>
      </c>
      <c r="E6" s="72">
        <v>30811</v>
      </c>
      <c r="F6" s="1">
        <v>4</v>
      </c>
      <c r="G6" s="10"/>
      <c r="H6" s="43"/>
    </row>
    <row r="7" spans="1:8" ht="12.75">
      <c r="A7" s="1">
        <v>82.9</v>
      </c>
      <c r="C7" s="2">
        <v>22.33</v>
      </c>
      <c r="D7" s="2">
        <v>1992.62</v>
      </c>
      <c r="E7" s="72">
        <v>32368</v>
      </c>
      <c r="F7" s="1">
        <v>3.7</v>
      </c>
      <c r="G7" s="10"/>
      <c r="H7" s="7">
        <v>2.6</v>
      </c>
    </row>
    <row r="8" spans="1:8" ht="12.75">
      <c r="A8" s="1">
        <v>90.7</v>
      </c>
      <c r="B8" s="1">
        <v>1.9</v>
      </c>
      <c r="C8" s="2">
        <v>24.294</v>
      </c>
      <c r="D8" s="2">
        <v>1994.584</v>
      </c>
      <c r="E8" s="72">
        <v>33085</v>
      </c>
      <c r="F8" s="1">
        <v>3.7</v>
      </c>
      <c r="G8" s="10"/>
      <c r="H8" s="7">
        <v>3</v>
      </c>
    </row>
    <row r="9" spans="1:8" ht="12.75">
      <c r="A9" s="1">
        <v>93.6</v>
      </c>
      <c r="B9" s="1">
        <v>2.5</v>
      </c>
      <c r="C9" s="2">
        <v>25.351</v>
      </c>
      <c r="D9" s="2">
        <v>1995.641</v>
      </c>
      <c r="E9" s="72">
        <v>33471</v>
      </c>
      <c r="F9" s="1">
        <v>3.7</v>
      </c>
      <c r="G9" s="10"/>
      <c r="H9" s="7">
        <v>3</v>
      </c>
    </row>
    <row r="10" spans="1:8" ht="12.75">
      <c r="A10" s="1">
        <v>98.5</v>
      </c>
      <c r="B10" s="1">
        <v>1.4</v>
      </c>
      <c r="C10" s="2">
        <v>26.347</v>
      </c>
      <c r="D10" s="2">
        <v>1996.637</v>
      </c>
      <c r="E10" s="72">
        <v>33835</v>
      </c>
      <c r="F10" s="1">
        <v>3.7</v>
      </c>
      <c r="G10" s="10"/>
      <c r="H10" s="7">
        <v>3.2</v>
      </c>
    </row>
    <row r="11" spans="1:8" ht="12.75">
      <c r="A11" s="1">
        <v>101.2</v>
      </c>
      <c r="B11" s="1">
        <v>0.5</v>
      </c>
      <c r="C11" s="2">
        <v>27.34</v>
      </c>
      <c r="D11" s="2">
        <v>1997.63</v>
      </c>
      <c r="E11" s="72">
        <v>34198</v>
      </c>
      <c r="F11" s="1">
        <v>3.7</v>
      </c>
      <c r="G11" s="10"/>
      <c r="H11" s="7">
        <v>3.1</v>
      </c>
    </row>
    <row r="12" spans="1:8" ht="12.75">
      <c r="A12" s="1">
        <v>103.5</v>
      </c>
      <c r="B12" s="1">
        <v>3.1</v>
      </c>
      <c r="C12" s="2">
        <v>28.395</v>
      </c>
      <c r="D12" s="2">
        <v>1998.685</v>
      </c>
      <c r="E12" s="72">
        <v>34583</v>
      </c>
      <c r="F12" s="1">
        <v>3.6</v>
      </c>
      <c r="G12" s="10"/>
      <c r="H12" s="7">
        <v>3.1</v>
      </c>
    </row>
    <row r="13" spans="1:8" ht="12.75">
      <c r="A13" s="1">
        <v>107.1</v>
      </c>
      <c r="B13" s="1">
        <v>0.7</v>
      </c>
      <c r="C13" s="2">
        <v>29.406</v>
      </c>
      <c r="D13" s="2">
        <v>1999.696</v>
      </c>
      <c r="E13" s="72">
        <v>34952</v>
      </c>
      <c r="F13" s="1">
        <v>3.6</v>
      </c>
      <c r="G13" s="10"/>
      <c r="H13" s="7">
        <v>3.1</v>
      </c>
    </row>
    <row r="14" spans="1:8" ht="12.75">
      <c r="A14" s="1">
        <v>110.5</v>
      </c>
      <c r="B14" s="1">
        <v>0.7</v>
      </c>
      <c r="C14" s="2">
        <v>30.576</v>
      </c>
      <c r="D14" s="2">
        <v>2000.866</v>
      </c>
      <c r="E14" s="72">
        <v>35380</v>
      </c>
      <c r="F14" s="1">
        <v>3.6</v>
      </c>
      <c r="G14" s="10"/>
      <c r="H14" s="7">
        <v>3.1</v>
      </c>
    </row>
    <row r="15" spans="1:8" ht="12.75">
      <c r="A15" s="1">
        <f>A14+1.6</f>
        <v>112.1</v>
      </c>
      <c r="B15" s="1">
        <v>0.4</v>
      </c>
      <c r="C15" s="2">
        <f aca="true" t="shared" si="0" ref="C15:C20">D15-$D$5</f>
        <v>31.5150000000001</v>
      </c>
      <c r="D15" s="2">
        <f aca="true" t="shared" si="1" ref="D15:D20">TRUNC(((E15-(365.25*TRUNC((E15/365.25),0)))/365.25),3)+TRUNC((E15/365.25+1904),0)+0.001</f>
        <v>2001.805</v>
      </c>
      <c r="E15" s="64">
        <v>35723</v>
      </c>
      <c r="F15" s="1">
        <f aca="true" t="shared" si="2" ref="F15:F20">A15/C15</f>
        <v>3.5570363319054303</v>
      </c>
      <c r="G15" s="7"/>
      <c r="H15" s="1">
        <f aca="true" t="shared" si="3" ref="H15:H20">(A15-$A$7)/(D15-$D$7)</f>
        <v>3.1790963527489864</v>
      </c>
    </row>
    <row r="16" spans="1:8" ht="12.75">
      <c r="A16" s="1">
        <f>A15+3.1</f>
        <v>115.19999999999999</v>
      </c>
      <c r="B16" s="1">
        <v>0.6</v>
      </c>
      <c r="C16" s="2">
        <f t="shared" si="0"/>
        <v>32.55799999999999</v>
      </c>
      <c r="D16" s="2">
        <f t="shared" si="1"/>
        <v>2002.848</v>
      </c>
      <c r="E16" s="64">
        <v>36104</v>
      </c>
      <c r="F16" s="1">
        <f t="shared" si="2"/>
        <v>3.5383008784323366</v>
      </c>
      <c r="G16" s="7"/>
      <c r="H16" s="1">
        <f t="shared" si="3"/>
        <v>3.1579976535001735</v>
      </c>
    </row>
    <row r="17" spans="1:8" ht="12.75">
      <c r="A17" s="1">
        <f>A16+3.1</f>
        <v>118.29999999999998</v>
      </c>
      <c r="B17" s="1">
        <v>0.4</v>
      </c>
      <c r="C17" s="2">
        <f t="shared" si="0"/>
        <v>33.521999999999935</v>
      </c>
      <c r="D17" s="2">
        <f t="shared" si="1"/>
        <v>2003.812</v>
      </c>
      <c r="E17" s="66">
        <v>36456</v>
      </c>
      <c r="F17" s="1">
        <f t="shared" si="2"/>
        <v>3.5290257144561843</v>
      </c>
      <c r="G17" s="7"/>
      <c r="H17" s="1">
        <f t="shared" si="3"/>
        <v>3.162973552537523</v>
      </c>
    </row>
    <row r="18" spans="1:8" ht="12.75">
      <c r="A18" s="1">
        <f>A17+1.5</f>
        <v>119.79999999999998</v>
      </c>
      <c r="B18" s="1">
        <v>0.3</v>
      </c>
      <c r="C18" s="2">
        <f t="shared" si="0"/>
        <v>34.50199999999995</v>
      </c>
      <c r="D18" s="2">
        <f t="shared" si="1"/>
        <v>2004.792</v>
      </c>
      <c r="E18" s="67">
        <v>36814</v>
      </c>
      <c r="F18" s="1">
        <f t="shared" si="2"/>
        <v>3.472262477537538</v>
      </c>
      <c r="G18" s="7"/>
      <c r="H18" s="1">
        <f t="shared" si="3"/>
        <v>3.0315478146565806</v>
      </c>
    </row>
    <row r="19" spans="1:8" ht="12.75">
      <c r="A19" s="1">
        <f>A18+3.8</f>
        <v>123.59999999999998</v>
      </c>
      <c r="B19" s="1">
        <v>0.6</v>
      </c>
      <c r="C19" s="2">
        <f t="shared" si="0"/>
        <v>35.4849999999999</v>
      </c>
      <c r="D19" s="2">
        <f t="shared" si="1"/>
        <v>2005.7749999999999</v>
      </c>
      <c r="E19" s="67">
        <v>37173</v>
      </c>
      <c r="F19" s="1">
        <f t="shared" si="2"/>
        <v>3.4831618993941196</v>
      </c>
      <c r="G19" s="7"/>
      <c r="H19" s="1">
        <f t="shared" si="3"/>
        <v>3.093880653743828</v>
      </c>
    </row>
    <row r="20" spans="1:8" ht="12.75">
      <c r="A20" s="1">
        <f>A19+3.4</f>
        <v>126.99999999999999</v>
      </c>
      <c r="B20" s="1">
        <v>0.4</v>
      </c>
      <c r="C20" s="2">
        <f t="shared" si="0"/>
        <v>36.5329999999999</v>
      </c>
      <c r="D20" s="2">
        <f t="shared" si="1"/>
        <v>2006.8229999999999</v>
      </c>
      <c r="E20" s="67">
        <v>37556</v>
      </c>
      <c r="F20" s="1">
        <f t="shared" si="2"/>
        <v>3.476309090411418</v>
      </c>
      <c r="G20" s="7" t="s">
        <v>167</v>
      </c>
      <c r="H20" s="1">
        <f t="shared" si="3"/>
        <v>3.104977821586993</v>
      </c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10"/>
      <c r="B31" s="10"/>
      <c r="C31" s="10"/>
      <c r="D31" s="10"/>
      <c r="E31" s="10"/>
      <c r="F31" s="10"/>
      <c r="G31" s="10"/>
    </row>
    <row r="32" spans="1:7" ht="12.75">
      <c r="A32" s="10"/>
      <c r="B32" s="10"/>
      <c r="C32" s="10"/>
      <c r="D32" s="10"/>
      <c r="E32" s="10"/>
      <c r="F32" s="10"/>
      <c r="G32" s="10"/>
    </row>
    <row r="33" spans="1:7" ht="12.75">
      <c r="A33" s="10"/>
      <c r="B33" s="10"/>
      <c r="C33" s="10"/>
      <c r="D33" s="10"/>
      <c r="E33" s="10"/>
      <c r="F33" s="10"/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1" spans="1:7" ht="12.75">
      <c r="A41" s="10"/>
      <c r="B41" s="10"/>
      <c r="C41" s="10"/>
      <c r="D41" s="10"/>
      <c r="E41" s="10"/>
      <c r="F41" s="10"/>
      <c r="G41" s="10"/>
    </row>
    <row r="42" spans="1:7" ht="12.75">
      <c r="A42" s="10"/>
      <c r="B42" s="10"/>
      <c r="C42" s="10"/>
      <c r="D42" s="10"/>
      <c r="E42" s="10"/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0"/>
    </row>
    <row r="44" spans="1:7" ht="12.75">
      <c r="A44" s="10"/>
      <c r="B44" s="10"/>
      <c r="C44" s="10"/>
      <c r="D44" s="10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10"/>
      <c r="C50" s="10"/>
      <c r="D50" s="10"/>
      <c r="E50" s="10"/>
      <c r="F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2.75">
      <c r="A55" s="10"/>
      <c r="B55" s="10"/>
      <c r="C55" s="10"/>
      <c r="D55" s="10"/>
      <c r="E55" s="10"/>
      <c r="F55" s="10"/>
      <c r="G55" s="10"/>
    </row>
    <row r="56" spans="1:7" ht="12.75">
      <c r="A56" s="10"/>
      <c r="B56" s="10"/>
      <c r="C56" s="10"/>
      <c r="D56" s="10"/>
      <c r="E56" s="10"/>
      <c r="F56" s="10"/>
      <c r="G56" s="10"/>
    </row>
    <row r="57" spans="1:7" ht="12.75">
      <c r="A57" s="10"/>
      <c r="B57" s="10"/>
      <c r="C57" s="10"/>
      <c r="D57" s="10"/>
      <c r="E57" s="10"/>
      <c r="F57" s="10"/>
      <c r="G57" s="10"/>
    </row>
    <row r="58" spans="1:7" ht="12.75">
      <c r="A58" s="10"/>
      <c r="B58" s="10"/>
      <c r="C58" s="10"/>
      <c r="D58" s="10"/>
      <c r="E58" s="10"/>
      <c r="F58" s="10"/>
      <c r="G58" s="10"/>
    </row>
    <row r="59" spans="1:7" ht="12.75">
      <c r="A59" s="10"/>
      <c r="B59" s="10"/>
      <c r="C59" s="10"/>
      <c r="D59" s="10"/>
      <c r="E59" s="10"/>
      <c r="F59" s="10"/>
      <c r="G59" s="10"/>
    </row>
    <row r="60" spans="1:7" ht="12.75">
      <c r="A60" s="10"/>
      <c r="B60" s="10"/>
      <c r="C60" s="10"/>
      <c r="D60" s="10"/>
      <c r="E60" s="10"/>
      <c r="F60" s="10"/>
      <c r="G60" s="10"/>
    </row>
    <row r="61" spans="1:7" ht="12.75">
      <c r="A61" s="10"/>
      <c r="B61" s="10"/>
      <c r="C61" s="10"/>
      <c r="D61" s="10"/>
      <c r="E61" s="10"/>
      <c r="F61" s="10"/>
      <c r="G61" s="10"/>
    </row>
    <row r="62" spans="1:7" ht="12.75">
      <c r="A62" s="10"/>
      <c r="B62" s="10"/>
      <c r="C62" s="10"/>
      <c r="D62" s="10"/>
      <c r="E62" s="10"/>
      <c r="F62" s="10"/>
      <c r="G62" s="10"/>
    </row>
    <row r="63" spans="1:7" ht="12.75">
      <c r="A63" s="10"/>
      <c r="B63" s="10"/>
      <c r="C63" s="10"/>
      <c r="D63" s="10"/>
      <c r="E63" s="10"/>
      <c r="F63" s="10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  <row r="66" spans="1:7" ht="12.75">
      <c r="A66" s="10"/>
      <c r="B66" s="10"/>
      <c r="C66" s="10"/>
      <c r="D66" s="10"/>
      <c r="E66" s="10"/>
      <c r="F66" s="10"/>
      <c r="G66" s="10"/>
    </row>
    <row r="67" spans="1:7" ht="12.75">
      <c r="A67" s="10"/>
      <c r="B67" s="10"/>
      <c r="C67" s="10"/>
      <c r="D67" s="10"/>
      <c r="E67" s="10"/>
      <c r="F67" s="10"/>
      <c r="G67" s="10"/>
    </row>
    <row r="68" spans="7:9" ht="12.75">
      <c r="G68"/>
      <c r="H68"/>
      <c r="I68"/>
    </row>
  </sheetData>
  <mergeCells count="2">
    <mergeCell ref="F3:H3"/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:D1"/>
    </sheetView>
  </sheetViews>
  <sheetFormatPr defaultColWidth="11.00390625" defaultRowHeight="12"/>
  <cols>
    <col min="1" max="1" width="10.875" style="1" customWidth="1"/>
    <col min="2" max="2" width="8.625" style="1" customWidth="1"/>
    <col min="3" max="3" width="10.125" style="2" customWidth="1"/>
    <col min="4" max="4" width="10.875" style="2" customWidth="1"/>
    <col min="5" max="5" width="10.875" style="3" customWidth="1"/>
    <col min="6" max="6" width="8.50390625" style="1" customWidth="1"/>
    <col min="7" max="7" width="10.875" style="1" customWidth="1"/>
    <col min="8" max="8" width="10.875" style="7" customWidth="1"/>
    <col min="9" max="16384" width="10.875" style="10" customWidth="1"/>
  </cols>
  <sheetData>
    <row r="1" spans="1:4" ht="12.75">
      <c r="A1" s="179" t="s">
        <v>85</v>
      </c>
      <c r="B1" s="179"/>
      <c r="C1" s="179"/>
      <c r="D1" s="179"/>
    </row>
    <row r="2" spans="1:8" s="36" customFormat="1" ht="12.75">
      <c r="A2" s="101" t="s">
        <v>188</v>
      </c>
      <c r="B2" s="101"/>
      <c r="C2" s="110"/>
      <c r="D2" s="110"/>
      <c r="E2" s="45"/>
      <c r="F2" s="44"/>
      <c r="G2" s="44"/>
      <c r="H2" s="48"/>
    </row>
    <row r="3" spans="1:8" s="36" customFormat="1" ht="13.5" thickBot="1">
      <c r="A3" s="44"/>
      <c r="B3" s="1"/>
      <c r="C3" s="2"/>
      <c r="D3" s="2"/>
      <c r="E3" s="3"/>
      <c r="F3" s="178" t="s">
        <v>162</v>
      </c>
      <c r="G3" s="178"/>
      <c r="H3" s="97"/>
    </row>
    <row r="4" spans="1:8" ht="24.75">
      <c r="A4" s="39" t="s">
        <v>135</v>
      </c>
      <c r="B4" s="39" t="s">
        <v>108</v>
      </c>
      <c r="C4" s="40" t="s">
        <v>109</v>
      </c>
      <c r="D4" s="40" t="s">
        <v>110</v>
      </c>
      <c r="E4" s="41" t="s">
        <v>111</v>
      </c>
      <c r="F4" s="39" t="s">
        <v>165</v>
      </c>
      <c r="G4" s="75" t="s">
        <v>163</v>
      </c>
      <c r="H4" s="98"/>
    </row>
    <row r="5" spans="1:5" ht="12.75">
      <c r="A5" s="1">
        <v>0</v>
      </c>
      <c r="B5" s="1" t="s">
        <v>168</v>
      </c>
      <c r="D5" s="2">
        <v>1974.274</v>
      </c>
      <c r="E5" s="3">
        <v>25667</v>
      </c>
    </row>
    <row r="6" spans="1:10" ht="12.75">
      <c r="A6" s="1">
        <v>52</v>
      </c>
      <c r="B6" s="1">
        <v>0.3</v>
      </c>
      <c r="C6" s="2">
        <v>14.084</v>
      </c>
      <c r="D6" s="2">
        <v>1988.358</v>
      </c>
      <c r="E6" s="3">
        <v>30811</v>
      </c>
      <c r="F6" s="1">
        <f>A6/C6</f>
        <v>3.6921329167850043</v>
      </c>
      <c r="I6" s="1"/>
      <c r="J6" s="1"/>
    </row>
    <row r="7" spans="1:10" ht="12.75">
      <c r="A7" s="1">
        <v>58.6</v>
      </c>
      <c r="B7" s="1">
        <v>0.9</v>
      </c>
      <c r="C7" s="2">
        <v>18.343</v>
      </c>
      <c r="D7" s="2">
        <v>1992.617</v>
      </c>
      <c r="E7" s="3">
        <v>32367</v>
      </c>
      <c r="F7" s="1">
        <f aca="true" t="shared" si="0" ref="F7:F21">A7/C7</f>
        <v>3.194679169165349</v>
      </c>
      <c r="I7" s="1"/>
      <c r="J7" s="1"/>
    </row>
    <row r="8" spans="1:10" ht="12.75">
      <c r="A8" s="1">
        <v>75.2</v>
      </c>
      <c r="B8" s="1">
        <v>0.9</v>
      </c>
      <c r="C8" s="2">
        <v>19.701</v>
      </c>
      <c r="D8" s="2">
        <v>1993.975</v>
      </c>
      <c r="E8" s="3">
        <v>32863</v>
      </c>
      <c r="F8" s="1">
        <f t="shared" si="0"/>
        <v>3.817065123597787</v>
      </c>
      <c r="I8" s="1"/>
      <c r="J8" s="1"/>
    </row>
    <row r="9" spans="1:10" ht="12.75">
      <c r="A9" s="1">
        <v>68.1</v>
      </c>
      <c r="B9" s="1">
        <v>1.2</v>
      </c>
      <c r="C9" s="2">
        <v>20.31</v>
      </c>
      <c r="D9" s="2">
        <v>1994.584</v>
      </c>
      <c r="E9" s="3">
        <v>33085</v>
      </c>
      <c r="F9" s="1">
        <f t="shared" si="0"/>
        <v>3.3530280649926145</v>
      </c>
      <c r="I9" s="1"/>
      <c r="J9" s="1"/>
    </row>
    <row r="10" spans="1:10" ht="12.75">
      <c r="A10" s="1">
        <v>78</v>
      </c>
      <c r="B10" s="1">
        <v>0.6</v>
      </c>
      <c r="C10" s="2">
        <v>21.362</v>
      </c>
      <c r="D10" s="2">
        <v>1995.636</v>
      </c>
      <c r="E10" s="3">
        <v>33469</v>
      </c>
      <c r="F10" s="1">
        <f t="shared" si="0"/>
        <v>3.651343507162251</v>
      </c>
      <c r="I10" s="1"/>
      <c r="J10" s="1"/>
    </row>
    <row r="11" spans="1:10" ht="12.75">
      <c r="A11" s="1">
        <v>80</v>
      </c>
      <c r="B11" s="1">
        <v>0.7</v>
      </c>
      <c r="C11" s="2">
        <v>22.357</v>
      </c>
      <c r="D11" s="2">
        <v>1996.631</v>
      </c>
      <c r="E11" s="3">
        <v>33833</v>
      </c>
      <c r="F11" s="1">
        <f t="shared" si="0"/>
        <v>3.5782976249049514</v>
      </c>
      <c r="I11" s="1"/>
      <c r="J11" s="1"/>
    </row>
    <row r="12" spans="1:10" ht="12.75">
      <c r="A12" s="1">
        <v>84.6</v>
      </c>
      <c r="B12" s="1">
        <v>1.1</v>
      </c>
      <c r="C12" s="2">
        <v>23.353</v>
      </c>
      <c r="D12" s="2">
        <v>1997.627</v>
      </c>
      <c r="E12" s="3">
        <v>34197</v>
      </c>
      <c r="F12" s="1">
        <f t="shared" si="0"/>
        <v>3.622660900098488</v>
      </c>
      <c r="I12" s="1"/>
      <c r="J12" s="1"/>
    </row>
    <row r="13" spans="1:10" ht="12.75">
      <c r="A13" s="1">
        <v>89.9</v>
      </c>
      <c r="B13" s="1">
        <v>0.4</v>
      </c>
      <c r="C13" s="2">
        <v>24.389</v>
      </c>
      <c r="D13" s="2">
        <v>1998.663</v>
      </c>
      <c r="E13" s="3">
        <v>34575</v>
      </c>
      <c r="F13" s="1">
        <f t="shared" si="0"/>
        <v>3.6860879904875152</v>
      </c>
      <c r="I13" s="1"/>
      <c r="J13" s="1"/>
    </row>
    <row r="14" spans="1:10" ht="12.75">
      <c r="A14" s="1">
        <v>93.4</v>
      </c>
      <c r="B14" s="1">
        <v>0.3</v>
      </c>
      <c r="C14" s="2">
        <v>25.386</v>
      </c>
      <c r="D14" s="2">
        <v>1999.66</v>
      </c>
      <c r="E14" s="3">
        <v>34939</v>
      </c>
      <c r="F14" s="1">
        <f t="shared" si="0"/>
        <v>3.6791932561254237</v>
      </c>
      <c r="I14" s="1"/>
      <c r="J14" s="1"/>
    </row>
    <row r="15" spans="1:10" ht="12.75">
      <c r="A15" s="1">
        <f>A14+5</f>
        <v>98.4</v>
      </c>
      <c r="B15" s="1">
        <v>0.8</v>
      </c>
      <c r="C15" s="2">
        <v>26.589</v>
      </c>
      <c r="D15" s="2">
        <v>2000.863</v>
      </c>
      <c r="E15" s="3">
        <v>35379</v>
      </c>
      <c r="F15" s="1">
        <f t="shared" si="0"/>
        <v>3.7007785174320214</v>
      </c>
      <c r="I15" s="1"/>
      <c r="J15" s="1"/>
    </row>
    <row r="16" spans="1:10" ht="12.75">
      <c r="A16" s="1">
        <f>3.6+A15</f>
        <v>102</v>
      </c>
      <c r="B16" s="1">
        <v>0.6</v>
      </c>
      <c r="C16" s="2">
        <f aca="true" t="shared" si="1" ref="C16:C21">D16-$D$5</f>
        <v>27.544000000000096</v>
      </c>
      <c r="D16" s="2">
        <f aca="true" t="shared" si="2" ref="D16:D21">TRUNC(((E16-(365.25*TRUNC((E16/365.25),0)))/365.25),3)+TRUNC((E16/365.25+1904),0)+0.001</f>
        <v>2001.818</v>
      </c>
      <c r="E16" s="3">
        <v>35728</v>
      </c>
      <c r="F16" s="1">
        <f t="shared" si="0"/>
        <v>3.7031658437409107</v>
      </c>
      <c r="I16" s="1"/>
      <c r="J16" s="1"/>
    </row>
    <row r="17" spans="1:6" ht="12.75">
      <c r="A17" s="1">
        <f>A16+3.1</f>
        <v>105.1</v>
      </c>
      <c r="B17" s="1">
        <v>0.9</v>
      </c>
      <c r="C17" s="2">
        <f t="shared" si="1"/>
        <v>28.560000000000173</v>
      </c>
      <c r="D17" s="2">
        <f t="shared" si="2"/>
        <v>2002.834</v>
      </c>
      <c r="E17" s="70">
        <v>36099</v>
      </c>
      <c r="F17" s="1">
        <f t="shared" si="0"/>
        <v>3.679971988795496</v>
      </c>
    </row>
    <row r="18" spans="1:6" ht="12.75">
      <c r="A18" s="1">
        <f>A17+3.4</f>
        <v>108.5</v>
      </c>
      <c r="B18" s="1">
        <v>0.7</v>
      </c>
      <c r="C18" s="2">
        <f t="shared" si="1"/>
        <v>29.521000000000186</v>
      </c>
      <c r="D18" s="2">
        <f t="shared" si="2"/>
        <v>2003.795</v>
      </c>
      <c r="E18" s="71">
        <v>36450</v>
      </c>
      <c r="F18" s="1">
        <f t="shared" si="0"/>
        <v>3.675349751024671</v>
      </c>
    </row>
    <row r="19" spans="1:6" ht="12.75">
      <c r="A19" s="1">
        <f>A18+5.5</f>
        <v>114</v>
      </c>
      <c r="B19" s="1">
        <v>0.9</v>
      </c>
      <c r="C19" s="2">
        <f t="shared" si="1"/>
        <v>30.51800000000003</v>
      </c>
      <c r="D19" s="2">
        <f t="shared" si="2"/>
        <v>2004.792</v>
      </c>
      <c r="E19" s="67">
        <v>36814</v>
      </c>
      <c r="F19" s="1">
        <f t="shared" si="0"/>
        <v>3.7355003604430137</v>
      </c>
    </row>
    <row r="20" spans="1:6" ht="12.75">
      <c r="A20" s="1">
        <f>A19+4.4</f>
        <v>118.4</v>
      </c>
      <c r="B20" s="1">
        <v>0.9</v>
      </c>
      <c r="C20" s="2">
        <f t="shared" si="1"/>
        <v>31.49500000000012</v>
      </c>
      <c r="D20" s="2">
        <f t="shared" si="2"/>
        <v>2005.769</v>
      </c>
      <c r="E20" s="67">
        <v>37171</v>
      </c>
      <c r="F20" s="1">
        <f t="shared" si="0"/>
        <v>3.7593268772820942</v>
      </c>
    </row>
    <row r="21" spans="1:7" ht="12.75">
      <c r="A21" s="1">
        <f>A20+7.9</f>
        <v>126.30000000000001</v>
      </c>
      <c r="B21" s="1">
        <v>0.6</v>
      </c>
      <c r="C21" s="2">
        <f t="shared" si="1"/>
        <v>32.53300000000013</v>
      </c>
      <c r="D21" s="2">
        <f t="shared" si="2"/>
        <v>2006.807</v>
      </c>
      <c r="E21" s="67">
        <v>37550</v>
      </c>
      <c r="F21" s="1">
        <f t="shared" si="0"/>
        <v>3.8822119079088773</v>
      </c>
      <c r="G21" s="1" t="s">
        <v>169</v>
      </c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0"/>
      <c r="B40" s="10"/>
      <c r="C40" s="10"/>
      <c r="D40" s="10"/>
      <c r="E40" s="10"/>
      <c r="F40" s="10"/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  <row r="45" spans="1:8" ht="12.75">
      <c r="A45" s="10"/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10"/>
      <c r="B47" s="10"/>
      <c r="C47" s="10"/>
      <c r="D47" s="10"/>
      <c r="E47" s="10"/>
      <c r="F47" s="10"/>
      <c r="G47" s="10"/>
      <c r="H47" s="10"/>
    </row>
    <row r="48" spans="1:8" ht="12.75">
      <c r="A48" s="10"/>
      <c r="B48" s="10"/>
      <c r="C48" s="10"/>
      <c r="D48" s="10"/>
      <c r="E48" s="10"/>
      <c r="F48" s="10"/>
      <c r="G48" s="10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>
      <c r="A50" s="10"/>
      <c r="B50" s="10"/>
      <c r="C50" s="10"/>
      <c r="D50" s="10"/>
      <c r="E50" s="10"/>
      <c r="F50" s="10"/>
      <c r="G50" s="10"/>
      <c r="H50" s="10"/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</sheetData>
  <mergeCells count="2">
    <mergeCell ref="A1:D1"/>
    <mergeCell ref="F3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USGS contact: James J. Lienkaemper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File Report OF 02-225</dc:title>
  <dc:subject>Fault creep data San Francisco Bay Region 1979-2001</dc:subject>
  <dc:creator>Jon S. Galehouse</dc:creator>
  <cp:keywords/>
  <dc:description/>
  <cp:lastModifiedBy>James Lienkaemper</cp:lastModifiedBy>
  <cp:lastPrinted>2007-02-01T20:42:36Z</cp:lastPrinted>
  <dcterms:created xsi:type="dcterms:W3CDTF">2002-04-22T17:49:33Z</dcterms:created>
  <cp:category/>
  <cp:version/>
  <cp:contentType/>
  <cp:contentStatus/>
</cp:coreProperties>
</file>