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80" yWindow="480" windowWidth="30510" windowHeight="11955" tabRatio="583"/>
  </bookViews>
  <sheets>
    <sheet name="ParachuteMesaverd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29" i="1"/>
  <c r="X29"/>
  <c r="X26" l="1"/>
  <c r="Y26"/>
  <c r="X27"/>
  <c r="Y27"/>
  <c r="X28"/>
  <c r="Y28"/>
  <c r="X30"/>
  <c r="Y30"/>
  <c r="X31"/>
  <c r="Y31"/>
  <c r="X32"/>
  <c r="Y32"/>
  <c r="P34"/>
  <c r="P35"/>
  <c r="P36"/>
  <c r="P37"/>
  <c r="P38"/>
  <c r="I36"/>
  <c r="I37"/>
  <c r="I38"/>
  <c r="I35"/>
  <c r="I34"/>
  <c r="T5"/>
  <c r="U5"/>
  <c r="V5"/>
  <c r="T6"/>
  <c r="T26" s="1"/>
  <c r="U6"/>
  <c r="T7"/>
  <c r="U7"/>
  <c r="V7"/>
  <c r="T8"/>
  <c r="T9"/>
  <c r="T10"/>
  <c r="T11"/>
  <c r="U11"/>
  <c r="V11"/>
  <c r="T12"/>
  <c r="U12"/>
  <c r="V12"/>
  <c r="T13"/>
  <c r="T14"/>
  <c r="T15"/>
  <c r="U15"/>
  <c r="V15"/>
  <c r="T16"/>
  <c r="U16"/>
  <c r="V16"/>
  <c r="T17"/>
  <c r="T18"/>
  <c r="U18"/>
  <c r="V18"/>
  <c r="T19"/>
  <c r="U19"/>
  <c r="V19"/>
  <c r="T20"/>
  <c r="U20"/>
  <c r="V20"/>
  <c r="T21"/>
  <c r="T22"/>
  <c r="T23"/>
  <c r="V4"/>
  <c r="U4"/>
  <c r="T4"/>
  <c r="R5"/>
  <c r="R6"/>
  <c r="R7"/>
  <c r="R9"/>
  <c r="R11"/>
  <c r="R12"/>
  <c r="R15"/>
  <c r="R16"/>
  <c r="R18"/>
  <c r="R19"/>
  <c r="R20"/>
  <c r="R4"/>
  <c r="R26" s="1"/>
  <c r="K5"/>
  <c r="K6"/>
  <c r="V6" s="1"/>
  <c r="K7"/>
  <c r="K11"/>
  <c r="K12"/>
  <c r="K13"/>
  <c r="K14"/>
  <c r="K15"/>
  <c r="K16"/>
  <c r="K17"/>
  <c r="K18"/>
  <c r="K19"/>
  <c r="K20"/>
  <c r="K21"/>
  <c r="K22"/>
  <c r="K4"/>
  <c r="K26" s="1"/>
  <c r="J26"/>
  <c r="O26"/>
  <c r="P26"/>
  <c r="Q26"/>
  <c r="J27"/>
  <c r="O27"/>
  <c r="P27"/>
  <c r="Q27"/>
  <c r="J28"/>
  <c r="O28"/>
  <c r="P28"/>
  <c r="Q28"/>
  <c r="P29"/>
  <c r="J30"/>
  <c r="O30"/>
  <c r="P30"/>
  <c r="Q30"/>
  <c r="J31"/>
  <c r="O31"/>
  <c r="P31"/>
  <c r="Q31"/>
  <c r="J32"/>
  <c r="O32"/>
  <c r="P32"/>
  <c r="Q32"/>
  <c r="I29"/>
  <c r="I26"/>
  <c r="I27"/>
  <c r="I28"/>
  <c r="I30"/>
  <c r="I31"/>
  <c r="I32"/>
  <c r="H32"/>
  <c r="H31"/>
  <c r="H30"/>
  <c r="H28"/>
  <c r="H27"/>
  <c r="H26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D5"/>
  <c r="AF5"/>
  <c r="AD6"/>
  <c r="AF6"/>
  <c r="AD7"/>
  <c r="AF7"/>
  <c r="AD8"/>
  <c r="AF8"/>
  <c r="AD9"/>
  <c r="AF9"/>
  <c r="AD10"/>
  <c r="AF10"/>
  <c r="AD11"/>
  <c r="AF11"/>
  <c r="AD12"/>
  <c r="AF12"/>
  <c r="AD13"/>
  <c r="AF13"/>
  <c r="AD14"/>
  <c r="AF14"/>
  <c r="AD15"/>
  <c r="AF15"/>
  <c r="AD16"/>
  <c r="AF16"/>
  <c r="AD17"/>
  <c r="AF17"/>
  <c r="AD18"/>
  <c r="AF18"/>
  <c r="AD19"/>
  <c r="AF19"/>
  <c r="AD20"/>
  <c r="AF20"/>
  <c r="AD21"/>
  <c r="AF21"/>
  <c r="AD22"/>
  <c r="AF22"/>
  <c r="AD23"/>
  <c r="AF23"/>
  <c r="AE4"/>
  <c r="AD4"/>
  <c r="AF4"/>
  <c r="T32" l="1"/>
  <c r="T31"/>
  <c r="T30"/>
  <c r="T28"/>
  <c r="T27"/>
  <c r="K32"/>
  <c r="K31"/>
  <c r="K30"/>
  <c r="K28"/>
  <c r="K27"/>
  <c r="R32"/>
  <c r="R31"/>
  <c r="R30"/>
  <c r="R28"/>
  <c r="R27"/>
</calcChain>
</file>

<file path=xl/sharedStrings.xml><?xml version="1.0" encoding="utf-8"?>
<sst xmlns="http://schemas.openxmlformats.org/spreadsheetml/2006/main" count="323" uniqueCount="124">
  <si>
    <t>API</t>
  </si>
  <si>
    <t>Well Number</t>
  </si>
  <si>
    <t>Year</t>
  </si>
  <si>
    <t>Months</t>
  </si>
  <si>
    <t>Latitude</t>
  </si>
  <si>
    <t>Longitude</t>
  </si>
  <si>
    <t>GV-49-3 FORSHEE</t>
  </si>
  <si>
    <t>49</t>
  </si>
  <si>
    <t>GV-65-2 HOAGLUND</t>
  </si>
  <si>
    <t>65</t>
  </si>
  <si>
    <t>GV-79-35 HOAGLUND</t>
  </si>
  <si>
    <t>79</t>
  </si>
  <si>
    <t>EXXON GV</t>
  </si>
  <si>
    <t>81-5</t>
  </si>
  <si>
    <t>DOE</t>
  </si>
  <si>
    <t>1</t>
  </si>
  <si>
    <t>1-M-29</t>
  </si>
  <si>
    <t>DERE</t>
  </si>
  <si>
    <t>47</t>
  </si>
  <si>
    <t>CLOUGH</t>
  </si>
  <si>
    <t>23</t>
  </si>
  <si>
    <t>BENTLEY #11-24</t>
  </si>
  <si>
    <t>24</t>
  </si>
  <si>
    <t>BATTLEMENT MESA PARTNERS</t>
  </si>
  <si>
    <t>82</t>
  </si>
  <si>
    <t>PA-43-32 E</t>
  </si>
  <si>
    <t>43</t>
  </si>
  <si>
    <t>PA-14-36</t>
  </si>
  <si>
    <t>14</t>
  </si>
  <si>
    <t>PA-12-33 M</t>
  </si>
  <si>
    <t>12</t>
  </si>
  <si>
    <t>PA 24-32 M</t>
  </si>
  <si>
    <t>PA 1-32 EX</t>
  </si>
  <si>
    <t>PA</t>
  </si>
  <si>
    <t>44</t>
  </si>
  <si>
    <t>42</t>
  </si>
  <si>
    <t>KNIGHT GV</t>
  </si>
  <si>
    <t>52-3</t>
  </si>
  <si>
    <t>51-4</t>
  </si>
  <si>
    <t>GV-88-1 GVR CO</t>
  </si>
  <si>
    <t>88</t>
  </si>
  <si>
    <t>05045068330000</t>
  </si>
  <si>
    <t>1-M-31</t>
  </si>
  <si>
    <t>05045067970001</t>
  </si>
  <si>
    <t>05045070990000</t>
  </si>
  <si>
    <t>05045072820000</t>
  </si>
  <si>
    <t>05045070970000</t>
  </si>
  <si>
    <t>05045071960000</t>
  </si>
  <si>
    <t>05045070980000</t>
  </si>
  <si>
    <t>05045070960000</t>
  </si>
  <si>
    <t>05045071760000</t>
  </si>
  <si>
    <t>05045071750000</t>
  </si>
  <si>
    <t>05045067000000</t>
  </si>
  <si>
    <t>BARRETT RES CORP</t>
  </si>
  <si>
    <t>BARRETT ENERGY CO</t>
  </si>
  <si>
    <t>DEPT OF ENERGY</t>
  </si>
  <si>
    <t>US DEPTMNT OF ENRGY</t>
  </si>
  <si>
    <t>BROWN TOM INC</t>
  </si>
  <si>
    <t>OctNovDec</t>
  </si>
  <si>
    <t>JanFebMar</t>
  </si>
  <si>
    <t>SepOctNov</t>
  </si>
  <si>
    <t>MayJuneJuly</t>
  </si>
  <si>
    <t>MarAprMay</t>
  </si>
  <si>
    <t>AprMayJune</t>
  </si>
  <si>
    <t>JuneJulyAug</t>
  </si>
  <si>
    <t>JulyAugSep</t>
  </si>
  <si>
    <t>FebMarApr</t>
  </si>
  <si>
    <t>7S</t>
  </si>
  <si>
    <t>6S</t>
  </si>
  <si>
    <t>95W</t>
  </si>
  <si>
    <t>F, A</t>
  </si>
  <si>
    <t>F</t>
  </si>
  <si>
    <t>Operator</t>
  </si>
  <si>
    <t>Top Perforation Depth (ft)</t>
  </si>
  <si>
    <t>Bottom Perforation Depth (ft)</t>
  </si>
  <si>
    <t>Number of Perforations</t>
  </si>
  <si>
    <t>Number of Intervals</t>
  </si>
  <si>
    <t>Treatment</t>
  </si>
  <si>
    <t>Reference Elevation (ft)</t>
  </si>
  <si>
    <t>Top Perforation Elevation (ft)</t>
  </si>
  <si>
    <t>Bottom Perforation Elevation (ft)</t>
  </si>
  <si>
    <t>Perforation Interval (ft)</t>
  </si>
  <si>
    <t>Lease Name</t>
  </si>
  <si>
    <t>minimum</t>
  </si>
  <si>
    <t>maximum</t>
  </si>
  <si>
    <t>median</t>
  </si>
  <si>
    <t>geometric mean</t>
  </si>
  <si>
    <t>arithmetic mean</t>
  </si>
  <si>
    <t>standard deviation</t>
  </si>
  <si>
    <t>count</t>
  </si>
  <si>
    <t>Well Identification</t>
  </si>
  <si>
    <t>Production Data - First Sample</t>
  </si>
  <si>
    <t>Water-Gas Ratio (bbl/mmcf)</t>
  </si>
  <si>
    <t>Production Data - Second Sample</t>
  </si>
  <si>
    <t>Perforation Data</t>
  </si>
  <si>
    <t>Location</t>
  </si>
  <si>
    <t>Gas</t>
  </si>
  <si>
    <t>Water</t>
  </si>
  <si>
    <t>Water-Gas Ratio</t>
  </si>
  <si>
    <t>--</t>
  </si>
  <si>
    <t>Lease Name, Well Number, Latitude, and Longitude from Colorado Oil and Gas Conservation Commission</t>
  </si>
  <si>
    <t>Production data derived from data provided by IHS Energy</t>
  </si>
  <si>
    <t>Perforation data from IHS Energy</t>
  </si>
  <si>
    <t>05045067090002</t>
  </si>
  <si>
    <t>05045067010001</t>
  </si>
  <si>
    <t>05045066790001</t>
  </si>
  <si>
    <t>05045067350002</t>
  </si>
  <si>
    <t>05045068490001</t>
  </si>
  <si>
    <t>05045066520002</t>
  </si>
  <si>
    <t>05045066490002</t>
  </si>
  <si>
    <t>05045066860002</t>
  </si>
  <si>
    <t>05045066510002</t>
  </si>
  <si>
    <r>
      <t xml:space="preserve">Oil Average </t>
    </r>
    <r>
      <rPr>
        <sz val="9"/>
        <color indexed="8"/>
        <rFont val="MS Reference Sans Serif"/>
        <family val="2"/>
      </rPr>
      <t>(bbl/day)</t>
    </r>
  </si>
  <si>
    <r>
      <t xml:space="preserve">Gas Average </t>
    </r>
    <r>
      <rPr>
        <sz val="9"/>
        <color indexed="8"/>
        <rFont val="MS Reference Sans Serif"/>
        <family val="2"/>
      </rPr>
      <t>(mcf/day)</t>
    </r>
  </si>
  <si>
    <r>
      <t xml:space="preserve">Water Average </t>
    </r>
    <r>
      <rPr>
        <sz val="9"/>
        <color indexed="8"/>
        <rFont val="MS Reference Sans Serif"/>
        <family val="2"/>
      </rPr>
      <t>(bbl/day)</t>
    </r>
  </si>
  <si>
    <t>Second Sample/ First Sample Ratios</t>
  </si>
  <si>
    <t>Township</t>
  </si>
  <si>
    <t>Range</t>
  </si>
  <si>
    <t>Section</t>
  </si>
  <si>
    <t>EXPLANATION</t>
  </si>
  <si>
    <t>STATISTICS</t>
  </si>
  <si>
    <t>1st quartile</t>
  </si>
  <si>
    <t>3rd quartile</t>
  </si>
  <si>
    <t>Appendix 4.  Spreadsheet with well names and data for Mesaverde Group, Parachute Field.  [API, American Petroleum Institute; bbl, barrels; mcf, thousand cubic feet; mmcf, millions of cubic feet; F, fractured; A, acidized; Latitude and Longitude data taken from the Colorado Oil &amp; Gas Commission web]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</si>
</sst>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9"/>
      <name val="MS Reference Sans Serif"/>
      <family val="2"/>
    </font>
    <font>
      <b/>
      <sz val="9"/>
      <name val="MS Reference Sans Serif"/>
      <family val="2"/>
    </font>
    <font>
      <sz val="9"/>
      <color rgb="FF000000"/>
      <name val="MS Reference Sans Serif"/>
      <family val="2"/>
    </font>
    <font>
      <sz val="9"/>
      <color theme="1"/>
      <name val="MS Reference Sans Serif"/>
      <family val="2"/>
    </font>
    <font>
      <b/>
      <sz val="9"/>
      <color theme="1"/>
      <name val="MS Reference Sans Serif"/>
      <family val="2"/>
    </font>
    <font>
      <sz val="9"/>
      <color indexed="8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3" fillId="0" borderId="4" xfId="0" applyNumberFormat="1" applyFont="1" applyFill="1" applyBorder="1" applyAlignment="1" applyProtection="1">
      <alignment horizontal="center" vertical="top" wrapText="1"/>
    </xf>
    <xf numFmtId="2" fontId="3" fillId="0" borderId="15" xfId="0" applyNumberFormat="1" applyFont="1" applyFill="1" applyBorder="1" applyAlignment="1" applyProtection="1">
      <alignment horizontal="center" vertical="top" wrapText="1"/>
    </xf>
    <xf numFmtId="2" fontId="3" fillId="0" borderId="16" xfId="0" applyNumberFormat="1" applyFont="1" applyFill="1" applyBorder="1" applyAlignment="1" applyProtection="1">
      <alignment horizontal="center" vertical="top" wrapText="1"/>
    </xf>
    <xf numFmtId="2" fontId="3" fillId="0" borderId="17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>
      <alignment vertical="center"/>
    </xf>
    <xf numFmtId="2" fontId="4" fillId="0" borderId="0" xfId="0" applyNumberFormat="1" applyFont="1"/>
    <xf numFmtId="49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4" fillId="0" borderId="0" xfId="0" quotePrefix="1" applyNumberFormat="1" applyFont="1" applyAlignment="1">
      <alignment horizontal="right" indent="1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/>
    <xf numFmtId="0" fontId="4" fillId="0" borderId="0" xfId="0" applyFont="1" applyFill="1"/>
    <xf numFmtId="2" fontId="4" fillId="0" borderId="0" xfId="0" quotePrefix="1" applyNumberFormat="1" applyFont="1" applyAlignment="1">
      <alignment horizontal="right"/>
    </xf>
    <xf numFmtId="1" fontId="4" fillId="0" borderId="0" xfId="0" applyNumberFormat="1" applyFont="1"/>
    <xf numFmtId="1" fontId="4" fillId="0" borderId="0" xfId="0" quotePrefix="1" applyNumberFormat="1" applyFont="1" applyAlignment="1">
      <alignment horizontal="right" indent="1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right" vertical="center"/>
    </xf>
    <xf numFmtId="0" fontId="4" fillId="0" borderId="0" xfId="0" quotePrefix="1" applyFont="1" applyFill="1"/>
    <xf numFmtId="49" fontId="6" fillId="0" borderId="0" xfId="0" quotePrefix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right" vertical="center" wrapText="1"/>
    </xf>
    <xf numFmtId="2" fontId="6" fillId="0" borderId="1" xfId="0" quotePrefix="1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>
      <pane xSplit="1" ySplit="3" topLeftCell="R4" activePane="bottomRight" state="frozen"/>
      <selection pane="topRight" activeCell="B1" sqref="B1"/>
      <selection pane="bottomLeft" activeCell="A3" sqref="A3"/>
      <selection pane="bottomRight" activeCell="S13" sqref="S13"/>
    </sheetView>
  </sheetViews>
  <sheetFormatPr defaultColWidth="18.28515625" defaultRowHeight="13.5"/>
  <cols>
    <col min="1" max="1" width="18.140625" style="6" customWidth="1"/>
    <col min="2" max="2" width="28" style="6" customWidth="1"/>
    <col min="3" max="3" width="12.42578125" style="6" bestFit="1" customWidth="1"/>
    <col min="4" max="4" width="22.140625" style="6" bestFit="1" customWidth="1"/>
    <col min="5" max="5" width="4.28515625" style="6" customWidth="1"/>
    <col min="6" max="6" width="5.5703125" style="6" bestFit="1" customWidth="1"/>
    <col min="7" max="7" width="12" style="6" bestFit="1" customWidth="1"/>
    <col min="8" max="8" width="11.42578125" style="22" customWidth="1"/>
    <col min="9" max="9" width="12.5703125" style="22" customWidth="1"/>
    <col min="10" max="10" width="14.7109375" style="22" customWidth="1"/>
    <col min="11" max="11" width="15.5703125" style="22" customWidth="1"/>
    <col min="12" max="12" width="3.7109375" style="6" customWidth="1"/>
    <col min="13" max="13" width="5.5703125" style="6" bestFit="1" customWidth="1"/>
    <col min="14" max="14" width="12" style="6" bestFit="1" customWidth="1"/>
    <col min="15" max="15" width="11.140625" style="22" customWidth="1"/>
    <col min="16" max="16" width="12.5703125" style="22" customWidth="1"/>
    <col min="17" max="17" width="15.140625" style="22" customWidth="1"/>
    <col min="18" max="18" width="15.5703125" style="22" customWidth="1"/>
    <col min="19" max="19" width="4" style="6" customWidth="1"/>
    <col min="20" max="22" width="12.7109375" style="22" customWidth="1"/>
    <col min="23" max="23" width="3.5703125" style="6" customWidth="1"/>
    <col min="24" max="24" width="15" style="6" customWidth="1"/>
    <col min="25" max="25" width="19.140625" style="6" customWidth="1"/>
    <col min="26" max="26" width="12.7109375" style="6" customWidth="1"/>
    <col min="27" max="27" width="11.42578125" style="6" customWidth="1"/>
    <col min="28" max="28" width="10.28515625" style="6" bestFit="1" customWidth="1"/>
    <col min="29" max="29" width="14.140625" style="25" customWidth="1"/>
    <col min="30" max="30" width="14.7109375" style="25" customWidth="1"/>
    <col min="31" max="31" width="18" style="25" customWidth="1"/>
    <col min="32" max="32" width="11.28515625" style="25" customWidth="1"/>
    <col min="33" max="33" width="4" style="6" customWidth="1"/>
    <col min="34" max="36" width="9.7109375" style="25" customWidth="1"/>
    <col min="37" max="37" width="11.28515625" style="6" bestFit="1" customWidth="1"/>
    <col min="38" max="38" width="13.28515625" style="6" bestFit="1" customWidth="1"/>
    <col min="39" max="16384" width="18.28515625" style="6"/>
  </cols>
  <sheetData>
    <row r="1" spans="1:38" ht="15" customHeight="1" thickBot="1">
      <c r="A1" s="6" t="s">
        <v>123</v>
      </c>
    </row>
    <row r="2" spans="1:38" s="7" customFormat="1">
      <c r="A2" s="53" t="s">
        <v>90</v>
      </c>
      <c r="B2" s="54"/>
      <c r="C2" s="54"/>
      <c r="D2" s="55"/>
      <c r="F2" s="56" t="s">
        <v>91</v>
      </c>
      <c r="G2" s="57"/>
      <c r="H2" s="57"/>
      <c r="I2" s="57"/>
      <c r="J2" s="57"/>
      <c r="K2" s="57"/>
      <c r="L2" s="8"/>
      <c r="M2" s="58" t="s">
        <v>93</v>
      </c>
      <c r="N2" s="59"/>
      <c r="O2" s="59"/>
      <c r="P2" s="59"/>
      <c r="Q2" s="59"/>
      <c r="R2" s="59"/>
      <c r="T2" s="49" t="s">
        <v>115</v>
      </c>
      <c r="U2" s="50"/>
      <c r="V2" s="51"/>
      <c r="X2" s="58" t="s">
        <v>94</v>
      </c>
      <c r="Y2" s="59"/>
      <c r="Z2" s="59"/>
      <c r="AA2" s="59"/>
      <c r="AB2" s="59"/>
      <c r="AC2" s="59"/>
      <c r="AD2" s="59"/>
      <c r="AE2" s="59"/>
      <c r="AF2" s="59"/>
      <c r="AH2" s="47" t="s">
        <v>95</v>
      </c>
      <c r="AI2" s="47"/>
      <c r="AJ2" s="47"/>
      <c r="AK2" s="47"/>
      <c r="AL2" s="48"/>
    </row>
    <row r="3" spans="1:38" s="17" customFormat="1" ht="26.1" customHeight="1" thickBot="1">
      <c r="A3" s="9" t="s">
        <v>0</v>
      </c>
      <c r="B3" s="10" t="s">
        <v>82</v>
      </c>
      <c r="C3" s="11" t="s">
        <v>1</v>
      </c>
      <c r="D3" s="12" t="s">
        <v>72</v>
      </c>
      <c r="E3" s="13"/>
      <c r="F3" s="14" t="s">
        <v>2</v>
      </c>
      <c r="G3" s="10" t="s">
        <v>3</v>
      </c>
      <c r="H3" s="15" t="s">
        <v>112</v>
      </c>
      <c r="I3" s="15" t="s">
        <v>113</v>
      </c>
      <c r="J3" s="15" t="s">
        <v>114</v>
      </c>
      <c r="K3" s="1" t="s">
        <v>92</v>
      </c>
      <c r="L3" s="16"/>
      <c r="M3" s="14" t="s">
        <v>2</v>
      </c>
      <c r="N3" s="10" t="s">
        <v>3</v>
      </c>
      <c r="O3" s="15" t="s">
        <v>112</v>
      </c>
      <c r="P3" s="15" t="s">
        <v>113</v>
      </c>
      <c r="Q3" s="1" t="s">
        <v>114</v>
      </c>
      <c r="R3" s="1" t="s">
        <v>92</v>
      </c>
      <c r="T3" s="2" t="s">
        <v>96</v>
      </c>
      <c r="U3" s="3" t="s">
        <v>97</v>
      </c>
      <c r="V3" s="4" t="s">
        <v>98</v>
      </c>
      <c r="X3" s="42" t="s">
        <v>73</v>
      </c>
      <c r="Y3" s="43" t="s">
        <v>74</v>
      </c>
      <c r="Z3" s="43" t="s">
        <v>75</v>
      </c>
      <c r="AA3" s="43" t="s">
        <v>76</v>
      </c>
      <c r="AB3" s="43" t="s">
        <v>77</v>
      </c>
      <c r="AC3" s="43" t="s">
        <v>78</v>
      </c>
      <c r="AD3" s="44" t="s">
        <v>79</v>
      </c>
      <c r="AE3" s="44" t="s">
        <v>80</v>
      </c>
      <c r="AF3" s="45" t="s">
        <v>81</v>
      </c>
      <c r="AG3" s="18"/>
      <c r="AH3" s="19" t="s">
        <v>118</v>
      </c>
      <c r="AI3" s="19" t="s">
        <v>116</v>
      </c>
      <c r="AJ3" s="19" t="s">
        <v>117</v>
      </c>
      <c r="AK3" s="10" t="s">
        <v>4</v>
      </c>
      <c r="AL3" s="20" t="s">
        <v>5</v>
      </c>
    </row>
    <row r="4" spans="1:38">
      <c r="A4" s="21" t="s">
        <v>104</v>
      </c>
      <c r="B4" s="21" t="s">
        <v>6</v>
      </c>
      <c r="C4" s="21" t="s">
        <v>7</v>
      </c>
      <c r="D4" s="21" t="s">
        <v>53</v>
      </c>
      <c r="F4" s="6">
        <v>2000</v>
      </c>
      <c r="G4" s="6" t="s">
        <v>59</v>
      </c>
      <c r="H4" s="34" t="s">
        <v>99</v>
      </c>
      <c r="I4" s="22">
        <v>222.99888765294773</v>
      </c>
      <c r="J4" s="22">
        <v>0.83870967741935487</v>
      </c>
      <c r="K4" s="22">
        <f>1000*J4/I4</f>
        <v>3.7610487040842795</v>
      </c>
      <c r="M4" s="6">
        <v>2005</v>
      </c>
      <c r="N4" s="6" t="s">
        <v>59</v>
      </c>
      <c r="O4" s="34" t="s">
        <v>99</v>
      </c>
      <c r="P4" s="22">
        <v>183.12711213517665</v>
      </c>
      <c r="Q4" s="22">
        <v>1.2903225806451613</v>
      </c>
      <c r="R4" s="22">
        <f>1000*Q4/P4</f>
        <v>7.0460488651876956</v>
      </c>
      <c r="T4" s="22">
        <f>P4/I4</f>
        <v>0.82120190850537622</v>
      </c>
      <c r="U4" s="22">
        <f>Q4/J4</f>
        <v>1.5384615384615383</v>
      </c>
      <c r="V4" s="22">
        <f>R4/K4</f>
        <v>1.873426647609242</v>
      </c>
      <c r="X4" s="37">
        <v>4852</v>
      </c>
      <c r="Y4" s="37">
        <v>6472</v>
      </c>
      <c r="Z4" s="38">
        <v>84</v>
      </c>
      <c r="AA4" s="39">
        <v>5</v>
      </c>
      <c r="AB4" s="33" t="s">
        <v>70</v>
      </c>
      <c r="AC4" s="23">
        <v>5132</v>
      </c>
      <c r="AD4" s="24">
        <f>AC4-X4</f>
        <v>280</v>
      </c>
      <c r="AE4" s="24">
        <f>AC4-Y4</f>
        <v>-1340</v>
      </c>
      <c r="AF4" s="24">
        <f>AD4-AE4</f>
        <v>1620</v>
      </c>
      <c r="AH4" s="25">
        <v>3</v>
      </c>
      <c r="AI4" s="25" t="s">
        <v>67</v>
      </c>
      <c r="AJ4" s="25" t="s">
        <v>69</v>
      </c>
      <c r="AK4" s="6">
        <v>39.471688999999998</v>
      </c>
      <c r="AL4" s="6">
        <v>-107.982342</v>
      </c>
    </row>
    <row r="5" spans="1:38">
      <c r="A5" s="21" t="s">
        <v>103</v>
      </c>
      <c r="B5" s="21" t="s">
        <v>8</v>
      </c>
      <c r="C5" s="21" t="s">
        <v>9</v>
      </c>
      <c r="D5" s="21" t="s">
        <v>53</v>
      </c>
      <c r="F5" s="26">
        <v>2000</v>
      </c>
      <c r="G5" s="21" t="s">
        <v>59</v>
      </c>
      <c r="H5" s="34" t="s">
        <v>99</v>
      </c>
      <c r="I5" s="27">
        <v>60.569892473118273</v>
      </c>
      <c r="J5" s="27">
        <v>2.172043010752688</v>
      </c>
      <c r="K5" s="22">
        <f t="shared" ref="K5:K22" si="0">1000*J5/I5</f>
        <v>35.86011006568436</v>
      </c>
      <c r="M5" s="26">
        <v>2005</v>
      </c>
      <c r="N5" s="21" t="s">
        <v>59</v>
      </c>
      <c r="O5" s="34" t="s">
        <v>99</v>
      </c>
      <c r="P5" s="27">
        <v>72.217741935483872</v>
      </c>
      <c r="Q5" s="27">
        <v>5.7104454685099846</v>
      </c>
      <c r="R5" s="22">
        <f t="shared" ref="R5:R20" si="1">1000*Q5/P5</f>
        <v>79.072611735928319</v>
      </c>
      <c r="T5" s="22">
        <f t="shared" ref="T5:T23" si="2">P5/I5</f>
        <v>1.1923042783596665</v>
      </c>
      <c r="U5" s="22">
        <f t="shared" ref="U5:U20" si="3">Q5/J5</f>
        <v>2.6290664780763793</v>
      </c>
      <c r="V5" s="22">
        <f t="shared" ref="V5:V20" si="4">R5/K5</f>
        <v>2.2050298114281399</v>
      </c>
      <c r="X5" s="37">
        <v>4543</v>
      </c>
      <c r="Y5" s="37">
        <v>6514</v>
      </c>
      <c r="Z5" s="38">
        <v>95</v>
      </c>
      <c r="AA5" s="39">
        <v>5</v>
      </c>
      <c r="AB5" s="33" t="s">
        <v>70</v>
      </c>
      <c r="AC5" s="28">
        <v>5229</v>
      </c>
      <c r="AD5" s="24">
        <f t="shared" ref="AD5:AD23" si="5">AC5-X5</f>
        <v>686</v>
      </c>
      <c r="AE5" s="24">
        <f t="shared" ref="AE5:AE23" si="6">AC5-Y5</f>
        <v>-1285</v>
      </c>
      <c r="AF5" s="24">
        <f t="shared" ref="AF5:AF23" si="7">AD5-AE5</f>
        <v>1971</v>
      </c>
      <c r="AH5" s="25">
        <v>2</v>
      </c>
      <c r="AI5" s="25" t="s">
        <v>67</v>
      </c>
      <c r="AJ5" s="25" t="s">
        <v>69</v>
      </c>
      <c r="AK5" s="6">
        <v>39.471528999999997</v>
      </c>
      <c r="AL5" s="6">
        <v>-107.974592</v>
      </c>
    </row>
    <row r="6" spans="1:38">
      <c r="A6" s="21" t="s">
        <v>110</v>
      </c>
      <c r="B6" s="21" t="s">
        <v>10</v>
      </c>
      <c r="C6" s="21" t="s">
        <v>11</v>
      </c>
      <c r="D6" s="21" t="s">
        <v>54</v>
      </c>
      <c r="E6" s="33"/>
      <c r="F6" s="6">
        <v>2000</v>
      </c>
      <c r="G6" s="6" t="s">
        <v>59</v>
      </c>
      <c r="H6" s="34" t="s">
        <v>99</v>
      </c>
      <c r="I6" s="22">
        <v>80.644790507971805</v>
      </c>
      <c r="J6" s="22">
        <v>1.5053763440860199</v>
      </c>
      <c r="K6" s="32">
        <f t="shared" si="0"/>
        <v>18.666752490816034</v>
      </c>
      <c r="L6" s="33"/>
      <c r="M6" s="6">
        <v>2005</v>
      </c>
      <c r="N6" s="6" t="s">
        <v>59</v>
      </c>
      <c r="O6" s="34" t="s">
        <v>99</v>
      </c>
      <c r="P6" s="22">
        <v>79.158602150537604</v>
      </c>
      <c r="Q6" s="22">
        <v>3.4197388632872499</v>
      </c>
      <c r="R6" s="32">
        <f t="shared" si="1"/>
        <v>43.201102222394724</v>
      </c>
      <c r="T6" s="22">
        <f t="shared" si="2"/>
        <v>0.98157117963760732</v>
      </c>
      <c r="U6" s="22">
        <f t="shared" si="3"/>
        <v>2.2716836734693899</v>
      </c>
      <c r="V6" s="22">
        <f t="shared" si="4"/>
        <v>2.3143341212484332</v>
      </c>
      <c r="X6" s="37">
        <v>4952</v>
      </c>
      <c r="Y6" s="37">
        <v>6546</v>
      </c>
      <c r="Z6" s="31">
        <v>64</v>
      </c>
      <c r="AA6" s="31">
        <v>3</v>
      </c>
      <c r="AB6" s="33" t="s">
        <v>70</v>
      </c>
      <c r="AC6" s="28">
        <v>5299</v>
      </c>
      <c r="AD6" s="24">
        <f t="shared" si="5"/>
        <v>347</v>
      </c>
      <c r="AE6" s="24">
        <f t="shared" si="6"/>
        <v>-1247</v>
      </c>
      <c r="AF6" s="24">
        <f t="shared" si="7"/>
        <v>1594</v>
      </c>
      <c r="AH6" s="25">
        <v>35</v>
      </c>
      <c r="AI6" s="25" t="s">
        <v>68</v>
      </c>
      <c r="AJ6" s="25" t="s">
        <v>69</v>
      </c>
      <c r="AK6" s="6">
        <v>39.475648999999997</v>
      </c>
      <c r="AL6" s="6">
        <v>-107.96037200000001</v>
      </c>
    </row>
    <row r="7" spans="1:38">
      <c r="A7" s="21" t="s">
        <v>105</v>
      </c>
      <c r="B7" s="21" t="s">
        <v>12</v>
      </c>
      <c r="C7" s="21" t="s">
        <v>13</v>
      </c>
      <c r="D7" s="21" t="s">
        <v>54</v>
      </c>
      <c r="F7" s="26">
        <v>2000</v>
      </c>
      <c r="G7" s="21" t="s">
        <v>62</v>
      </c>
      <c r="H7" s="34" t="s">
        <v>99</v>
      </c>
      <c r="I7" s="27">
        <v>233.63046594982077</v>
      </c>
      <c r="J7" s="27">
        <v>1.5698924731182797</v>
      </c>
      <c r="K7" s="22">
        <f t="shared" si="0"/>
        <v>6.7195537479921894</v>
      </c>
      <c r="M7" s="26">
        <v>2005</v>
      </c>
      <c r="N7" s="21" t="s">
        <v>62</v>
      </c>
      <c r="O7" s="34" t="s">
        <v>99</v>
      </c>
      <c r="P7" s="27">
        <v>186.6379928315412</v>
      </c>
      <c r="Q7" s="27">
        <v>0.29354838709677417</v>
      </c>
      <c r="R7" s="22">
        <f t="shared" si="1"/>
        <v>1.5728222461207557</v>
      </c>
      <c r="T7" s="22">
        <f t="shared" si="2"/>
        <v>0.79885982366540909</v>
      </c>
      <c r="U7" s="22">
        <f t="shared" si="3"/>
        <v>0.18698630136986297</v>
      </c>
      <c r="V7" s="22">
        <f t="shared" si="4"/>
        <v>0.23406647302891459</v>
      </c>
      <c r="X7" s="26">
        <v>4763</v>
      </c>
      <c r="Y7" s="26">
        <v>6399</v>
      </c>
      <c r="Z7" s="31">
        <v>69</v>
      </c>
      <c r="AA7" s="31">
        <v>4</v>
      </c>
      <c r="AB7" s="33" t="s">
        <v>70</v>
      </c>
      <c r="AC7" s="28">
        <v>5171</v>
      </c>
      <c r="AD7" s="24">
        <f t="shared" si="5"/>
        <v>408</v>
      </c>
      <c r="AE7" s="24">
        <f t="shared" si="6"/>
        <v>-1228</v>
      </c>
      <c r="AF7" s="24">
        <f t="shared" si="7"/>
        <v>1636</v>
      </c>
      <c r="AH7" s="25">
        <v>5</v>
      </c>
      <c r="AI7" s="25" t="s">
        <v>67</v>
      </c>
      <c r="AJ7" s="25" t="s">
        <v>69</v>
      </c>
      <c r="AK7" s="6">
        <v>39.472019000000003</v>
      </c>
      <c r="AL7" s="6">
        <v>-108.028774</v>
      </c>
    </row>
    <row r="8" spans="1:38">
      <c r="A8" s="21" t="s">
        <v>41</v>
      </c>
      <c r="B8" s="21" t="s">
        <v>14</v>
      </c>
      <c r="C8" s="21" t="s">
        <v>42</v>
      </c>
      <c r="D8" s="21" t="s">
        <v>55</v>
      </c>
      <c r="F8" s="6">
        <v>1995</v>
      </c>
      <c r="G8" s="6" t="s">
        <v>60</v>
      </c>
      <c r="H8" s="34" t="s">
        <v>99</v>
      </c>
      <c r="I8" s="22">
        <v>591.50286738351258</v>
      </c>
      <c r="J8" s="34" t="s">
        <v>99</v>
      </c>
      <c r="K8" s="34" t="s">
        <v>99</v>
      </c>
      <c r="M8" s="6">
        <v>2000</v>
      </c>
      <c r="N8" s="6" t="s">
        <v>60</v>
      </c>
      <c r="O8" s="34" t="s">
        <v>99</v>
      </c>
      <c r="P8" s="22">
        <v>52.249820788530464</v>
      </c>
      <c r="Q8" s="34" t="s">
        <v>99</v>
      </c>
      <c r="R8" s="34" t="s">
        <v>99</v>
      </c>
      <c r="T8" s="22">
        <f t="shared" si="2"/>
        <v>8.8334010990775563E-2</v>
      </c>
      <c r="U8" s="29" t="s">
        <v>99</v>
      </c>
      <c r="V8" s="29" t="s">
        <v>99</v>
      </c>
      <c r="X8" s="26">
        <v>6194</v>
      </c>
      <c r="Y8" s="26">
        <v>6935</v>
      </c>
      <c r="Z8" s="40" t="s">
        <v>99</v>
      </c>
      <c r="AA8" s="30">
        <v>3</v>
      </c>
      <c r="AB8" s="33" t="s">
        <v>71</v>
      </c>
      <c r="AC8" s="28">
        <v>5564</v>
      </c>
      <c r="AD8" s="24">
        <f t="shared" si="5"/>
        <v>-630</v>
      </c>
      <c r="AE8" s="24">
        <f t="shared" si="6"/>
        <v>-1371</v>
      </c>
      <c r="AF8" s="24">
        <f t="shared" si="7"/>
        <v>741</v>
      </c>
      <c r="AH8" s="25">
        <v>31</v>
      </c>
      <c r="AI8" s="25" t="s">
        <v>68</v>
      </c>
      <c r="AJ8" s="25" t="s">
        <v>69</v>
      </c>
      <c r="AK8" s="6">
        <v>39.475909000000001</v>
      </c>
      <c r="AL8" s="6">
        <v>-108.044454</v>
      </c>
    </row>
    <row r="9" spans="1:38">
      <c r="A9" s="21" t="s">
        <v>43</v>
      </c>
      <c r="B9" s="21" t="s">
        <v>14</v>
      </c>
      <c r="C9" s="21" t="s">
        <v>16</v>
      </c>
      <c r="D9" s="21" t="s">
        <v>56</v>
      </c>
      <c r="F9" s="6">
        <v>1997</v>
      </c>
      <c r="G9" s="6" t="s">
        <v>63</v>
      </c>
      <c r="H9" s="22">
        <v>1.6291187739463602</v>
      </c>
      <c r="I9" s="22">
        <v>477.51034482758615</v>
      </c>
      <c r="J9" s="34" t="s">
        <v>99</v>
      </c>
      <c r="K9" s="34" t="s">
        <v>99</v>
      </c>
      <c r="M9" s="6">
        <v>2002</v>
      </c>
      <c r="N9" s="6" t="s">
        <v>63</v>
      </c>
      <c r="O9" s="22">
        <v>1.282437275985663</v>
      </c>
      <c r="P9" s="22">
        <v>341.94516129032263</v>
      </c>
      <c r="Q9" s="22">
        <v>1.2222222222222223</v>
      </c>
      <c r="R9" s="22">
        <f t="shared" si="1"/>
        <v>3.5743223200181964</v>
      </c>
      <c r="T9" s="22">
        <f t="shared" si="2"/>
        <v>0.71610000703500609</v>
      </c>
      <c r="U9" s="29" t="s">
        <v>99</v>
      </c>
      <c r="V9" s="29" t="s">
        <v>99</v>
      </c>
      <c r="X9" s="26">
        <v>5246</v>
      </c>
      <c r="Y9" s="26">
        <v>7175</v>
      </c>
      <c r="Z9" s="40">
        <v>88</v>
      </c>
      <c r="AA9" s="31">
        <v>4</v>
      </c>
      <c r="AB9" s="33" t="s">
        <v>71</v>
      </c>
      <c r="AC9" s="28">
        <v>5740</v>
      </c>
      <c r="AD9" s="24">
        <f t="shared" si="5"/>
        <v>494</v>
      </c>
      <c r="AE9" s="24">
        <f t="shared" si="6"/>
        <v>-1435</v>
      </c>
      <c r="AF9" s="24">
        <f t="shared" si="7"/>
        <v>1929</v>
      </c>
      <c r="AH9" s="25">
        <v>29</v>
      </c>
      <c r="AI9" s="25" t="s">
        <v>68</v>
      </c>
      <c r="AJ9" s="25" t="s">
        <v>69</v>
      </c>
      <c r="AK9" s="6">
        <v>39.493189000000001</v>
      </c>
      <c r="AL9" s="6">
        <v>-108.013904</v>
      </c>
    </row>
    <row r="10" spans="1:38">
      <c r="A10" s="21" t="s">
        <v>111</v>
      </c>
      <c r="B10" s="21" t="s">
        <v>17</v>
      </c>
      <c r="C10" s="21" t="s">
        <v>18</v>
      </c>
      <c r="D10" s="21" t="s">
        <v>54</v>
      </c>
      <c r="F10" s="26">
        <v>2000</v>
      </c>
      <c r="G10" s="21" t="s">
        <v>61</v>
      </c>
      <c r="H10" s="46" t="s">
        <v>99</v>
      </c>
      <c r="I10" s="27">
        <v>139.42652329749106</v>
      </c>
      <c r="J10" s="34" t="s">
        <v>99</v>
      </c>
      <c r="K10" s="34" t="s">
        <v>99</v>
      </c>
      <c r="M10" s="26">
        <v>2005</v>
      </c>
      <c r="N10" s="21" t="s">
        <v>61</v>
      </c>
      <c r="O10" s="34" t="s">
        <v>99</v>
      </c>
      <c r="P10" s="27">
        <v>113.64731182795698</v>
      </c>
      <c r="Q10" s="34" t="s">
        <v>99</v>
      </c>
      <c r="R10" s="34" t="s">
        <v>99</v>
      </c>
      <c r="T10" s="22">
        <f t="shared" si="2"/>
        <v>0.81510539845758334</v>
      </c>
      <c r="U10" s="29" t="s">
        <v>99</v>
      </c>
      <c r="V10" s="29" t="s">
        <v>99</v>
      </c>
      <c r="X10" s="37">
        <v>5150</v>
      </c>
      <c r="Y10" s="26">
        <v>6933</v>
      </c>
      <c r="Z10" s="31">
        <v>90</v>
      </c>
      <c r="AA10" s="31">
        <v>5</v>
      </c>
      <c r="AB10" s="33" t="s">
        <v>70</v>
      </c>
      <c r="AC10" s="28">
        <v>5147</v>
      </c>
      <c r="AD10" s="24">
        <f t="shared" si="5"/>
        <v>-3</v>
      </c>
      <c r="AE10" s="24">
        <f t="shared" si="6"/>
        <v>-1786</v>
      </c>
      <c r="AF10" s="24">
        <f t="shared" si="7"/>
        <v>1783</v>
      </c>
      <c r="AH10" s="25">
        <v>35</v>
      </c>
      <c r="AI10" s="25" t="s">
        <v>68</v>
      </c>
      <c r="AJ10" s="25" t="s">
        <v>69</v>
      </c>
      <c r="AK10" s="6">
        <v>39.477128999999998</v>
      </c>
      <c r="AL10" s="6">
        <v>-107.972662</v>
      </c>
    </row>
    <row r="11" spans="1:38">
      <c r="A11" s="21" t="s">
        <v>44</v>
      </c>
      <c r="B11" s="21" t="s">
        <v>19</v>
      </c>
      <c r="C11" s="21" t="s">
        <v>20</v>
      </c>
      <c r="D11" s="21" t="s">
        <v>53</v>
      </c>
      <c r="F11" s="26">
        <v>2000</v>
      </c>
      <c r="G11" s="21" t="s">
        <v>63</v>
      </c>
      <c r="H11" s="46" t="s">
        <v>99</v>
      </c>
      <c r="I11" s="27">
        <v>291.04301075268819</v>
      </c>
      <c r="J11" s="27">
        <v>2.0896057347670252</v>
      </c>
      <c r="K11" s="22">
        <f t="shared" si="0"/>
        <v>7.1797145355352772</v>
      </c>
      <c r="M11" s="26">
        <v>2005</v>
      </c>
      <c r="N11" s="21" t="s">
        <v>63</v>
      </c>
      <c r="O11" s="34" t="s">
        <v>99</v>
      </c>
      <c r="P11" s="27">
        <v>124.45448028673836</v>
      </c>
      <c r="Q11" s="27">
        <v>0.77777777777777779</v>
      </c>
      <c r="R11" s="22">
        <f t="shared" si="1"/>
        <v>6.2494960083864202</v>
      </c>
      <c r="T11" s="22">
        <f t="shared" si="2"/>
        <v>0.42761542345537618</v>
      </c>
      <c r="U11" s="22">
        <f t="shared" si="3"/>
        <v>0.37221269296740994</v>
      </c>
      <c r="V11" s="22">
        <f t="shared" si="4"/>
        <v>0.87043795090392051</v>
      </c>
      <c r="X11" s="26">
        <v>4678</v>
      </c>
      <c r="Y11" s="26">
        <v>6700</v>
      </c>
      <c r="Z11" s="30">
        <v>76</v>
      </c>
      <c r="AA11" s="30">
        <v>4</v>
      </c>
      <c r="AB11" s="33" t="s">
        <v>70</v>
      </c>
      <c r="AC11" s="28">
        <v>5252</v>
      </c>
      <c r="AD11" s="24">
        <f t="shared" si="5"/>
        <v>574</v>
      </c>
      <c r="AE11" s="24">
        <f t="shared" si="6"/>
        <v>-1448</v>
      </c>
      <c r="AF11" s="24">
        <f t="shared" si="7"/>
        <v>2022</v>
      </c>
      <c r="AH11" s="25">
        <v>33</v>
      </c>
      <c r="AI11" s="25" t="s">
        <v>68</v>
      </c>
      <c r="AJ11" s="25" t="s">
        <v>69</v>
      </c>
      <c r="AK11" s="6">
        <v>39.479959000000001</v>
      </c>
      <c r="AL11" s="6">
        <v>-108.004643</v>
      </c>
    </row>
    <row r="12" spans="1:38">
      <c r="A12" s="21" t="s">
        <v>45</v>
      </c>
      <c r="B12" s="21" t="s">
        <v>21</v>
      </c>
      <c r="C12" s="21" t="s">
        <v>22</v>
      </c>
      <c r="D12" s="21" t="s">
        <v>57</v>
      </c>
      <c r="F12" s="26">
        <v>2001</v>
      </c>
      <c r="G12" s="21" t="s">
        <v>63</v>
      </c>
      <c r="H12" s="27">
        <v>0.74689826302729523</v>
      </c>
      <c r="I12" s="27">
        <v>234.98423490488008</v>
      </c>
      <c r="J12" s="27">
        <v>3.3525227460711329</v>
      </c>
      <c r="K12" s="22">
        <f t="shared" si="0"/>
        <v>14.267011348349433</v>
      </c>
      <c r="M12" s="26">
        <v>2006</v>
      </c>
      <c r="N12" s="21" t="s">
        <v>63</v>
      </c>
      <c r="O12" s="34" t="s">
        <v>99</v>
      </c>
      <c r="P12" s="27">
        <v>107.31616161616161</v>
      </c>
      <c r="Q12" s="27">
        <v>18.306060606060608</v>
      </c>
      <c r="R12" s="22">
        <f t="shared" si="1"/>
        <v>170.5806500192954</v>
      </c>
      <c r="T12" s="22">
        <f t="shared" si="2"/>
        <v>0.45669515514350317</v>
      </c>
      <c r="U12" s="22">
        <f t="shared" si="3"/>
        <v>5.4603837147753076</v>
      </c>
      <c r="V12" s="22">
        <f t="shared" si="4"/>
        <v>11.95629875482156</v>
      </c>
      <c r="X12" s="26">
        <v>6472</v>
      </c>
      <c r="Y12" s="26">
        <v>6642</v>
      </c>
      <c r="Z12" s="31">
        <v>20</v>
      </c>
      <c r="AA12" s="31">
        <v>1</v>
      </c>
      <c r="AB12" s="33" t="s">
        <v>70</v>
      </c>
      <c r="AC12" s="28">
        <v>6181</v>
      </c>
      <c r="AD12" s="24">
        <f t="shared" si="5"/>
        <v>-291</v>
      </c>
      <c r="AE12" s="24">
        <f t="shared" si="6"/>
        <v>-461</v>
      </c>
      <c r="AF12" s="24">
        <f t="shared" si="7"/>
        <v>170</v>
      </c>
      <c r="AH12" s="25">
        <v>11</v>
      </c>
      <c r="AI12" s="25" t="s">
        <v>67</v>
      </c>
      <c r="AJ12" s="25" t="s">
        <v>69</v>
      </c>
      <c r="AK12" s="6">
        <v>39.45514</v>
      </c>
      <c r="AL12" s="6">
        <v>-107.95761</v>
      </c>
    </row>
    <row r="13" spans="1:38">
      <c r="A13" s="21" t="s">
        <v>106</v>
      </c>
      <c r="B13" s="21" t="s">
        <v>23</v>
      </c>
      <c r="C13" s="21" t="s">
        <v>24</v>
      </c>
      <c r="D13" s="21" t="s">
        <v>53</v>
      </c>
      <c r="F13" s="26">
        <v>2000</v>
      </c>
      <c r="G13" s="21" t="s">
        <v>65</v>
      </c>
      <c r="H13" s="46" t="s">
        <v>99</v>
      </c>
      <c r="I13" s="27">
        <v>192.8741935483871</v>
      </c>
      <c r="J13" s="27">
        <v>2.1254480286738353</v>
      </c>
      <c r="K13" s="22">
        <f t="shared" si="0"/>
        <v>11.019867352760263</v>
      </c>
      <c r="M13" s="26">
        <v>2005</v>
      </c>
      <c r="N13" s="21" t="s">
        <v>65</v>
      </c>
      <c r="O13" s="34" t="s">
        <v>99</v>
      </c>
      <c r="P13" s="27">
        <v>111.41218637992831</v>
      </c>
      <c r="Q13" s="34" t="s">
        <v>99</v>
      </c>
      <c r="R13" s="34" t="s">
        <v>99</v>
      </c>
      <c r="T13" s="22">
        <f t="shared" si="2"/>
        <v>0.57764174838650928</v>
      </c>
      <c r="U13" s="34" t="s">
        <v>99</v>
      </c>
      <c r="V13" s="34" t="s">
        <v>99</v>
      </c>
      <c r="X13" s="37">
        <v>4533</v>
      </c>
      <c r="Y13" s="26">
        <v>6187</v>
      </c>
      <c r="Z13" s="31">
        <v>112</v>
      </c>
      <c r="AA13" s="31">
        <v>4</v>
      </c>
      <c r="AB13" s="33" t="s">
        <v>70</v>
      </c>
      <c r="AC13" s="28">
        <v>5123</v>
      </c>
      <c r="AD13" s="24">
        <f t="shared" si="5"/>
        <v>590</v>
      </c>
      <c r="AE13" s="24">
        <f t="shared" si="6"/>
        <v>-1064</v>
      </c>
      <c r="AF13" s="24">
        <f t="shared" si="7"/>
        <v>1654</v>
      </c>
      <c r="AH13" s="25">
        <v>5</v>
      </c>
      <c r="AI13" s="25" t="s">
        <v>67</v>
      </c>
      <c r="AJ13" s="25" t="s">
        <v>69</v>
      </c>
      <c r="AK13" s="6">
        <v>39.464258999999998</v>
      </c>
      <c r="AL13" s="6">
        <v>-108.020034</v>
      </c>
    </row>
    <row r="14" spans="1:38">
      <c r="A14" s="21" t="s">
        <v>46</v>
      </c>
      <c r="B14" s="21" t="s">
        <v>25</v>
      </c>
      <c r="C14" s="21" t="s">
        <v>26</v>
      </c>
      <c r="D14" s="21" t="s">
        <v>53</v>
      </c>
      <c r="F14" s="26">
        <v>1999</v>
      </c>
      <c r="G14" s="21" t="s">
        <v>65</v>
      </c>
      <c r="H14" s="27">
        <v>0.32258064516129031</v>
      </c>
      <c r="I14" s="27">
        <v>287.01003584229392</v>
      </c>
      <c r="J14" s="27">
        <v>2.3333333333333335</v>
      </c>
      <c r="K14" s="22">
        <f t="shared" si="0"/>
        <v>8.1297970173260836</v>
      </c>
      <c r="M14" s="26">
        <v>2004</v>
      </c>
      <c r="N14" s="21" t="s">
        <v>65</v>
      </c>
      <c r="O14" s="34" t="s">
        <v>99</v>
      </c>
      <c r="P14" s="27">
        <v>157.17240143369176</v>
      </c>
      <c r="Q14" s="34" t="s">
        <v>99</v>
      </c>
      <c r="R14" s="34" t="s">
        <v>99</v>
      </c>
      <c r="T14" s="22">
        <f t="shared" si="2"/>
        <v>0.54761988016354501</v>
      </c>
      <c r="U14" s="34" t="s">
        <v>99</v>
      </c>
      <c r="V14" s="34" t="s">
        <v>99</v>
      </c>
      <c r="X14" s="26">
        <v>4721</v>
      </c>
      <c r="Y14" s="26">
        <v>6570</v>
      </c>
      <c r="Z14" s="30">
        <v>476</v>
      </c>
      <c r="AA14" s="30">
        <v>4</v>
      </c>
      <c r="AB14" s="33" t="s">
        <v>70</v>
      </c>
      <c r="AC14" s="28">
        <v>5199</v>
      </c>
      <c r="AD14" s="24">
        <f t="shared" si="5"/>
        <v>478</v>
      </c>
      <c r="AE14" s="24">
        <f t="shared" si="6"/>
        <v>-1371</v>
      </c>
      <c r="AF14" s="24">
        <f t="shared" si="7"/>
        <v>1849</v>
      </c>
      <c r="AH14" s="25">
        <v>32</v>
      </c>
      <c r="AI14" s="25" t="s">
        <v>68</v>
      </c>
      <c r="AJ14" s="25" t="s">
        <v>69</v>
      </c>
      <c r="AK14" s="6">
        <v>39.479768999999997</v>
      </c>
      <c r="AL14" s="6">
        <v>-108.013873</v>
      </c>
    </row>
    <row r="15" spans="1:38">
      <c r="A15" s="21" t="s">
        <v>47</v>
      </c>
      <c r="B15" s="21" t="s">
        <v>27</v>
      </c>
      <c r="C15" s="21" t="s">
        <v>28</v>
      </c>
      <c r="D15" s="21" t="s">
        <v>53</v>
      </c>
      <c r="F15" s="26">
        <v>2000</v>
      </c>
      <c r="G15" s="21" t="s">
        <v>62</v>
      </c>
      <c r="H15" s="46" t="s">
        <v>99</v>
      </c>
      <c r="I15" s="27">
        <v>105.98709677419355</v>
      </c>
      <c r="J15" s="27">
        <v>1.8512544802867383</v>
      </c>
      <c r="K15" s="22">
        <f t="shared" si="0"/>
        <v>17.466791115439765</v>
      </c>
      <c r="M15" s="26">
        <v>2005</v>
      </c>
      <c r="N15" s="21" t="s">
        <v>62</v>
      </c>
      <c r="O15" s="34" t="s">
        <v>99</v>
      </c>
      <c r="P15" s="27">
        <v>59.898924731182795</v>
      </c>
      <c r="Q15" s="27">
        <v>0.66666666666666663</v>
      </c>
      <c r="R15" s="22">
        <f t="shared" si="1"/>
        <v>11.129860338204143</v>
      </c>
      <c r="T15" s="22">
        <f t="shared" si="2"/>
        <v>0.56515299082866655</v>
      </c>
      <c r="U15" s="22">
        <f t="shared" si="3"/>
        <v>0.3601161665053243</v>
      </c>
      <c r="V15" s="22">
        <f t="shared" si="4"/>
        <v>0.63720120453984852</v>
      </c>
      <c r="X15" s="26">
        <v>5209</v>
      </c>
      <c r="Y15" s="26">
        <v>6582</v>
      </c>
      <c r="Z15" s="30">
        <v>51</v>
      </c>
      <c r="AA15" s="30">
        <v>3</v>
      </c>
      <c r="AB15" s="33" t="s">
        <v>70</v>
      </c>
      <c r="AC15" s="28">
        <v>5279</v>
      </c>
      <c r="AD15" s="24">
        <f t="shared" si="5"/>
        <v>70</v>
      </c>
      <c r="AE15" s="24">
        <f t="shared" si="6"/>
        <v>-1303</v>
      </c>
      <c r="AF15" s="24">
        <f t="shared" si="7"/>
        <v>1373</v>
      </c>
      <c r="AH15" s="25">
        <v>36</v>
      </c>
      <c r="AI15" s="25" t="s">
        <v>68</v>
      </c>
      <c r="AJ15" s="25" t="s">
        <v>69</v>
      </c>
      <c r="AK15" s="6">
        <v>39.476228999999996</v>
      </c>
      <c r="AL15" s="6">
        <v>-107.954702</v>
      </c>
    </row>
    <row r="16" spans="1:38">
      <c r="A16" s="21" t="s">
        <v>48</v>
      </c>
      <c r="B16" s="21" t="s">
        <v>29</v>
      </c>
      <c r="C16" s="21" t="s">
        <v>30</v>
      </c>
      <c r="D16" s="21" t="s">
        <v>53</v>
      </c>
      <c r="F16" s="6">
        <v>1998</v>
      </c>
      <c r="G16" s="6" t="s">
        <v>58</v>
      </c>
      <c r="H16" s="46" t="s">
        <v>99</v>
      </c>
      <c r="I16" s="22">
        <v>447.42668259657506</v>
      </c>
      <c r="J16" s="22">
        <v>4.666666666666667</v>
      </c>
      <c r="K16" s="22">
        <f t="shared" si="0"/>
        <v>10.430014230676527</v>
      </c>
      <c r="M16" s="6">
        <v>2003</v>
      </c>
      <c r="N16" s="6" t="s">
        <v>58</v>
      </c>
      <c r="O16" s="34" t="s">
        <v>99</v>
      </c>
      <c r="P16" s="22">
        <v>232.27706093189963</v>
      </c>
      <c r="Q16" s="22">
        <v>7.741935483870968</v>
      </c>
      <c r="R16" s="22">
        <f t="shared" si="1"/>
        <v>33.330607218854013</v>
      </c>
      <c r="T16" s="22">
        <f t="shared" si="2"/>
        <v>0.51913993949559245</v>
      </c>
      <c r="U16" s="22">
        <f t="shared" si="3"/>
        <v>1.6589861751152073</v>
      </c>
      <c r="V16" s="22">
        <f t="shared" si="4"/>
        <v>3.195643503613137</v>
      </c>
      <c r="X16" s="26">
        <v>4895</v>
      </c>
      <c r="Y16" s="26">
        <v>6757</v>
      </c>
      <c r="Z16" s="30">
        <v>60</v>
      </c>
      <c r="AA16" s="30">
        <v>3</v>
      </c>
      <c r="AB16" s="33" t="s">
        <v>70</v>
      </c>
      <c r="AC16" s="28">
        <v>5322</v>
      </c>
      <c r="AD16" s="24">
        <f t="shared" si="5"/>
        <v>427</v>
      </c>
      <c r="AE16" s="24">
        <f t="shared" si="6"/>
        <v>-1435</v>
      </c>
      <c r="AF16" s="24">
        <f t="shared" si="7"/>
        <v>1862</v>
      </c>
      <c r="AH16" s="25">
        <v>33</v>
      </c>
      <c r="AI16" s="25" t="s">
        <v>68</v>
      </c>
      <c r="AJ16" s="25" t="s">
        <v>69</v>
      </c>
      <c r="AK16" s="6">
        <v>39.482239</v>
      </c>
      <c r="AL16" s="6">
        <v>-108.00949300000001</v>
      </c>
    </row>
    <row r="17" spans="1:38">
      <c r="A17" s="21" t="s">
        <v>49</v>
      </c>
      <c r="B17" s="21" t="s">
        <v>31</v>
      </c>
      <c r="C17" s="21" t="s">
        <v>22</v>
      </c>
      <c r="D17" s="21" t="s">
        <v>53</v>
      </c>
      <c r="F17" s="26">
        <v>1999</v>
      </c>
      <c r="G17" s="21" t="s">
        <v>66</v>
      </c>
      <c r="H17" s="27">
        <v>0.58008658008658009</v>
      </c>
      <c r="I17" s="27">
        <v>709.86904761904759</v>
      </c>
      <c r="J17" s="27">
        <v>5.6363636363636358</v>
      </c>
      <c r="K17" s="22">
        <f t="shared" si="0"/>
        <v>7.9400047871764654</v>
      </c>
      <c r="M17" s="26">
        <v>2004</v>
      </c>
      <c r="N17" s="21" t="s">
        <v>66</v>
      </c>
      <c r="O17" s="34" t="s">
        <v>99</v>
      </c>
      <c r="P17" s="27">
        <v>124.92635026572735</v>
      </c>
      <c r="Q17" s="34" t="s">
        <v>99</v>
      </c>
      <c r="R17" s="34" t="s">
        <v>99</v>
      </c>
      <c r="T17" s="22">
        <f t="shared" si="2"/>
        <v>0.17598506468867661</v>
      </c>
      <c r="U17" s="34" t="s">
        <v>99</v>
      </c>
      <c r="V17" s="34" t="s">
        <v>99</v>
      </c>
      <c r="X17" s="26">
        <v>4374</v>
      </c>
      <c r="Y17" s="26">
        <v>6266</v>
      </c>
      <c r="Z17" s="40" t="s">
        <v>99</v>
      </c>
      <c r="AA17" s="31">
        <v>4</v>
      </c>
      <c r="AB17" s="33" t="s">
        <v>70</v>
      </c>
      <c r="AC17" s="28">
        <v>5151</v>
      </c>
      <c r="AD17" s="24">
        <f t="shared" si="5"/>
        <v>777</v>
      </c>
      <c r="AE17" s="24">
        <f t="shared" si="6"/>
        <v>-1115</v>
      </c>
      <c r="AF17" s="24">
        <f t="shared" si="7"/>
        <v>1892</v>
      </c>
      <c r="AH17" s="25">
        <v>32</v>
      </c>
      <c r="AI17" s="25" t="s">
        <v>68</v>
      </c>
      <c r="AJ17" s="25" t="s">
        <v>69</v>
      </c>
      <c r="AK17" s="6">
        <v>39.474949000000002</v>
      </c>
      <c r="AL17" s="6">
        <v>-108.02333400000001</v>
      </c>
    </row>
    <row r="18" spans="1:38">
      <c r="A18" s="21" t="s">
        <v>107</v>
      </c>
      <c r="B18" s="21" t="s">
        <v>32</v>
      </c>
      <c r="C18" s="21" t="s">
        <v>15</v>
      </c>
      <c r="D18" s="21" t="s">
        <v>53</v>
      </c>
      <c r="F18" s="26">
        <v>1999</v>
      </c>
      <c r="G18" s="21" t="s">
        <v>64</v>
      </c>
      <c r="H18" s="46" t="s">
        <v>99</v>
      </c>
      <c r="I18" s="27">
        <v>269.42078853046593</v>
      </c>
      <c r="J18" s="27">
        <v>1.6666666666666667</v>
      </c>
      <c r="K18" s="22">
        <f t="shared" si="0"/>
        <v>6.186110120742228</v>
      </c>
      <c r="M18" s="26">
        <v>2004</v>
      </c>
      <c r="N18" s="21" t="s">
        <v>64</v>
      </c>
      <c r="O18" s="34" t="s">
        <v>99</v>
      </c>
      <c r="P18" s="27">
        <v>103.70860215053763</v>
      </c>
      <c r="Q18" s="27">
        <v>0.75268817204301086</v>
      </c>
      <c r="R18" s="22">
        <f t="shared" si="1"/>
        <v>7.2577216974774243</v>
      </c>
      <c r="T18" s="22">
        <f t="shared" si="2"/>
        <v>0.38493170002288196</v>
      </c>
      <c r="U18" s="22">
        <f t="shared" si="3"/>
        <v>0.45161290322580649</v>
      </c>
      <c r="V18" s="22">
        <f t="shared" si="4"/>
        <v>1.1732286616014236</v>
      </c>
      <c r="X18" s="26">
        <v>4254</v>
      </c>
      <c r="Y18" s="26">
        <v>6368</v>
      </c>
      <c r="Z18" s="41" t="s">
        <v>99</v>
      </c>
      <c r="AA18" s="31">
        <v>6</v>
      </c>
      <c r="AB18" s="33" t="s">
        <v>70</v>
      </c>
      <c r="AC18" s="28">
        <v>5146</v>
      </c>
      <c r="AD18" s="24">
        <f t="shared" si="5"/>
        <v>892</v>
      </c>
      <c r="AE18" s="24">
        <f t="shared" si="6"/>
        <v>-1222</v>
      </c>
      <c r="AF18" s="24">
        <f t="shared" si="7"/>
        <v>2114</v>
      </c>
      <c r="AH18" s="25">
        <v>32</v>
      </c>
      <c r="AI18" s="25" t="s">
        <v>68</v>
      </c>
      <c r="AJ18" s="25" t="s">
        <v>69</v>
      </c>
      <c r="AK18" s="6">
        <v>39.475898999999998</v>
      </c>
      <c r="AL18" s="6">
        <v>-108.01402299999999</v>
      </c>
    </row>
    <row r="19" spans="1:38">
      <c r="A19" s="21" t="s">
        <v>50</v>
      </c>
      <c r="B19" s="21" t="s">
        <v>33</v>
      </c>
      <c r="C19" s="21" t="s">
        <v>34</v>
      </c>
      <c r="D19" s="21" t="s">
        <v>53</v>
      </c>
      <c r="F19" s="26">
        <v>2000</v>
      </c>
      <c r="G19" s="21" t="s">
        <v>62</v>
      </c>
      <c r="H19" s="46" t="s">
        <v>99</v>
      </c>
      <c r="I19" s="27">
        <v>249.3551971326165</v>
      </c>
      <c r="J19" s="27">
        <v>2.043010752688172</v>
      </c>
      <c r="K19" s="22">
        <f t="shared" si="0"/>
        <v>8.1931749415337904</v>
      </c>
      <c r="M19" s="26">
        <v>2005</v>
      </c>
      <c r="N19" s="21" t="s">
        <v>62</v>
      </c>
      <c r="O19" s="27">
        <v>0.10896057347670252</v>
      </c>
      <c r="P19" s="27">
        <v>123.52150537634408</v>
      </c>
      <c r="Q19" s="27">
        <v>0.510752688172043</v>
      </c>
      <c r="R19" s="22">
        <f t="shared" si="1"/>
        <v>4.1349292709466816</v>
      </c>
      <c r="T19" s="22">
        <f t="shared" si="2"/>
        <v>0.4953636691624706</v>
      </c>
      <c r="U19" s="22">
        <f t="shared" si="3"/>
        <v>0.25</v>
      </c>
      <c r="V19" s="22">
        <f t="shared" si="4"/>
        <v>0.50467972433804875</v>
      </c>
      <c r="X19" s="26">
        <v>4705</v>
      </c>
      <c r="Y19" s="26">
        <v>6571</v>
      </c>
      <c r="Z19" s="30">
        <v>67</v>
      </c>
      <c r="AA19" s="30">
        <v>4</v>
      </c>
      <c r="AB19" s="33" t="s">
        <v>70</v>
      </c>
      <c r="AC19" s="28">
        <v>5154</v>
      </c>
      <c r="AD19" s="24">
        <f t="shared" si="5"/>
        <v>449</v>
      </c>
      <c r="AE19" s="24">
        <f t="shared" si="6"/>
        <v>-1417</v>
      </c>
      <c r="AF19" s="24">
        <f t="shared" si="7"/>
        <v>1866</v>
      </c>
      <c r="AH19" s="25">
        <v>33</v>
      </c>
      <c r="AI19" s="25" t="s">
        <v>68</v>
      </c>
      <c r="AJ19" s="25" t="s">
        <v>69</v>
      </c>
      <c r="AK19" s="6">
        <v>39.475698999999999</v>
      </c>
      <c r="AL19" s="6">
        <v>-107.995233</v>
      </c>
    </row>
    <row r="20" spans="1:38">
      <c r="A20" s="21" t="s">
        <v>51</v>
      </c>
      <c r="B20" s="21" t="s">
        <v>33</v>
      </c>
      <c r="C20" s="21" t="s">
        <v>35</v>
      </c>
      <c r="D20" s="21" t="s">
        <v>53</v>
      </c>
      <c r="F20" s="26">
        <v>2000</v>
      </c>
      <c r="G20" s="21" t="s">
        <v>59</v>
      </c>
      <c r="H20" s="46" t="s">
        <v>99</v>
      </c>
      <c r="I20" s="27">
        <v>198.51538746755656</v>
      </c>
      <c r="J20" s="27">
        <v>1.6451612903225807</v>
      </c>
      <c r="K20" s="22">
        <f t="shared" si="0"/>
        <v>8.287323775299031</v>
      </c>
      <c r="M20" s="26">
        <v>2005</v>
      </c>
      <c r="N20" s="21" t="s">
        <v>59</v>
      </c>
      <c r="O20" s="34" t="s">
        <v>99</v>
      </c>
      <c r="P20" s="27">
        <v>169.59608294930874</v>
      </c>
      <c r="Q20" s="27">
        <v>2.7803379416282641</v>
      </c>
      <c r="R20" s="22">
        <f t="shared" si="1"/>
        <v>16.393880644397257</v>
      </c>
      <c r="T20" s="22">
        <f t="shared" si="2"/>
        <v>0.85432210123774854</v>
      </c>
      <c r="U20" s="22">
        <f t="shared" si="3"/>
        <v>1.6900093370681604</v>
      </c>
      <c r="V20" s="22">
        <f t="shared" si="4"/>
        <v>1.9781875414666923</v>
      </c>
      <c r="X20" s="26">
        <v>5070</v>
      </c>
      <c r="Y20" s="26">
        <v>6972</v>
      </c>
      <c r="Z20" s="30">
        <v>65</v>
      </c>
      <c r="AA20" s="30">
        <v>4</v>
      </c>
      <c r="AB20" s="33" t="s">
        <v>70</v>
      </c>
      <c r="AC20" s="28">
        <v>5373</v>
      </c>
      <c r="AD20" s="24">
        <f t="shared" si="5"/>
        <v>303</v>
      </c>
      <c r="AE20" s="24">
        <f t="shared" si="6"/>
        <v>-1599</v>
      </c>
      <c r="AF20" s="24">
        <f t="shared" si="7"/>
        <v>1902</v>
      </c>
      <c r="AH20" s="25">
        <v>33</v>
      </c>
      <c r="AI20" s="25" t="s">
        <v>68</v>
      </c>
      <c r="AJ20" s="25" t="s">
        <v>69</v>
      </c>
      <c r="AK20" s="6">
        <v>39.481968999999999</v>
      </c>
      <c r="AL20" s="6">
        <v>-107.99759299999999</v>
      </c>
    </row>
    <row r="21" spans="1:38">
      <c r="A21" s="21" t="s">
        <v>108</v>
      </c>
      <c r="B21" s="21" t="s">
        <v>36</v>
      </c>
      <c r="C21" s="21" t="s">
        <v>37</v>
      </c>
      <c r="D21" s="21" t="s">
        <v>54</v>
      </c>
      <c r="F21" s="26">
        <v>2000</v>
      </c>
      <c r="G21" s="21" t="s">
        <v>66</v>
      </c>
      <c r="H21" s="46" t="s">
        <v>99</v>
      </c>
      <c r="I21" s="27">
        <v>195.75313311086393</v>
      </c>
      <c r="J21" s="27">
        <v>0.67204301075268813</v>
      </c>
      <c r="K21" s="22">
        <f t="shared" si="0"/>
        <v>3.4331149651233401</v>
      </c>
      <c r="M21" s="26">
        <v>2005</v>
      </c>
      <c r="N21" s="21" t="s">
        <v>66</v>
      </c>
      <c r="O21" s="34" t="s">
        <v>99</v>
      </c>
      <c r="P21" s="27">
        <v>178.37434715821814</v>
      </c>
      <c r="Q21" s="34" t="s">
        <v>99</v>
      </c>
      <c r="R21" s="34" t="s">
        <v>99</v>
      </c>
      <c r="T21" s="22">
        <f t="shared" si="2"/>
        <v>0.91122090524700117</v>
      </c>
      <c r="U21" s="34" t="s">
        <v>99</v>
      </c>
      <c r="V21" s="34" t="s">
        <v>99</v>
      </c>
      <c r="X21" s="37">
        <v>4575</v>
      </c>
      <c r="Y21" s="26">
        <v>6563</v>
      </c>
      <c r="Z21" s="33">
        <v>90</v>
      </c>
      <c r="AA21" s="31">
        <v>5</v>
      </c>
      <c r="AB21" s="33" t="s">
        <v>70</v>
      </c>
      <c r="AC21" s="28">
        <v>5151</v>
      </c>
      <c r="AD21" s="24">
        <f t="shared" si="5"/>
        <v>576</v>
      </c>
      <c r="AE21" s="24">
        <f t="shared" si="6"/>
        <v>-1412</v>
      </c>
      <c r="AF21" s="24">
        <f t="shared" si="7"/>
        <v>1988</v>
      </c>
      <c r="AH21" s="25">
        <v>3</v>
      </c>
      <c r="AI21" s="25" t="s">
        <v>67</v>
      </c>
      <c r="AJ21" s="25" t="s">
        <v>69</v>
      </c>
      <c r="AK21" s="6">
        <v>39.471398999999998</v>
      </c>
      <c r="AL21" s="6">
        <v>-107.992403</v>
      </c>
    </row>
    <row r="22" spans="1:38">
      <c r="A22" s="21" t="s">
        <v>109</v>
      </c>
      <c r="B22" s="21" t="s">
        <v>36</v>
      </c>
      <c r="C22" s="21" t="s">
        <v>38</v>
      </c>
      <c r="D22" s="21" t="s">
        <v>54</v>
      </c>
      <c r="F22" s="26">
        <v>2000</v>
      </c>
      <c r="G22" s="21" t="s">
        <v>59</v>
      </c>
      <c r="H22" s="46" t="s">
        <v>99</v>
      </c>
      <c r="I22" s="27">
        <v>287.36410826844639</v>
      </c>
      <c r="J22" s="27">
        <v>1.5053763440860213</v>
      </c>
      <c r="K22" s="22">
        <f t="shared" si="0"/>
        <v>5.2385677291325008</v>
      </c>
      <c r="M22" s="26">
        <v>2005</v>
      </c>
      <c r="N22" s="21" t="s">
        <v>59</v>
      </c>
      <c r="O22" s="34" t="s">
        <v>99</v>
      </c>
      <c r="P22" s="27">
        <v>118.27073732718894</v>
      </c>
      <c r="Q22" s="34" t="s">
        <v>99</v>
      </c>
      <c r="R22" s="34" t="s">
        <v>99</v>
      </c>
      <c r="T22" s="22">
        <f t="shared" si="2"/>
        <v>0.41157101365179605</v>
      </c>
      <c r="U22" s="34" t="s">
        <v>99</v>
      </c>
      <c r="V22" s="34" t="s">
        <v>99</v>
      </c>
      <c r="X22" s="37">
        <v>4400</v>
      </c>
      <c r="Y22" s="26">
        <v>6284</v>
      </c>
      <c r="Z22" s="31">
        <v>66</v>
      </c>
      <c r="AA22" s="31">
        <v>4</v>
      </c>
      <c r="AB22" s="33" t="s">
        <v>70</v>
      </c>
      <c r="AC22" s="28">
        <v>5122</v>
      </c>
      <c r="AD22" s="24">
        <f t="shared" si="5"/>
        <v>722</v>
      </c>
      <c r="AE22" s="24">
        <f t="shared" si="6"/>
        <v>-1162</v>
      </c>
      <c r="AF22" s="24">
        <f t="shared" si="7"/>
        <v>1884</v>
      </c>
      <c r="AH22" s="25">
        <v>4</v>
      </c>
      <c r="AI22" s="25" t="s">
        <v>67</v>
      </c>
      <c r="AJ22" s="25" t="s">
        <v>69</v>
      </c>
      <c r="AK22" s="6">
        <v>39.470528999999999</v>
      </c>
      <c r="AL22" s="6">
        <v>-108.008223</v>
      </c>
    </row>
    <row r="23" spans="1:38">
      <c r="A23" s="21" t="s">
        <v>52</v>
      </c>
      <c r="B23" s="21" t="s">
        <v>39</v>
      </c>
      <c r="C23" s="21" t="s">
        <v>40</v>
      </c>
      <c r="D23" s="21" t="s">
        <v>53</v>
      </c>
      <c r="F23" s="6">
        <v>1995</v>
      </c>
      <c r="G23" s="6" t="s">
        <v>58</v>
      </c>
      <c r="H23" s="46" t="s">
        <v>99</v>
      </c>
      <c r="I23" s="22">
        <v>83.561648745519719</v>
      </c>
      <c r="J23" s="34" t="s">
        <v>99</v>
      </c>
      <c r="K23" s="34" t="s">
        <v>99</v>
      </c>
      <c r="M23" s="6">
        <v>2000</v>
      </c>
      <c r="N23" s="6" t="s">
        <v>58</v>
      </c>
      <c r="O23" s="34" t="s">
        <v>99</v>
      </c>
      <c r="P23" s="22">
        <v>47.83512544802867</v>
      </c>
      <c r="Q23" s="34" t="s">
        <v>99</v>
      </c>
      <c r="R23" s="34" t="s">
        <v>99</v>
      </c>
      <c r="T23" s="22">
        <f t="shared" si="2"/>
        <v>0.57245310697143736</v>
      </c>
      <c r="U23" s="34" t="s">
        <v>99</v>
      </c>
      <c r="V23" s="34" t="s">
        <v>99</v>
      </c>
      <c r="X23" s="26">
        <v>6621</v>
      </c>
      <c r="Y23" s="26">
        <v>7378</v>
      </c>
      <c r="Z23" s="30">
        <v>41</v>
      </c>
      <c r="AA23" s="31">
        <v>2</v>
      </c>
      <c r="AB23" s="33" t="s">
        <v>70</v>
      </c>
      <c r="AC23" s="28">
        <v>6247</v>
      </c>
      <c r="AD23" s="24">
        <f t="shared" si="5"/>
        <v>-374</v>
      </c>
      <c r="AE23" s="24">
        <f t="shared" si="6"/>
        <v>-1131</v>
      </c>
      <c r="AF23" s="24">
        <f t="shared" si="7"/>
        <v>757</v>
      </c>
      <c r="AH23" s="25">
        <v>1</v>
      </c>
      <c r="AI23" s="25" t="s">
        <v>67</v>
      </c>
      <c r="AJ23" s="25" t="s">
        <v>69</v>
      </c>
      <c r="AK23" s="6">
        <v>39.46275</v>
      </c>
      <c r="AL23" s="6">
        <v>-107.942701</v>
      </c>
    </row>
    <row r="24" spans="1:38">
      <c r="O24" s="34"/>
      <c r="U24" s="29"/>
      <c r="V24" s="29"/>
    </row>
    <row r="25" spans="1:38">
      <c r="A25" s="6" t="s">
        <v>119</v>
      </c>
      <c r="E25" s="6" t="s">
        <v>120</v>
      </c>
      <c r="U25" s="29"/>
      <c r="V25" s="29"/>
    </row>
    <row r="26" spans="1:38">
      <c r="A26" s="52" t="s">
        <v>100</v>
      </c>
      <c r="B26" s="52"/>
      <c r="C26" s="52"/>
      <c r="E26" s="5" t="s">
        <v>83</v>
      </c>
      <c r="F26" s="35"/>
      <c r="G26" s="22"/>
      <c r="H26" s="22">
        <f>MIN(H$4:H$23)</f>
        <v>0.32258064516129031</v>
      </c>
      <c r="I26" s="22">
        <f>MIN(I$4:I$23)</f>
        <v>60.569892473118273</v>
      </c>
      <c r="J26" s="22">
        <f>MIN(J$4:J$23)</f>
        <v>0.67204301075268813</v>
      </c>
      <c r="K26" s="22">
        <f>MIN(K$4:K$23)</f>
        <v>3.4331149651233401</v>
      </c>
      <c r="L26" s="22"/>
      <c r="M26" s="35"/>
      <c r="N26" s="22"/>
      <c r="O26" s="22">
        <f>MIN(O$4:O$23)</f>
        <v>0.10896057347670252</v>
      </c>
      <c r="P26" s="22">
        <f>MIN(P$4:P$23)</f>
        <v>47.83512544802867</v>
      </c>
      <c r="Q26" s="22">
        <f>MIN(Q$4:Q$23)</f>
        <v>0.29354838709677417</v>
      </c>
      <c r="R26" s="22">
        <f>MIN(R$4:R$23)</f>
        <v>1.5728222461207557</v>
      </c>
      <c r="S26" s="22"/>
      <c r="T26" s="22">
        <f t="shared" ref="T26:Y26" si="8">MIN(T$4:T$23)</f>
        <v>8.8334010990775563E-2</v>
      </c>
      <c r="W26" s="22"/>
      <c r="X26" s="22">
        <f t="shared" si="8"/>
        <v>4254</v>
      </c>
      <c r="Y26" s="22">
        <f t="shared" si="8"/>
        <v>6187</v>
      </c>
    </row>
    <row r="27" spans="1:38">
      <c r="A27" s="52"/>
      <c r="B27" s="52"/>
      <c r="C27" s="52"/>
      <c r="E27" s="5" t="s">
        <v>84</v>
      </c>
      <c r="F27" s="35"/>
      <c r="G27" s="22"/>
      <c r="H27" s="22">
        <f>MAX(H$4:H$23)</f>
        <v>1.6291187739463602</v>
      </c>
      <c r="I27" s="22">
        <f>MAX(I$4:I$23)</f>
        <v>709.86904761904759</v>
      </c>
      <c r="J27" s="22">
        <f>MAX(J$4:J$23)</f>
        <v>5.6363636363636358</v>
      </c>
      <c r="K27" s="22">
        <f>MAX(K$4:K$23)</f>
        <v>35.86011006568436</v>
      </c>
      <c r="L27" s="22"/>
      <c r="M27" s="35"/>
      <c r="N27" s="22"/>
      <c r="O27" s="22">
        <f>MAX(O$4:O$23)</f>
        <v>1.282437275985663</v>
      </c>
      <c r="P27" s="22">
        <f>MAX(P$4:P$23)</f>
        <v>341.94516129032263</v>
      </c>
      <c r="Q27" s="22">
        <f>MAX(Q$4:Q$23)</f>
        <v>18.306060606060608</v>
      </c>
      <c r="R27" s="22">
        <f>MAX(R$4:R$23)</f>
        <v>170.5806500192954</v>
      </c>
      <c r="S27" s="22"/>
      <c r="T27" s="22">
        <f t="shared" ref="T27:Y27" si="9">MAX(T$4:T$23)</f>
        <v>1.1923042783596665</v>
      </c>
      <c r="W27" s="22"/>
      <c r="X27" s="22">
        <f t="shared" si="9"/>
        <v>6621</v>
      </c>
      <c r="Y27" s="22">
        <f t="shared" si="9"/>
        <v>7378</v>
      </c>
    </row>
    <row r="28" spans="1:38">
      <c r="A28" s="5" t="s">
        <v>101</v>
      </c>
      <c r="E28" s="5" t="s">
        <v>85</v>
      </c>
      <c r="F28" s="35"/>
      <c r="G28" s="22"/>
      <c r="H28" s="22">
        <f>MEDIAN(H$4:H$23)</f>
        <v>0.66349242155693766</v>
      </c>
      <c r="I28" s="22">
        <f>MEDIAN(I$4:I$23)</f>
        <v>234.30735042735043</v>
      </c>
      <c r="J28" s="22">
        <f>MEDIAN(J$4:J$23)</f>
        <v>1.9471326164874552</v>
      </c>
      <c r="K28" s="22">
        <f>MEDIAN(K$4:K$23)</f>
        <v>8.161485979429937</v>
      </c>
      <c r="L28" s="22"/>
      <c r="M28" s="35"/>
      <c r="N28" s="22"/>
      <c r="O28" s="22">
        <f>MEDIAN(O$4:O$23)</f>
        <v>0.69569892473118278</v>
      </c>
      <c r="P28" s="22">
        <f>MEDIAN(P$4:P$23)</f>
        <v>120.89612135176651</v>
      </c>
      <c r="Q28" s="22">
        <f>MEDIAN(Q$4:Q$23)</f>
        <v>1.2562724014336917</v>
      </c>
      <c r="R28" s="22">
        <f>MEDIAN(R$4:R$23)</f>
        <v>9.193791017840784</v>
      </c>
      <c r="S28" s="22"/>
      <c r="T28" s="22">
        <f t="shared" ref="T28:Y28" si="10">MEDIAN(T$4:T$23)</f>
        <v>0.56880304890005196</v>
      </c>
      <c r="W28" s="22"/>
      <c r="X28" s="22">
        <f t="shared" si="10"/>
        <v>4807.5</v>
      </c>
      <c r="Y28" s="22">
        <f t="shared" si="10"/>
        <v>6570.5</v>
      </c>
    </row>
    <row r="29" spans="1:38">
      <c r="A29" s="5" t="s">
        <v>102</v>
      </c>
      <c r="E29" s="5" t="s">
        <v>86</v>
      </c>
      <c r="F29" s="36"/>
      <c r="G29" s="29"/>
      <c r="H29" s="29" t="s">
        <v>99</v>
      </c>
      <c r="I29" s="22">
        <f>GEOMEAN(I$4:I$23)</f>
        <v>221.39771029974685</v>
      </c>
      <c r="J29" s="29" t="s">
        <v>99</v>
      </c>
      <c r="K29" s="29" t="s">
        <v>99</v>
      </c>
      <c r="L29" s="29"/>
      <c r="M29" s="36"/>
      <c r="N29" s="29"/>
      <c r="O29" s="29" t="s">
        <v>99</v>
      </c>
      <c r="P29" s="22">
        <f>GEOMEAN(P$4:P$23)</f>
        <v>119.51555984721712</v>
      </c>
      <c r="Q29" s="29" t="s">
        <v>99</v>
      </c>
      <c r="R29" s="29" t="s">
        <v>99</v>
      </c>
      <c r="S29" s="22"/>
      <c r="T29" s="29" t="s">
        <v>99</v>
      </c>
      <c r="U29" s="29"/>
      <c r="V29" s="29"/>
      <c r="W29" s="22"/>
      <c r="X29" s="22">
        <f>GEOMEAN(X$4:X$23)</f>
        <v>4971.39657533849</v>
      </c>
      <c r="Y29" s="22">
        <f>GEOMEAN(Y$4:Y$23)</f>
        <v>6634.034430852932</v>
      </c>
    </row>
    <row r="30" spans="1:38">
      <c r="E30" s="5" t="s">
        <v>87</v>
      </c>
      <c r="F30" s="35"/>
      <c r="G30" s="22"/>
      <c r="H30" s="22">
        <f>AVERAGE(H$4:H$23)</f>
        <v>0.8196710655553815</v>
      </c>
      <c r="I30" s="22">
        <f>AVERAGE(I$4:I$23)</f>
        <v>267.97241686929914</v>
      </c>
      <c r="J30" s="22">
        <f>AVERAGE(J$4:J$23)</f>
        <v>2.229592137253428</v>
      </c>
      <c r="K30" s="22">
        <f>AVERAGE(K$4:K$23)</f>
        <v>10.798684807979473</v>
      </c>
      <c r="L30" s="22"/>
      <c r="M30" s="35"/>
      <c r="N30" s="22"/>
      <c r="O30" s="22">
        <f>AVERAGE(O$4:O$23)</f>
        <v>0.69569892473118278</v>
      </c>
      <c r="P30" s="22">
        <f>AVERAGE(P$4:P$23)</f>
        <v>134.38738545072525</v>
      </c>
      <c r="Q30" s="22">
        <f>AVERAGE(Q$4:Q$23)</f>
        <v>3.6227080714983937</v>
      </c>
      <c r="R30" s="22">
        <f>AVERAGE(R$4:R$23)</f>
        <v>31.96200438226759</v>
      </c>
      <c r="S30" s="22"/>
      <c r="T30" s="22">
        <f t="shared" ref="T30:Y30" si="11">AVERAGE(T$4:T$23)</f>
        <v>0.61565946525533144</v>
      </c>
      <c r="W30" s="22"/>
      <c r="X30" s="22">
        <f t="shared" si="11"/>
        <v>5010.3500000000004</v>
      </c>
      <c r="Y30" s="22">
        <f t="shared" si="11"/>
        <v>6640.7</v>
      </c>
    </row>
    <row r="31" spans="1:38">
      <c r="E31" s="5" t="s">
        <v>88</v>
      </c>
      <c r="F31" s="35"/>
      <c r="G31" s="22"/>
      <c r="H31" s="22">
        <f>STDEV(H$4:H$23)</f>
        <v>0.56715696978647312</v>
      </c>
      <c r="I31" s="22">
        <f>STDEV(I$4:I$23)</f>
        <v>170.52888394119361</v>
      </c>
      <c r="J31" s="22">
        <f>STDEV(J$4:J$23)</f>
        <v>1.3046584293423458</v>
      </c>
      <c r="K31" s="22">
        <f>STDEV(K$4:K$23)</f>
        <v>8.0031529998921531</v>
      </c>
      <c r="L31" s="22"/>
      <c r="M31" s="35"/>
      <c r="N31" s="22"/>
      <c r="O31" s="22">
        <f>STDEV(O$4:O$23)</f>
        <v>0.82977333390851482</v>
      </c>
      <c r="P31" s="22">
        <f>STDEV(P$4:P$23)</f>
        <v>69.343421445950796</v>
      </c>
      <c r="Q31" s="22">
        <f>STDEV(Q$4:Q$23)</f>
        <v>5.1761433150050991</v>
      </c>
      <c r="R31" s="22">
        <f>STDEV(R$4:R$23)</f>
        <v>49.207373654627659</v>
      </c>
      <c r="S31" s="22"/>
      <c r="T31" s="22">
        <f t="shared" ref="T31:Y31" si="12">STDEV(T$4:T$23)</f>
        <v>0.27121431989751121</v>
      </c>
      <c r="W31" s="22"/>
      <c r="X31" s="22">
        <f t="shared" si="12"/>
        <v>673.77266781514481</v>
      </c>
      <c r="Y31" s="22">
        <f t="shared" si="12"/>
        <v>308.39364796517077</v>
      </c>
    </row>
    <row r="32" spans="1:38">
      <c r="E32" s="5" t="s">
        <v>89</v>
      </c>
      <c r="F32" s="35"/>
      <c r="G32" s="22"/>
      <c r="H32" s="22">
        <f>COUNT(H$4:H$23)</f>
        <v>4</v>
      </c>
      <c r="I32" s="22">
        <f>COUNT(I$4:I$23)</f>
        <v>20</v>
      </c>
      <c r="J32" s="22">
        <f>COUNT(J$4:J$23)</f>
        <v>16</v>
      </c>
      <c r="K32" s="22">
        <f>COUNT(K$4:K$23)</f>
        <v>16</v>
      </c>
      <c r="L32" s="22"/>
      <c r="M32" s="35"/>
      <c r="N32" s="22"/>
      <c r="O32" s="22">
        <f>COUNT(O$4:O$23)</f>
        <v>2</v>
      </c>
      <c r="P32" s="22">
        <f>COUNT(P$4:P$23)</f>
        <v>20</v>
      </c>
      <c r="Q32" s="22">
        <f>COUNT(Q$4:Q$23)</f>
        <v>12</v>
      </c>
      <c r="R32" s="22">
        <f>COUNT(R$4:R$23)</f>
        <v>12</v>
      </c>
      <c r="S32" s="22"/>
      <c r="T32" s="22">
        <f t="shared" ref="T32:Y32" si="13">COUNT(T$4:T$23)</f>
        <v>20</v>
      </c>
      <c r="W32" s="22"/>
      <c r="X32" s="22">
        <f t="shared" si="13"/>
        <v>20</v>
      </c>
      <c r="Y32" s="22">
        <f t="shared" si="13"/>
        <v>20</v>
      </c>
    </row>
    <row r="34" spans="2:26">
      <c r="E34" s="5" t="s">
        <v>83</v>
      </c>
      <c r="I34" s="22">
        <f>QUARTILE(I$4:I$23,0)</f>
        <v>60.569892473118273</v>
      </c>
      <c r="L34" s="22"/>
      <c r="M34" s="22"/>
      <c r="N34" s="22"/>
      <c r="P34" s="22">
        <f t="shared" ref="P34" si="14">QUARTILE(P$4:P$23,0)</f>
        <v>47.83512544802867</v>
      </c>
    </row>
    <row r="35" spans="2:26">
      <c r="E35" s="5" t="s">
        <v>121</v>
      </c>
      <c r="I35" s="22">
        <f>QUARTILE(I$4:I$23,1)</f>
        <v>179.51227598566308</v>
      </c>
      <c r="L35" s="22"/>
      <c r="M35" s="22"/>
      <c r="N35" s="22"/>
      <c r="P35" s="22">
        <f t="shared" ref="P35" si="15">QUARTILE(P$4:P$23,1)</f>
        <v>97.571102150537627</v>
      </c>
    </row>
    <row r="36" spans="2:26">
      <c r="E36" s="5" t="s">
        <v>85</v>
      </c>
      <c r="I36" s="22">
        <f>QUARTILE(I$4:I$23,2)</f>
        <v>234.30735042735043</v>
      </c>
      <c r="L36" s="22"/>
      <c r="M36" s="22"/>
      <c r="N36" s="22"/>
      <c r="P36" s="22">
        <f t="shared" ref="P36" si="16">QUARTILE(P$4:P$23,2)</f>
        <v>120.89612135176651</v>
      </c>
    </row>
    <row r="37" spans="2:26">
      <c r="E37" s="5" t="s">
        <v>122</v>
      </c>
      <c r="I37" s="22">
        <f>QUARTILE(I$4:I$23,3)</f>
        <v>288.28383388950681</v>
      </c>
      <c r="L37" s="22"/>
      <c r="M37" s="22"/>
      <c r="N37" s="22"/>
      <c r="P37" s="22">
        <f t="shared" ref="P37" si="17">QUARTILE(P$4:P$23,3)</f>
        <v>171.79064900153608</v>
      </c>
      <c r="X37" s="33"/>
      <c r="Y37" s="33"/>
      <c r="Z37" s="33"/>
    </row>
    <row r="38" spans="2:26">
      <c r="E38" s="5" t="s">
        <v>84</v>
      </c>
      <c r="I38" s="22">
        <f>QUARTILE(I$4:I$23,4)</f>
        <v>709.86904761904759</v>
      </c>
      <c r="L38" s="22"/>
      <c r="M38" s="22"/>
      <c r="N38" s="22"/>
      <c r="P38" s="22">
        <f t="shared" ref="P38" si="18">QUARTILE(P$4:P$23,4)</f>
        <v>341.94516129032263</v>
      </c>
      <c r="X38" s="33"/>
      <c r="Y38" s="33"/>
      <c r="Z38" s="33"/>
    </row>
    <row r="39" spans="2:26">
      <c r="B39" s="33"/>
      <c r="X39" s="33"/>
      <c r="Y39" s="33"/>
      <c r="Z39" s="33"/>
    </row>
    <row r="40" spans="2:26">
      <c r="B40" s="33"/>
    </row>
  </sheetData>
  <mergeCells count="7">
    <mergeCell ref="AH2:AL2"/>
    <mergeCell ref="T2:V2"/>
    <mergeCell ref="A26:C27"/>
    <mergeCell ref="A2:D2"/>
    <mergeCell ref="F2:K2"/>
    <mergeCell ref="M2:R2"/>
    <mergeCell ref="X2:A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ParachuteMesaverde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 Image</dc:creator>
  <cp:lastModifiedBy>cfisher</cp:lastModifiedBy>
  <dcterms:created xsi:type="dcterms:W3CDTF">2009-08-17T16:40:35Z</dcterms:created>
  <dcterms:modified xsi:type="dcterms:W3CDTF">2010-06-08T17:06:18Z</dcterms:modified>
</cp:coreProperties>
</file>