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240" windowWidth="27375" windowHeight="13695"/>
  </bookViews>
  <sheets>
    <sheet name="RulisonMesaverd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0" i="1"/>
  <c r="U20"/>
  <c r="V20"/>
  <c r="P46" l="1"/>
  <c r="P47"/>
  <c r="P48"/>
  <c r="P49"/>
  <c r="P50"/>
  <c r="I50"/>
  <c r="I49"/>
  <c r="I48"/>
  <c r="I47"/>
  <c r="I46"/>
  <c r="T5"/>
  <c r="T6"/>
  <c r="T7"/>
  <c r="T8"/>
  <c r="T9"/>
  <c r="T10"/>
  <c r="T11"/>
  <c r="T12"/>
  <c r="T13"/>
  <c r="T14"/>
  <c r="T15"/>
  <c r="T16"/>
  <c r="T17"/>
  <c r="T18"/>
  <c r="T19"/>
  <c r="T21"/>
  <c r="T22"/>
  <c r="T23"/>
  <c r="T24"/>
  <c r="T25"/>
  <c r="T26"/>
  <c r="T27"/>
  <c r="T28"/>
  <c r="T29"/>
  <c r="T30"/>
  <c r="T31"/>
  <c r="T32"/>
  <c r="T33"/>
  <c r="T34"/>
  <c r="T35"/>
  <c r="T4"/>
  <c r="T38" s="1"/>
  <c r="U5"/>
  <c r="U6"/>
  <c r="U7"/>
  <c r="U8"/>
  <c r="U9"/>
  <c r="U10"/>
  <c r="U11"/>
  <c r="U12"/>
  <c r="U13"/>
  <c r="U14"/>
  <c r="U15"/>
  <c r="U16"/>
  <c r="U17"/>
  <c r="U18"/>
  <c r="U19"/>
  <c r="U21"/>
  <c r="U22"/>
  <c r="U23"/>
  <c r="U24"/>
  <c r="U25"/>
  <c r="U26"/>
  <c r="U27"/>
  <c r="U28"/>
  <c r="U29"/>
  <c r="U30"/>
  <c r="U31"/>
  <c r="U32"/>
  <c r="U33"/>
  <c r="U34"/>
  <c r="U35"/>
  <c r="U4"/>
  <c r="U38" s="1"/>
  <c r="O38"/>
  <c r="P38"/>
  <c r="Q38"/>
  <c r="O39"/>
  <c r="P39"/>
  <c r="Q39"/>
  <c r="O40"/>
  <c r="P40"/>
  <c r="Q40"/>
  <c r="P41"/>
  <c r="Q41"/>
  <c r="O42"/>
  <c r="P42"/>
  <c r="Q42"/>
  <c r="O43"/>
  <c r="P43"/>
  <c r="Q43"/>
  <c r="O44"/>
  <c r="P44"/>
  <c r="Q44"/>
  <c r="I38"/>
  <c r="J38"/>
  <c r="I39"/>
  <c r="J39"/>
  <c r="I40"/>
  <c r="J40"/>
  <c r="I41"/>
  <c r="J41"/>
  <c r="I42"/>
  <c r="J42"/>
  <c r="I43"/>
  <c r="J43"/>
  <c r="I44"/>
  <c r="J44"/>
  <c r="H38"/>
  <c r="H44"/>
  <c r="H43"/>
  <c r="H42"/>
  <c r="H40"/>
  <c r="H39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4"/>
  <c r="K38" s="1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4"/>
  <c r="AD5"/>
  <c r="AF5"/>
  <c r="AD6"/>
  <c r="AF6"/>
  <c r="AD7"/>
  <c r="AF7"/>
  <c r="AD8"/>
  <c r="AF8"/>
  <c r="AD9"/>
  <c r="AF9"/>
  <c r="AD10"/>
  <c r="AF10"/>
  <c r="AD11"/>
  <c r="AF11"/>
  <c r="AD12"/>
  <c r="AF12"/>
  <c r="AD13"/>
  <c r="AF13"/>
  <c r="AD14"/>
  <c r="AF14"/>
  <c r="AD15"/>
  <c r="AF15"/>
  <c r="AD16"/>
  <c r="AF16"/>
  <c r="AD17"/>
  <c r="AF17"/>
  <c r="AD18"/>
  <c r="AF18"/>
  <c r="AD19"/>
  <c r="AF19"/>
  <c r="AD20"/>
  <c r="AF20"/>
  <c r="AD21"/>
  <c r="AF21"/>
  <c r="AD22"/>
  <c r="AF22"/>
  <c r="AD23"/>
  <c r="AF23"/>
  <c r="AD24"/>
  <c r="AF24"/>
  <c r="AD25"/>
  <c r="AF25"/>
  <c r="AD26"/>
  <c r="AF26"/>
  <c r="AD27"/>
  <c r="AF27"/>
  <c r="AD28"/>
  <c r="AF28"/>
  <c r="AD29"/>
  <c r="AF29"/>
  <c r="AD30"/>
  <c r="AF30"/>
  <c r="AD31"/>
  <c r="AF31"/>
  <c r="AD32"/>
  <c r="AF32"/>
  <c r="AD33"/>
  <c r="AF33"/>
  <c r="AD34"/>
  <c r="AF34"/>
  <c r="AD35"/>
  <c r="AF35"/>
  <c r="AD4"/>
  <c r="AF4"/>
  <c r="V4" l="1"/>
  <c r="V35"/>
  <c r="V34"/>
  <c r="V33"/>
  <c r="V32"/>
  <c r="V31"/>
  <c r="V30"/>
  <c r="V29"/>
  <c r="V28"/>
  <c r="V27"/>
  <c r="V26"/>
  <c r="V25"/>
  <c r="V24"/>
  <c r="V23"/>
  <c r="V22"/>
  <c r="V21"/>
  <c r="V19"/>
  <c r="V18"/>
  <c r="V17"/>
  <c r="V16"/>
  <c r="V15"/>
  <c r="V14"/>
  <c r="V13"/>
  <c r="V12"/>
  <c r="V11"/>
  <c r="V10"/>
  <c r="V9"/>
  <c r="V8"/>
  <c r="V7"/>
  <c r="V6"/>
  <c r="V5"/>
  <c r="V38"/>
  <c r="V39"/>
  <c r="V40"/>
  <c r="V41"/>
  <c r="V42"/>
  <c r="V43"/>
  <c r="V44"/>
  <c r="K44"/>
  <c r="K43"/>
  <c r="K42"/>
  <c r="K41"/>
  <c r="K40"/>
  <c r="K39"/>
  <c r="R44"/>
  <c r="R43"/>
  <c r="R42"/>
  <c r="R41"/>
  <c r="R40"/>
  <c r="R39"/>
  <c r="R38"/>
  <c r="U44"/>
  <c r="T44"/>
  <c r="U43"/>
  <c r="T43"/>
  <c r="U42"/>
  <c r="T42"/>
  <c r="U41"/>
  <c r="T41"/>
  <c r="U40"/>
  <c r="T40"/>
  <c r="U39"/>
  <c r="T39"/>
</calcChain>
</file>

<file path=xl/comments1.xml><?xml version="1.0" encoding="utf-8"?>
<comments xmlns="http://schemas.openxmlformats.org/spreadsheetml/2006/main">
  <authors>
    <author>pnelson</author>
    <author>Ghost Image</author>
  </authors>
  <commentList>
    <comment ref="A3" authorId="0">
      <text>
        <r>
          <rPr>
            <sz val="10"/>
            <color indexed="81"/>
            <rFont val="Tahoma"/>
            <family val="2"/>
          </rPr>
          <t xml:space="preserve">API, American Petroleum Institute
</t>
        </r>
      </text>
    </comment>
    <comment ref="H3" authorId="0">
      <text>
        <r>
          <rPr>
            <sz val="10"/>
            <color indexed="81"/>
            <rFont val="Tahoma"/>
            <family val="2"/>
          </rPr>
          <t>bbl/day, barrels per day</t>
        </r>
      </text>
    </comment>
    <comment ref="I3" authorId="0">
      <text>
        <r>
          <rPr>
            <sz val="10"/>
            <color indexed="81"/>
            <rFont val="Tahoma"/>
            <family val="2"/>
          </rPr>
          <t>mcf/day, thousand cubic ft per day</t>
        </r>
      </text>
    </comment>
    <comment ref="K3" authorId="0">
      <text>
        <r>
          <rPr>
            <sz val="10"/>
            <color indexed="81"/>
            <rFont val="Tahoma"/>
            <family val="2"/>
          </rPr>
          <t>mmcf, million cubic feet</t>
        </r>
      </text>
    </comment>
    <comment ref="AB3" authorId="0">
      <text>
        <r>
          <rPr>
            <b/>
            <sz val="10"/>
            <color indexed="81"/>
            <rFont val="Tahoma"/>
            <family val="2"/>
          </rPr>
          <t>F, fractured;
A, acidized</t>
        </r>
      </text>
    </comment>
    <comment ref="AK3" authorId="1">
      <text>
        <r>
          <rPr>
            <sz val="8"/>
            <color indexed="81"/>
            <rFont val="Tahoma"/>
            <family val="2"/>
          </rPr>
          <t>Source: CO Oil &amp; Gas Commission Web</t>
        </r>
      </text>
    </comment>
    <comment ref="AL3" authorId="1">
      <text>
        <r>
          <rPr>
            <sz val="8"/>
            <color indexed="81"/>
            <rFont val="Tahoma"/>
            <family val="2"/>
          </rPr>
          <t>Source: Colorado Oil &amp; Gas Commission Web</t>
        </r>
      </text>
    </comment>
  </commentList>
</comments>
</file>

<file path=xl/sharedStrings.xml><?xml version="1.0" encoding="utf-8"?>
<sst xmlns="http://schemas.openxmlformats.org/spreadsheetml/2006/main" count="358" uniqueCount="152">
  <si>
    <t>API</t>
  </si>
  <si>
    <t>Well Number</t>
  </si>
  <si>
    <t>Year</t>
  </si>
  <si>
    <t>Months</t>
  </si>
  <si>
    <t>Latitude</t>
  </si>
  <si>
    <t>Longitude</t>
  </si>
  <si>
    <t>05045072880000</t>
  </si>
  <si>
    <t>BERNKLAU RMV</t>
  </si>
  <si>
    <t>110-33</t>
  </si>
  <si>
    <t>05045071220000</t>
  </si>
  <si>
    <t>05045069060000</t>
  </si>
  <si>
    <t>CLOUGH</t>
  </si>
  <si>
    <t>11</t>
  </si>
  <si>
    <t>05045071230000</t>
  </si>
  <si>
    <t>05045073260000</t>
  </si>
  <si>
    <t>05045069560000</t>
  </si>
  <si>
    <t>05045068550000</t>
  </si>
  <si>
    <t>3</t>
  </si>
  <si>
    <t>05045069640000</t>
  </si>
  <si>
    <t>05045073100000</t>
  </si>
  <si>
    <t>05045069860000</t>
  </si>
  <si>
    <t>RMV50-1</t>
  </si>
  <si>
    <t>05045070940000</t>
  </si>
  <si>
    <t>CLOUGH RMV</t>
  </si>
  <si>
    <t>65</t>
  </si>
  <si>
    <t>05045069950000</t>
  </si>
  <si>
    <t>54</t>
  </si>
  <si>
    <t>05045072950000</t>
  </si>
  <si>
    <t>211</t>
  </si>
  <si>
    <t>05045069040000</t>
  </si>
  <si>
    <t>10</t>
  </si>
  <si>
    <t>05045070010000</t>
  </si>
  <si>
    <t>2-A</t>
  </si>
  <si>
    <t>05045065570002</t>
  </si>
  <si>
    <t>MEAD</t>
  </si>
  <si>
    <t>24-14</t>
  </si>
  <si>
    <t>15</t>
  </si>
  <si>
    <t>05045071700000</t>
  </si>
  <si>
    <t>HUGGARD</t>
  </si>
  <si>
    <t>2-13</t>
  </si>
  <si>
    <t>05045070640000</t>
  </si>
  <si>
    <t>HAMILL</t>
  </si>
  <si>
    <t>28</t>
  </si>
  <si>
    <t>05045071810000</t>
  </si>
  <si>
    <t>FUSILIER</t>
  </si>
  <si>
    <t>2-11</t>
  </si>
  <si>
    <t>1</t>
  </si>
  <si>
    <t>05045068180000</t>
  </si>
  <si>
    <t>YOUBERG</t>
  </si>
  <si>
    <t>WINCH GV-9-33</t>
  </si>
  <si>
    <t>9</t>
  </si>
  <si>
    <t>05045072400000</t>
  </si>
  <si>
    <t>VASSAR HEATH</t>
  </si>
  <si>
    <t>44</t>
  </si>
  <si>
    <t>05045069610000</t>
  </si>
  <si>
    <t>SAVAGE RMV</t>
  </si>
  <si>
    <t>37</t>
  </si>
  <si>
    <t>05045072470000</t>
  </si>
  <si>
    <t>SAVAGE</t>
  </si>
  <si>
    <t>98</t>
  </si>
  <si>
    <t>05045072120000</t>
  </si>
  <si>
    <t>31</t>
  </si>
  <si>
    <t>05045072840000</t>
  </si>
  <si>
    <t>105</t>
  </si>
  <si>
    <t>05045072480000</t>
  </si>
  <si>
    <t>101</t>
  </si>
  <si>
    <t>05045067990000</t>
  </si>
  <si>
    <t>RU-31-12V YOUBERG</t>
  </si>
  <si>
    <t>BARRETT RES CORP</t>
  </si>
  <si>
    <t>BONNEVILLE FUELS</t>
  </si>
  <si>
    <t>GASCO INCORPORATED</t>
  </si>
  <si>
    <t>BROWN TOM INC</t>
  </si>
  <si>
    <t>FUEL RESRCS DEV CO</t>
  </si>
  <si>
    <t>FebMarApr</t>
  </si>
  <si>
    <t>AugSepOct</t>
  </si>
  <si>
    <t>SepOctNov</t>
  </si>
  <si>
    <t>OctNovDec</t>
  </si>
  <si>
    <t>JanFebMar</t>
  </si>
  <si>
    <t>MayJuneJuly</t>
  </si>
  <si>
    <t>MarAprMay</t>
  </si>
  <si>
    <t>JuneJulyAug</t>
  </si>
  <si>
    <t>AprMayJune</t>
  </si>
  <si>
    <t>JulyAugSep</t>
  </si>
  <si>
    <t>7S</t>
  </si>
  <si>
    <t>6S</t>
  </si>
  <si>
    <t>94W</t>
  </si>
  <si>
    <t>93W</t>
  </si>
  <si>
    <t>F, A</t>
  </si>
  <si>
    <t xml:space="preserve">F </t>
  </si>
  <si>
    <t>F</t>
  </si>
  <si>
    <t>108-4</t>
  </si>
  <si>
    <t>RMV</t>
  </si>
  <si>
    <t>201-20</t>
  </si>
  <si>
    <t>11-22</t>
  </si>
  <si>
    <t>202-20</t>
  </si>
  <si>
    <t>208-20</t>
  </si>
  <si>
    <t>25-20</t>
  </si>
  <si>
    <t>3-20</t>
  </si>
  <si>
    <t>32-10</t>
  </si>
  <si>
    <t>90-20</t>
  </si>
  <si>
    <t>Operator</t>
  </si>
  <si>
    <r>
      <t xml:space="preserve">Oil Average </t>
    </r>
    <r>
      <rPr>
        <sz val="9"/>
        <color indexed="8"/>
        <rFont val="MS Reference Sans Serif"/>
        <family val="2"/>
      </rPr>
      <t>(bbl/day)</t>
    </r>
  </si>
  <si>
    <r>
      <t xml:space="preserve">Water Average </t>
    </r>
    <r>
      <rPr>
        <sz val="9"/>
        <color indexed="8"/>
        <rFont val="MS Reference Sans Serif"/>
        <family val="2"/>
      </rPr>
      <t>(bbl/day)</t>
    </r>
  </si>
  <si>
    <r>
      <t xml:space="preserve">Gas Average </t>
    </r>
    <r>
      <rPr>
        <sz val="9"/>
        <color indexed="8"/>
        <rFont val="MS Reference Sans Serif"/>
        <family val="2"/>
      </rPr>
      <t>(mcf/day)</t>
    </r>
  </si>
  <si>
    <t>Section</t>
  </si>
  <si>
    <t>Township</t>
  </si>
  <si>
    <t>Range</t>
  </si>
  <si>
    <t>Top Perforation Depth (ft)</t>
  </si>
  <si>
    <t>Bottom Perforation Depth (ft)</t>
  </si>
  <si>
    <t>Number of Perforations</t>
  </si>
  <si>
    <t>Number of Intervals</t>
  </si>
  <si>
    <t>Treatment</t>
  </si>
  <si>
    <t>Reference Elevation (ft)</t>
  </si>
  <si>
    <t>Top Perforation Elevation (ft)</t>
  </si>
  <si>
    <t>Bottom Perforation Elevation (ft)</t>
  </si>
  <si>
    <t>Perforation Interval (ft)</t>
  </si>
  <si>
    <t>Water-Gas Ratio (bbl/mmcf)</t>
  </si>
  <si>
    <t>minimum</t>
  </si>
  <si>
    <t>maximum</t>
  </si>
  <si>
    <t>median</t>
  </si>
  <si>
    <t>geometric mean</t>
  </si>
  <si>
    <t>arithmetic mean</t>
  </si>
  <si>
    <t>standard deviation</t>
  </si>
  <si>
    <t>count</t>
  </si>
  <si>
    <t>Production data derived from data provided by IHS Energy</t>
  </si>
  <si>
    <t>Perforation data from IHS Energy</t>
  </si>
  <si>
    <t>Lease Name, Well Number, Latitude, and Longitude from Colorado Oil and Gas Conservation Commission</t>
  </si>
  <si>
    <t>Well Identification</t>
  </si>
  <si>
    <t>Production Data - First Sample</t>
  </si>
  <si>
    <t>Production Data - Second Sample</t>
  </si>
  <si>
    <t>Perforation Data</t>
  </si>
  <si>
    <t>Location</t>
  </si>
  <si>
    <t>Second Sample / First Sample Ratios</t>
  </si>
  <si>
    <t>Gas</t>
  </si>
  <si>
    <t>Water</t>
  </si>
  <si>
    <t>Water-Gas Ratio</t>
  </si>
  <si>
    <t>--</t>
  </si>
  <si>
    <t>05045071940001</t>
  </si>
  <si>
    <t>05045069120001</t>
  </si>
  <si>
    <t>05045066690001</t>
  </si>
  <si>
    <t>05045067210001</t>
  </si>
  <si>
    <t>05045069230001</t>
  </si>
  <si>
    <t>FED J-1-7-94-S</t>
  </si>
  <si>
    <t>KEPHART FED 2-15</t>
  </si>
  <si>
    <t>SAVAGE FEDERAL 1-3</t>
  </si>
  <si>
    <t xml:space="preserve">CLOUGH </t>
  </si>
  <si>
    <t>EXPLANATION</t>
  </si>
  <si>
    <t>STATISTICS</t>
  </si>
  <si>
    <t>1st quartile</t>
  </si>
  <si>
    <t>3rd quartile</t>
  </si>
  <si>
    <t>Lease Name</t>
  </si>
  <si>
    <t>Appendix 5.  Spreadsheet with well names and data for Mesaverde Group, Rulison Field.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</si>
</sst>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9C0006"/>
      <name val="Calibri"/>
      <family val="2"/>
      <scheme val="minor"/>
    </font>
    <font>
      <sz val="9"/>
      <color rgb="FF000000"/>
      <name val="MS Reference Sans Serif"/>
      <family val="2"/>
    </font>
    <font>
      <sz val="9"/>
      <color theme="1"/>
      <name val="MS Reference Sans Serif"/>
      <family val="2"/>
    </font>
    <font>
      <sz val="9"/>
      <color indexed="8"/>
      <name val="MS Reference Sans Serif"/>
      <family val="2"/>
    </font>
    <font>
      <sz val="9"/>
      <name val="MS Reference Sans Serif"/>
      <family val="2"/>
    </font>
    <font>
      <sz val="9"/>
      <name val="Microsoft Sans Serif"/>
      <family val="2"/>
    </font>
    <font>
      <b/>
      <sz val="10"/>
      <color indexed="81"/>
      <name val="Tahoma"/>
      <family val="2"/>
    </font>
    <font>
      <b/>
      <sz val="9"/>
      <name val="MS Reference Sans Serif"/>
      <family val="2"/>
    </font>
    <font>
      <b/>
      <sz val="9"/>
      <color theme="1"/>
      <name val="MS Reference Sans Serif"/>
      <family val="2"/>
    </font>
    <font>
      <sz val="11"/>
      <name val="Calibri"/>
      <family val="2"/>
      <scheme val="minor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4">
    <xf numFmtId="0" fontId="0" fillId="0" borderId="0" xfId="0"/>
    <xf numFmtId="49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 applyProtection="1">
      <alignment horizontal="right" vertical="center"/>
    </xf>
    <xf numFmtId="0" fontId="5" fillId="0" borderId="0" xfId="0" applyFont="1"/>
    <xf numFmtId="0" fontId="3" fillId="0" borderId="7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2" fontId="3" fillId="0" borderId="4" xfId="0" applyNumberFormat="1" applyFont="1" applyFill="1" applyBorder="1" applyAlignment="1" applyProtection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/>
    <xf numFmtId="2" fontId="4" fillId="0" borderId="0" xfId="0" applyNumberFormat="1" applyFont="1"/>
    <xf numFmtId="2" fontId="3" fillId="0" borderId="7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2" fontId="3" fillId="0" borderId="15" xfId="0" applyNumberFormat="1" applyFont="1" applyFill="1" applyBorder="1" applyAlignment="1" applyProtection="1">
      <alignment horizontal="center" vertical="top" wrapText="1"/>
    </xf>
    <xf numFmtId="2" fontId="3" fillId="0" borderId="16" xfId="0" applyNumberFormat="1" applyFont="1" applyFill="1" applyBorder="1" applyAlignment="1" applyProtection="1">
      <alignment horizontal="center" vertical="top" wrapText="1"/>
    </xf>
    <xf numFmtId="2" fontId="3" fillId="0" borderId="17" xfId="0" applyNumberFormat="1" applyFont="1" applyFill="1" applyBorder="1" applyAlignment="1" applyProtection="1">
      <alignment horizontal="center" vertical="top" wrapText="1"/>
    </xf>
    <xf numFmtId="2" fontId="4" fillId="0" borderId="0" xfId="0" quotePrefix="1" applyNumberFormat="1" applyFont="1" applyAlignment="1">
      <alignment horizontal="right"/>
    </xf>
    <xf numFmtId="0" fontId="4" fillId="0" borderId="0" xfId="0" applyFont="1" applyAlignment="1"/>
    <xf numFmtId="0" fontId="10" fillId="0" borderId="0" xfId="0" applyFont="1"/>
    <xf numFmtId="0" fontId="9" fillId="3" borderId="0" xfId="0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right" vertical="center"/>
    </xf>
    <xf numFmtId="2" fontId="2" fillId="0" borderId="0" xfId="1" applyNumberFormat="1" applyFill="1"/>
    <xf numFmtId="2" fontId="11" fillId="0" borderId="0" xfId="1" applyNumberFormat="1" applyFont="1" applyFill="1"/>
    <xf numFmtId="0" fontId="4" fillId="0" borderId="0" xfId="0" quotePrefix="1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0" fillId="0" borderId="0" xfId="0" applyFill="1"/>
    <xf numFmtId="0" fontId="3" fillId="0" borderId="0" xfId="0" applyNumberFormat="1" applyFont="1" applyFill="1" applyAlignment="1" applyProtection="1">
      <alignment horizontal="right" vertical="center"/>
    </xf>
    <xf numFmtId="0" fontId="4" fillId="0" borderId="0" xfId="0" quotePrefix="1" applyFont="1" applyFill="1" applyAlignment="1">
      <alignment horizontal="center"/>
    </xf>
    <xf numFmtId="0" fontId="3" fillId="0" borderId="7" xfId="0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/>
    <xf numFmtId="0" fontId="6" fillId="0" borderId="0" xfId="0" applyNumberFormat="1" applyFont="1" applyAlignment="1">
      <alignment horizontal="right"/>
    </xf>
    <xf numFmtId="0" fontId="6" fillId="0" borderId="7" xfId="0" applyNumberFormat="1" applyFont="1" applyBorder="1" applyAlignment="1">
      <alignment horizontal="right"/>
    </xf>
    <xf numFmtId="2" fontId="0" fillId="0" borderId="0" xfId="0" applyNumberFormat="1" applyFill="1"/>
    <xf numFmtId="2" fontId="5" fillId="0" borderId="1" xfId="0" quotePrefix="1" applyNumberFormat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49" fontId="9" fillId="3" borderId="8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19" defaultRowHeight="13.5"/>
  <cols>
    <col min="1" max="1" width="20.85546875" style="14" customWidth="1"/>
    <col min="2" max="2" width="20.28515625" style="14" bestFit="1" customWidth="1"/>
    <col min="3" max="3" width="12.42578125" style="14" bestFit="1" customWidth="1"/>
    <col min="4" max="4" width="22.42578125" style="14" bestFit="1" customWidth="1"/>
    <col min="5" max="5" width="3.7109375" style="14" customWidth="1"/>
    <col min="6" max="6" width="5.5703125" style="14" bestFit="1" customWidth="1"/>
    <col min="7" max="7" width="12" style="14" bestFit="1" customWidth="1"/>
    <col min="8" max="9" width="12.7109375" style="29" customWidth="1"/>
    <col min="10" max="11" width="16.7109375" style="29" customWidth="1"/>
    <col min="12" max="12" width="3.7109375" style="14" customWidth="1"/>
    <col min="13" max="13" width="5.5703125" style="14" bestFit="1" customWidth="1"/>
    <col min="14" max="14" width="12" style="14" bestFit="1" customWidth="1"/>
    <col min="15" max="16" width="12.7109375" style="29" customWidth="1"/>
    <col min="17" max="18" width="16.7109375" style="29" customWidth="1"/>
    <col min="19" max="19" width="3.7109375" style="29" customWidth="1"/>
    <col min="20" max="22" width="13.7109375" style="29" customWidth="1"/>
    <col min="23" max="23" width="3.7109375" style="14" customWidth="1"/>
    <col min="24" max="24" width="14.7109375" style="14" customWidth="1"/>
    <col min="25" max="25" width="16.7109375" style="14" customWidth="1"/>
    <col min="26" max="28" width="12.7109375" style="18" customWidth="1"/>
    <col min="29" max="29" width="12.7109375" style="14" customWidth="1"/>
    <col min="30" max="30" width="13.140625" style="36" bestFit="1" customWidth="1"/>
    <col min="31" max="31" width="15.7109375" style="36" bestFit="1" customWidth="1"/>
    <col min="32" max="32" width="12.7109375" style="36" customWidth="1"/>
    <col min="33" max="33" width="3.7109375" style="14" customWidth="1"/>
    <col min="34" max="34" width="8.28515625" style="18" customWidth="1"/>
    <col min="35" max="35" width="9.5703125" style="18" bestFit="1" customWidth="1"/>
    <col min="36" max="36" width="8" style="18" customWidth="1"/>
    <col min="37" max="37" width="11.28515625" style="14" bestFit="1" customWidth="1"/>
    <col min="38" max="38" width="13.28515625" style="14" bestFit="1" customWidth="1"/>
    <col min="39" max="16384" width="19" style="14"/>
  </cols>
  <sheetData>
    <row r="1" spans="1:38" ht="15" customHeight="1" thickBot="1">
      <c r="A1" s="14" t="s">
        <v>151</v>
      </c>
    </row>
    <row r="2" spans="1:38" s="43" customFormat="1" ht="14.1" customHeight="1">
      <c r="A2" s="68" t="s">
        <v>127</v>
      </c>
      <c r="B2" s="69"/>
      <c r="C2" s="69"/>
      <c r="D2" s="70"/>
      <c r="F2" s="63" t="s">
        <v>128</v>
      </c>
      <c r="G2" s="64"/>
      <c r="H2" s="64"/>
      <c r="I2" s="64"/>
      <c r="J2" s="64"/>
      <c r="K2" s="64"/>
      <c r="M2" s="63" t="s">
        <v>129</v>
      </c>
      <c r="N2" s="64"/>
      <c r="O2" s="64"/>
      <c r="P2" s="64"/>
      <c r="Q2" s="64"/>
      <c r="R2" s="64"/>
      <c r="S2" s="44"/>
      <c r="T2" s="71" t="s">
        <v>132</v>
      </c>
      <c r="U2" s="72"/>
      <c r="V2" s="73"/>
      <c r="X2" s="63" t="s">
        <v>130</v>
      </c>
      <c r="Y2" s="64"/>
      <c r="Z2" s="64"/>
      <c r="AA2" s="64"/>
      <c r="AB2" s="64"/>
      <c r="AC2" s="64"/>
      <c r="AD2" s="64"/>
      <c r="AE2" s="64"/>
      <c r="AF2" s="64"/>
      <c r="AH2" s="65" t="s">
        <v>131</v>
      </c>
      <c r="AI2" s="65"/>
      <c r="AJ2" s="65"/>
      <c r="AK2" s="65"/>
      <c r="AL2" s="66"/>
    </row>
    <row r="3" spans="1:38" s="8" customFormat="1" ht="26.1" customHeight="1" thickBot="1">
      <c r="A3" s="1" t="s">
        <v>0</v>
      </c>
      <c r="B3" s="2" t="s">
        <v>150</v>
      </c>
      <c r="C3" s="3" t="s">
        <v>1</v>
      </c>
      <c r="D3" s="4" t="s">
        <v>100</v>
      </c>
      <c r="E3" s="5"/>
      <c r="F3" s="6" t="s">
        <v>2</v>
      </c>
      <c r="G3" s="2" t="s">
        <v>3</v>
      </c>
      <c r="H3" s="23" t="s">
        <v>101</v>
      </c>
      <c r="I3" s="23" t="s">
        <v>103</v>
      </c>
      <c r="J3" s="23" t="s">
        <v>102</v>
      </c>
      <c r="K3" s="24" t="s">
        <v>116</v>
      </c>
      <c r="L3" s="7"/>
      <c r="M3" s="6" t="s">
        <v>2</v>
      </c>
      <c r="N3" s="2" t="s">
        <v>3</v>
      </c>
      <c r="O3" s="23" t="s">
        <v>101</v>
      </c>
      <c r="P3" s="23" t="s">
        <v>103</v>
      </c>
      <c r="Q3" s="24" t="s">
        <v>102</v>
      </c>
      <c r="R3" s="24" t="s">
        <v>116</v>
      </c>
      <c r="S3" s="37"/>
      <c r="T3" s="38" t="s">
        <v>133</v>
      </c>
      <c r="U3" s="39" t="s">
        <v>134</v>
      </c>
      <c r="V3" s="40" t="s">
        <v>135</v>
      </c>
      <c r="X3" s="31" t="s">
        <v>107</v>
      </c>
      <c r="Y3" s="32" t="s">
        <v>108</v>
      </c>
      <c r="Z3" s="32" t="s">
        <v>109</v>
      </c>
      <c r="AA3" s="32" t="s">
        <v>110</v>
      </c>
      <c r="AB3" s="9" t="s">
        <v>111</v>
      </c>
      <c r="AC3" s="32" t="s">
        <v>112</v>
      </c>
      <c r="AD3" s="33" t="s">
        <v>113</v>
      </c>
      <c r="AE3" s="33" t="s">
        <v>114</v>
      </c>
      <c r="AF3" s="34" t="s">
        <v>115</v>
      </c>
      <c r="AG3" s="10"/>
      <c r="AH3" s="11" t="s">
        <v>104</v>
      </c>
      <c r="AI3" s="11" t="s">
        <v>105</v>
      </c>
      <c r="AJ3" s="11" t="s">
        <v>106</v>
      </c>
      <c r="AK3" s="2" t="s">
        <v>4</v>
      </c>
      <c r="AL3" s="12" t="s">
        <v>5</v>
      </c>
    </row>
    <row r="4" spans="1:38">
      <c r="A4" s="13" t="s">
        <v>137</v>
      </c>
      <c r="B4" s="13" t="s">
        <v>7</v>
      </c>
      <c r="C4" s="13" t="s">
        <v>90</v>
      </c>
      <c r="D4" s="13" t="s">
        <v>68</v>
      </c>
      <c r="E4" s="51"/>
      <c r="F4" s="15">
        <v>2000</v>
      </c>
      <c r="G4" s="16" t="s">
        <v>73</v>
      </c>
      <c r="H4" s="25">
        <v>2.7641453466814982</v>
      </c>
      <c r="I4" s="25">
        <v>860.76910147077012</v>
      </c>
      <c r="J4" s="25">
        <v>3.6777901371894699</v>
      </c>
      <c r="K4" s="26">
        <f>1000*J4/I4</f>
        <v>4.2726790853730012</v>
      </c>
      <c r="L4" s="51"/>
      <c r="M4" s="15">
        <v>2005</v>
      </c>
      <c r="N4" s="16" t="s">
        <v>73</v>
      </c>
      <c r="O4" s="25">
        <v>0.68072196620583725</v>
      </c>
      <c r="P4" s="25">
        <v>255.52767537122375</v>
      </c>
      <c r="Q4" s="25">
        <v>2.5590117767537119</v>
      </c>
      <c r="R4" s="27">
        <f>1000*Q4/P4</f>
        <v>10.014616902204617</v>
      </c>
      <c r="S4" s="27"/>
      <c r="T4" s="27">
        <f t="shared" ref="T4:T35" si="0">P4/I4</f>
        <v>0.29685972107341135</v>
      </c>
      <c r="U4" s="27">
        <f t="shared" ref="U4:U35" si="1">Q4/J4</f>
        <v>0.69580146808193977</v>
      </c>
      <c r="V4" s="27">
        <f t="shared" ref="V4:V35" si="2">R4/K4</f>
        <v>2.3438729429711778</v>
      </c>
      <c r="X4" s="57">
        <v>5196</v>
      </c>
      <c r="Y4" s="57">
        <v>6765</v>
      </c>
      <c r="Z4" s="56" t="s">
        <v>136</v>
      </c>
      <c r="AA4" s="18">
        <v>2</v>
      </c>
      <c r="AB4" s="18" t="s">
        <v>87</v>
      </c>
      <c r="AC4" s="19">
        <v>5787</v>
      </c>
      <c r="AD4" s="35">
        <f t="shared" ref="AD4:AD35" si="3">AC4-X4</f>
        <v>591</v>
      </c>
      <c r="AE4" s="35">
        <f t="shared" ref="AE4:AE35" si="4">AC4-Y4</f>
        <v>-978</v>
      </c>
      <c r="AF4" s="35">
        <f>AD4-AE4</f>
        <v>1569</v>
      </c>
      <c r="AH4" s="18">
        <v>4</v>
      </c>
      <c r="AI4" s="18" t="s">
        <v>83</v>
      </c>
      <c r="AJ4" s="18" t="s">
        <v>85</v>
      </c>
      <c r="AK4" s="14">
        <v>39.473350000000003</v>
      </c>
      <c r="AL4" s="14">
        <v>-107.88876999999999</v>
      </c>
    </row>
    <row r="5" spans="1:38">
      <c r="A5" s="13" t="s">
        <v>6</v>
      </c>
      <c r="B5" s="13" t="s">
        <v>7</v>
      </c>
      <c r="C5" s="13" t="s">
        <v>8</v>
      </c>
      <c r="D5" s="13" t="s">
        <v>68</v>
      </c>
      <c r="E5" s="51"/>
      <c r="F5" s="15">
        <v>2000</v>
      </c>
      <c r="G5" s="16" t="s">
        <v>74</v>
      </c>
      <c r="H5" s="25">
        <v>0.91039426523297484</v>
      </c>
      <c r="I5" s="25">
        <v>785.67634408602146</v>
      </c>
      <c r="J5" s="25">
        <v>3.8236559139784947</v>
      </c>
      <c r="K5" s="26">
        <f t="shared" ref="K5:K35" si="5">1000*J5/I5</f>
        <v>4.8667061732990824</v>
      </c>
      <c r="L5" s="51"/>
      <c r="M5" s="15">
        <v>2005</v>
      </c>
      <c r="N5" s="16" t="s">
        <v>74</v>
      </c>
      <c r="O5" s="25">
        <v>0.2193548387096774</v>
      </c>
      <c r="P5" s="25">
        <v>139.9383512544803</v>
      </c>
      <c r="Q5" s="25">
        <v>1.2992831541218639</v>
      </c>
      <c r="R5" s="27">
        <f t="shared" ref="R5:R35" si="6">1000*Q5/P5</f>
        <v>9.2846824510537154</v>
      </c>
      <c r="S5" s="27"/>
      <c r="T5" s="27">
        <f t="shared" si="0"/>
        <v>0.17811195705181987</v>
      </c>
      <c r="U5" s="27">
        <f t="shared" si="1"/>
        <v>0.33980127484064493</v>
      </c>
      <c r="V5" s="27">
        <f t="shared" si="2"/>
        <v>1.907795975436861</v>
      </c>
      <c r="X5" s="17">
        <v>5676</v>
      </c>
      <c r="Y5" s="17">
        <v>7353</v>
      </c>
      <c r="Z5" s="18">
        <v>61</v>
      </c>
      <c r="AA5" s="18">
        <v>4</v>
      </c>
      <c r="AB5" s="18" t="s">
        <v>87</v>
      </c>
      <c r="AC5" s="19">
        <v>5789</v>
      </c>
      <c r="AD5" s="35">
        <f t="shared" si="3"/>
        <v>113</v>
      </c>
      <c r="AE5" s="35">
        <f t="shared" si="4"/>
        <v>-1564</v>
      </c>
      <c r="AF5" s="35">
        <f t="shared" ref="AF5:AF35" si="7">AD5-AE5</f>
        <v>1677</v>
      </c>
      <c r="AH5" s="18">
        <v>33</v>
      </c>
      <c r="AI5" s="18" t="s">
        <v>84</v>
      </c>
      <c r="AJ5" s="18" t="s">
        <v>85</v>
      </c>
      <c r="AK5" s="14">
        <v>39.477060000000002</v>
      </c>
      <c r="AL5" s="14">
        <v>-107.88993000000001</v>
      </c>
    </row>
    <row r="6" spans="1:38">
      <c r="A6" s="13" t="s">
        <v>9</v>
      </c>
      <c r="B6" s="13" t="s">
        <v>91</v>
      </c>
      <c r="C6" s="13" t="s">
        <v>92</v>
      </c>
      <c r="D6" s="13" t="s">
        <v>68</v>
      </c>
      <c r="E6" s="51"/>
      <c r="F6" s="15">
        <v>1999</v>
      </c>
      <c r="G6" s="16" t="s">
        <v>74</v>
      </c>
      <c r="H6" s="25">
        <v>0.79068100358422944</v>
      </c>
      <c r="I6" s="25">
        <v>262.31648745519715</v>
      </c>
      <c r="J6" s="25">
        <v>2.3333333333333335</v>
      </c>
      <c r="K6" s="26">
        <f t="shared" si="5"/>
        <v>8.8951074176451055</v>
      </c>
      <c r="L6" s="51"/>
      <c r="M6" s="15">
        <v>2004</v>
      </c>
      <c r="N6" s="16" t="s">
        <v>74</v>
      </c>
      <c r="O6" s="25">
        <v>0.47562724014336921</v>
      </c>
      <c r="P6" s="25">
        <v>147.99856630824374</v>
      </c>
      <c r="Q6" s="25">
        <v>0.59139784946236562</v>
      </c>
      <c r="R6" s="27">
        <f t="shared" si="6"/>
        <v>3.9959701246742676</v>
      </c>
      <c r="S6" s="27"/>
      <c r="T6" s="27">
        <f t="shared" si="0"/>
        <v>0.56419849070112849</v>
      </c>
      <c r="U6" s="27">
        <f t="shared" si="1"/>
        <v>0.25345622119815669</v>
      </c>
      <c r="V6" s="27">
        <f t="shared" si="2"/>
        <v>0.44923236303448288</v>
      </c>
      <c r="X6" s="17">
        <v>5424</v>
      </c>
      <c r="Y6" s="17">
        <v>7565</v>
      </c>
      <c r="Z6" s="18">
        <v>100</v>
      </c>
      <c r="AA6" s="18">
        <v>5</v>
      </c>
      <c r="AB6" s="18" t="s">
        <v>87</v>
      </c>
      <c r="AC6" s="59">
        <v>5513</v>
      </c>
      <c r="AD6" s="35">
        <f t="shared" si="3"/>
        <v>89</v>
      </c>
      <c r="AE6" s="35">
        <f t="shared" si="4"/>
        <v>-2052</v>
      </c>
      <c r="AF6" s="35">
        <f t="shared" si="7"/>
        <v>2141</v>
      </c>
      <c r="AH6" s="18">
        <v>20</v>
      </c>
      <c r="AI6" s="18" t="s">
        <v>84</v>
      </c>
      <c r="AJ6" s="18" t="s">
        <v>85</v>
      </c>
      <c r="AK6" s="14">
        <v>39.514009000000001</v>
      </c>
      <c r="AL6" s="14">
        <v>-107.910871</v>
      </c>
    </row>
    <row r="7" spans="1:38">
      <c r="A7" s="13" t="s">
        <v>10</v>
      </c>
      <c r="B7" s="13" t="s">
        <v>23</v>
      </c>
      <c r="C7" s="13" t="s">
        <v>93</v>
      </c>
      <c r="D7" s="13" t="s">
        <v>68</v>
      </c>
      <c r="E7" s="51"/>
      <c r="F7" s="15">
        <v>1997</v>
      </c>
      <c r="G7" s="16" t="s">
        <v>75</v>
      </c>
      <c r="H7" s="25">
        <v>1.2246446669138549</v>
      </c>
      <c r="I7" s="25">
        <v>288.44712643678162</v>
      </c>
      <c r="J7" s="25">
        <v>4.4177481151897169</v>
      </c>
      <c r="K7" s="26">
        <f t="shared" si="5"/>
        <v>15.315625327118473</v>
      </c>
      <c r="L7" s="51"/>
      <c r="M7" s="15">
        <v>2002</v>
      </c>
      <c r="N7" s="16" t="s">
        <v>76</v>
      </c>
      <c r="O7" s="25">
        <v>2.0849462365591398</v>
      </c>
      <c r="P7" s="25">
        <v>176.14802867383514</v>
      </c>
      <c r="Q7" s="25">
        <v>0.53261648745519707</v>
      </c>
      <c r="R7" s="27">
        <f t="shared" si="6"/>
        <v>3.0236869039358796</v>
      </c>
      <c r="S7" s="27"/>
      <c r="T7" s="27">
        <f t="shared" si="0"/>
        <v>0.61067700985553464</v>
      </c>
      <c r="U7" s="27">
        <f t="shared" si="1"/>
        <v>0.12056289167412712</v>
      </c>
      <c r="V7" s="27">
        <f t="shared" si="2"/>
        <v>0.19742497216760818</v>
      </c>
      <c r="X7" s="17">
        <v>5307</v>
      </c>
      <c r="Y7" s="17">
        <v>7121</v>
      </c>
      <c r="Z7" s="18">
        <v>39</v>
      </c>
      <c r="AA7" s="18">
        <v>3</v>
      </c>
      <c r="AB7" s="18" t="s">
        <v>87</v>
      </c>
      <c r="AC7" s="17">
        <v>5242</v>
      </c>
      <c r="AD7" s="35">
        <f t="shared" si="3"/>
        <v>-65</v>
      </c>
      <c r="AE7" s="35">
        <f t="shared" si="4"/>
        <v>-1879</v>
      </c>
      <c r="AF7" s="35">
        <f t="shared" si="7"/>
        <v>1814</v>
      </c>
      <c r="AH7" s="18">
        <v>22</v>
      </c>
      <c r="AI7" s="18" t="s">
        <v>84</v>
      </c>
      <c r="AJ7" s="18" t="s">
        <v>85</v>
      </c>
      <c r="AK7" s="14">
        <v>39.505419000000003</v>
      </c>
      <c r="AL7" s="14">
        <v>-107.872069</v>
      </c>
    </row>
    <row r="8" spans="1:38">
      <c r="A8" s="13" t="s">
        <v>13</v>
      </c>
      <c r="B8" s="13" t="s">
        <v>23</v>
      </c>
      <c r="C8" s="13" t="s">
        <v>94</v>
      </c>
      <c r="D8" s="13" t="s">
        <v>68</v>
      </c>
      <c r="E8" s="51"/>
      <c r="F8" s="15">
        <v>2000</v>
      </c>
      <c r="G8" s="16" t="s">
        <v>77</v>
      </c>
      <c r="H8" s="25">
        <v>0.60548757879124959</v>
      </c>
      <c r="I8" s="25">
        <v>337.26696329254725</v>
      </c>
      <c r="J8" s="25">
        <v>3.3333333333333335</v>
      </c>
      <c r="K8" s="26">
        <f t="shared" si="5"/>
        <v>9.8833674688794861</v>
      </c>
      <c r="L8" s="51"/>
      <c r="M8" s="15">
        <v>2005</v>
      </c>
      <c r="N8" s="16" t="s">
        <v>77</v>
      </c>
      <c r="O8" s="25">
        <v>0.38056835637480796</v>
      </c>
      <c r="P8" s="25">
        <v>165.69124423963135</v>
      </c>
      <c r="Q8" s="25">
        <v>1.3245007680491552</v>
      </c>
      <c r="R8" s="27">
        <f t="shared" si="6"/>
        <v>7.9937885319612469</v>
      </c>
      <c r="S8" s="27"/>
      <c r="T8" s="27">
        <f t="shared" si="0"/>
        <v>0.4912762359588414</v>
      </c>
      <c r="U8" s="27">
        <f t="shared" si="1"/>
        <v>0.39735023041474654</v>
      </c>
      <c r="V8" s="27">
        <f t="shared" si="2"/>
        <v>0.80881223501320776</v>
      </c>
      <c r="X8" s="17">
        <v>5538</v>
      </c>
      <c r="Y8" s="17">
        <v>6875</v>
      </c>
      <c r="Z8" s="18">
        <v>60</v>
      </c>
      <c r="AA8" s="18">
        <v>3</v>
      </c>
      <c r="AB8" s="18" t="s">
        <v>87</v>
      </c>
      <c r="AC8" s="17">
        <v>5432</v>
      </c>
      <c r="AD8" s="35">
        <f t="shared" si="3"/>
        <v>-106</v>
      </c>
      <c r="AE8" s="35">
        <f t="shared" si="4"/>
        <v>-1443</v>
      </c>
      <c r="AF8" s="35">
        <f t="shared" si="7"/>
        <v>1337</v>
      </c>
      <c r="AH8" s="18">
        <v>20</v>
      </c>
      <c r="AI8" s="18" t="s">
        <v>84</v>
      </c>
      <c r="AJ8" s="18" t="s">
        <v>85</v>
      </c>
      <c r="AK8" s="14">
        <v>39.511279000000002</v>
      </c>
      <c r="AL8" s="14">
        <v>-107.908101</v>
      </c>
    </row>
    <row r="9" spans="1:38">
      <c r="A9" s="13" t="s">
        <v>14</v>
      </c>
      <c r="B9" s="13" t="s">
        <v>23</v>
      </c>
      <c r="C9" s="13" t="s">
        <v>95</v>
      </c>
      <c r="D9" s="13" t="s">
        <v>68</v>
      </c>
      <c r="E9" s="51"/>
      <c r="F9" s="15">
        <v>2001</v>
      </c>
      <c r="G9" s="16" t="s">
        <v>78</v>
      </c>
      <c r="H9" s="25">
        <v>1.2727598566308245</v>
      </c>
      <c r="I9" s="25">
        <v>590.32974910394262</v>
      </c>
      <c r="J9" s="25">
        <v>5.596774193548387</v>
      </c>
      <c r="K9" s="26">
        <f t="shared" si="5"/>
        <v>9.4807591893237486</v>
      </c>
      <c r="L9" s="51"/>
      <c r="M9" s="15">
        <v>2006</v>
      </c>
      <c r="N9" s="16" t="s">
        <v>78</v>
      </c>
      <c r="O9" s="25">
        <v>0.56487455197132619</v>
      </c>
      <c r="P9" s="25">
        <v>151.86236559139786</v>
      </c>
      <c r="Q9" s="25">
        <v>0.57491039426523294</v>
      </c>
      <c r="R9" s="27">
        <f t="shared" si="6"/>
        <v>3.785733167176466</v>
      </c>
      <c r="S9" s="27"/>
      <c r="T9" s="27">
        <f t="shared" si="0"/>
        <v>0.25725006375150272</v>
      </c>
      <c r="U9" s="27">
        <f t="shared" si="1"/>
        <v>0.10272174191482548</v>
      </c>
      <c r="V9" s="27">
        <f t="shared" si="2"/>
        <v>0.39930696388107478</v>
      </c>
      <c r="X9" s="17">
        <v>5334</v>
      </c>
      <c r="Y9" s="17">
        <v>7542</v>
      </c>
      <c r="Z9" s="18">
        <v>80</v>
      </c>
      <c r="AA9" s="18">
        <v>5</v>
      </c>
      <c r="AB9" s="18" t="s">
        <v>87</v>
      </c>
      <c r="AC9" s="17">
        <v>5428</v>
      </c>
      <c r="AD9" s="35">
        <f t="shared" si="3"/>
        <v>94</v>
      </c>
      <c r="AE9" s="35">
        <f t="shared" si="4"/>
        <v>-2114</v>
      </c>
      <c r="AF9" s="35">
        <f t="shared" si="7"/>
        <v>2208</v>
      </c>
      <c r="AH9" s="18">
        <v>20</v>
      </c>
      <c r="AI9" s="18" t="s">
        <v>84</v>
      </c>
      <c r="AJ9" s="18" t="s">
        <v>85</v>
      </c>
      <c r="AK9" s="14">
        <v>39.507759</v>
      </c>
      <c r="AL9" s="14">
        <v>-107.915841</v>
      </c>
    </row>
    <row r="10" spans="1:38">
      <c r="A10" s="13" t="s">
        <v>15</v>
      </c>
      <c r="B10" s="13" t="s">
        <v>23</v>
      </c>
      <c r="C10" s="13" t="s">
        <v>96</v>
      </c>
      <c r="D10" s="13" t="s">
        <v>68</v>
      </c>
      <c r="E10" s="51"/>
      <c r="F10" s="15">
        <v>1998</v>
      </c>
      <c r="G10" s="16" t="s">
        <v>75</v>
      </c>
      <c r="H10" s="25">
        <v>1.9896057347670251</v>
      </c>
      <c r="I10" s="25">
        <v>351.76308243727595</v>
      </c>
      <c r="J10" s="25">
        <v>2</v>
      </c>
      <c r="K10" s="26">
        <f t="shared" si="5"/>
        <v>5.6856449691721886</v>
      </c>
      <c r="L10" s="51"/>
      <c r="M10" s="15">
        <v>2003</v>
      </c>
      <c r="N10" s="16" t="s">
        <v>75</v>
      </c>
      <c r="O10" s="25">
        <v>0.58422939068100355</v>
      </c>
      <c r="P10" s="25">
        <v>135.22007168458779</v>
      </c>
      <c r="Q10" s="25">
        <v>0.9448028673835126</v>
      </c>
      <c r="R10" s="27">
        <f t="shared" si="6"/>
        <v>6.9871495822553982</v>
      </c>
      <c r="S10" s="27"/>
      <c r="T10" s="27">
        <f t="shared" si="0"/>
        <v>0.38440666015228969</v>
      </c>
      <c r="U10" s="27">
        <f t="shared" si="1"/>
        <v>0.4724014336917563</v>
      </c>
      <c r="V10" s="27">
        <f t="shared" si="2"/>
        <v>1.228910637252242</v>
      </c>
      <c r="X10" s="17">
        <v>5416</v>
      </c>
      <c r="Y10" s="17">
        <v>6974</v>
      </c>
      <c r="Z10" s="18">
        <v>60</v>
      </c>
      <c r="AA10" s="18">
        <v>3</v>
      </c>
      <c r="AB10" s="18" t="s">
        <v>87</v>
      </c>
      <c r="AC10" s="19">
        <v>5383</v>
      </c>
      <c r="AD10" s="35">
        <f t="shared" si="3"/>
        <v>-33</v>
      </c>
      <c r="AE10" s="35">
        <f t="shared" si="4"/>
        <v>-1591</v>
      </c>
      <c r="AF10" s="35">
        <f t="shared" si="7"/>
        <v>1558</v>
      </c>
      <c r="AH10" s="18">
        <v>20</v>
      </c>
      <c r="AI10" s="18" t="s">
        <v>84</v>
      </c>
      <c r="AJ10" s="18" t="s">
        <v>85</v>
      </c>
      <c r="AK10" s="14">
        <v>39.509039000000001</v>
      </c>
      <c r="AL10" s="14">
        <v>-107.909431</v>
      </c>
    </row>
    <row r="11" spans="1:38">
      <c r="A11" s="13" t="s">
        <v>16</v>
      </c>
      <c r="B11" s="13" t="s">
        <v>23</v>
      </c>
      <c r="C11" s="13" t="s">
        <v>97</v>
      </c>
      <c r="D11" s="13" t="s">
        <v>68</v>
      </c>
      <c r="E11" s="51"/>
      <c r="F11" s="15">
        <v>1998</v>
      </c>
      <c r="G11" s="16" t="s">
        <v>78</v>
      </c>
      <c r="H11" s="25">
        <v>1.5</v>
      </c>
      <c r="I11" s="25">
        <v>460.1709677419355</v>
      </c>
      <c r="J11" s="25">
        <v>4.333333333333333</v>
      </c>
      <c r="K11" s="26">
        <f t="shared" si="5"/>
        <v>9.416789926137783</v>
      </c>
      <c r="L11" s="51"/>
      <c r="M11" s="15">
        <v>2003</v>
      </c>
      <c r="N11" s="16" t="s">
        <v>78</v>
      </c>
      <c r="O11" s="25">
        <v>0.52007168458781361</v>
      </c>
      <c r="P11" s="25">
        <v>178.26881720430106</v>
      </c>
      <c r="Q11" s="25">
        <v>1.1268817204301076</v>
      </c>
      <c r="R11" s="27">
        <f t="shared" si="6"/>
        <v>6.3212497738102433</v>
      </c>
      <c r="S11" s="27"/>
      <c r="T11" s="27">
        <f t="shared" si="0"/>
        <v>0.38739692353706773</v>
      </c>
      <c r="U11" s="27">
        <f t="shared" si="1"/>
        <v>0.26004962779156332</v>
      </c>
      <c r="V11" s="27">
        <f t="shared" si="2"/>
        <v>0.67127437517371169</v>
      </c>
      <c r="X11" s="17">
        <v>5164</v>
      </c>
      <c r="Y11" s="17">
        <v>7247</v>
      </c>
      <c r="Z11" s="18">
        <v>80</v>
      </c>
      <c r="AA11" s="18">
        <v>4</v>
      </c>
      <c r="AB11" s="18" t="s">
        <v>87</v>
      </c>
      <c r="AC11" s="17">
        <v>5296</v>
      </c>
      <c r="AD11" s="35">
        <f t="shared" si="3"/>
        <v>132</v>
      </c>
      <c r="AE11" s="35">
        <f t="shared" si="4"/>
        <v>-1951</v>
      </c>
      <c r="AF11" s="35">
        <f t="shared" si="7"/>
        <v>2083</v>
      </c>
      <c r="AH11" s="18">
        <v>20</v>
      </c>
      <c r="AI11" s="18" t="s">
        <v>84</v>
      </c>
      <c r="AJ11" s="18" t="s">
        <v>85</v>
      </c>
      <c r="AK11" s="14">
        <v>39.505828999999999</v>
      </c>
      <c r="AL11" s="14">
        <v>-107.90486</v>
      </c>
    </row>
    <row r="12" spans="1:38">
      <c r="A12" s="13" t="s">
        <v>18</v>
      </c>
      <c r="B12" s="13" t="s">
        <v>23</v>
      </c>
      <c r="C12" s="13" t="s">
        <v>98</v>
      </c>
      <c r="D12" s="13" t="s">
        <v>68</v>
      </c>
      <c r="E12" s="51"/>
      <c r="F12" s="15">
        <v>1997</v>
      </c>
      <c r="G12" s="16" t="s">
        <v>74</v>
      </c>
      <c r="H12" s="25">
        <v>0.93609831029185875</v>
      </c>
      <c r="I12" s="25">
        <v>252.70316436251917</v>
      </c>
      <c r="J12" s="25">
        <v>1.3747465437788018</v>
      </c>
      <c r="K12" s="26">
        <f t="shared" si="5"/>
        <v>5.4401635501747743</v>
      </c>
      <c r="L12" s="51"/>
      <c r="M12" s="15">
        <v>2002</v>
      </c>
      <c r="N12" s="16" t="s">
        <v>74</v>
      </c>
      <c r="O12" s="25">
        <v>0.53333333333333333</v>
      </c>
      <c r="P12" s="25">
        <v>125.94767025089607</v>
      </c>
      <c r="Q12" s="25">
        <v>0.467741935483871</v>
      </c>
      <c r="R12" s="27">
        <f t="shared" si="6"/>
        <v>3.7137799734770653</v>
      </c>
      <c r="S12" s="27"/>
      <c r="T12" s="27">
        <f t="shared" si="0"/>
        <v>0.4984016348533567</v>
      </c>
      <c r="U12" s="27">
        <f t="shared" si="1"/>
        <v>0.34023866988468759</v>
      </c>
      <c r="V12" s="27">
        <f t="shared" si="2"/>
        <v>0.6826596184516831</v>
      </c>
      <c r="X12" s="17">
        <v>5320</v>
      </c>
      <c r="Y12" s="17">
        <v>7139</v>
      </c>
      <c r="Z12" s="18">
        <v>80</v>
      </c>
      <c r="AA12" s="18">
        <v>4</v>
      </c>
      <c r="AB12" s="18" t="s">
        <v>87</v>
      </c>
      <c r="AC12" s="17">
        <v>5331</v>
      </c>
      <c r="AD12" s="35">
        <f t="shared" si="3"/>
        <v>11</v>
      </c>
      <c r="AE12" s="35">
        <f t="shared" si="4"/>
        <v>-1808</v>
      </c>
      <c r="AF12" s="35">
        <f t="shared" si="7"/>
        <v>1819</v>
      </c>
      <c r="AH12" s="18">
        <v>21</v>
      </c>
      <c r="AI12" s="18" t="s">
        <v>84</v>
      </c>
      <c r="AJ12" s="18" t="s">
        <v>85</v>
      </c>
      <c r="AK12" s="14">
        <v>39.508479000000001</v>
      </c>
      <c r="AL12" s="14">
        <v>-107.90093</v>
      </c>
    </row>
    <row r="13" spans="1:38">
      <c r="A13" s="13" t="s">
        <v>19</v>
      </c>
      <c r="B13" s="13" t="s">
        <v>23</v>
      </c>
      <c r="C13" s="13" t="s">
        <v>99</v>
      </c>
      <c r="D13" s="13" t="s">
        <v>68</v>
      </c>
      <c r="E13" s="51"/>
      <c r="F13" s="15">
        <v>2000</v>
      </c>
      <c r="G13" s="16" t="s">
        <v>76</v>
      </c>
      <c r="H13" s="25">
        <v>1.9706093189964158</v>
      </c>
      <c r="I13" s="25">
        <v>563.89247311827955</v>
      </c>
      <c r="J13" s="25">
        <v>3.9802867383512548</v>
      </c>
      <c r="K13" s="26">
        <f t="shared" si="5"/>
        <v>7.0585917140205696</v>
      </c>
      <c r="L13" s="51"/>
      <c r="M13" s="15">
        <v>2006</v>
      </c>
      <c r="N13" s="16" t="s">
        <v>73</v>
      </c>
      <c r="O13" s="25">
        <v>0.54065540194572448</v>
      </c>
      <c r="P13" s="25">
        <v>229.71863799283153</v>
      </c>
      <c r="Q13" s="25">
        <v>1.8129544290834614</v>
      </c>
      <c r="R13" s="27">
        <f t="shared" si="6"/>
        <v>7.8920650275666162</v>
      </c>
      <c r="S13" s="27"/>
      <c r="T13" s="27">
        <f t="shared" si="0"/>
        <v>0.40738021687451531</v>
      </c>
      <c r="U13" s="27">
        <f t="shared" si="1"/>
        <v>0.45548337299800601</v>
      </c>
      <c r="V13" s="27">
        <f t="shared" si="2"/>
        <v>1.1180792638693788</v>
      </c>
      <c r="X13" s="17">
        <v>5430</v>
      </c>
      <c r="Y13" s="17">
        <v>7660</v>
      </c>
      <c r="Z13" s="18">
        <v>90</v>
      </c>
      <c r="AA13" s="18">
        <v>5</v>
      </c>
      <c r="AB13" s="18" t="s">
        <v>87</v>
      </c>
      <c r="AC13" s="17">
        <v>5494</v>
      </c>
      <c r="AD13" s="35">
        <f t="shared" si="3"/>
        <v>64</v>
      </c>
      <c r="AE13" s="35">
        <f t="shared" si="4"/>
        <v>-2166</v>
      </c>
      <c r="AF13" s="35">
        <f t="shared" si="7"/>
        <v>2230</v>
      </c>
      <c r="AH13" s="18">
        <v>20</v>
      </c>
      <c r="AI13" s="18" t="s">
        <v>84</v>
      </c>
      <c r="AJ13" s="18" t="s">
        <v>85</v>
      </c>
      <c r="AK13" s="14">
        <v>39.509869000000002</v>
      </c>
      <c r="AL13" s="14">
        <v>-107.917901</v>
      </c>
    </row>
    <row r="14" spans="1:38">
      <c r="A14" s="13" t="s">
        <v>20</v>
      </c>
      <c r="B14" s="13" t="s">
        <v>11</v>
      </c>
      <c r="C14" s="13" t="s">
        <v>21</v>
      </c>
      <c r="D14" s="13" t="s">
        <v>68</v>
      </c>
      <c r="E14" s="51"/>
      <c r="F14" s="15">
        <v>1999</v>
      </c>
      <c r="G14" s="16" t="s">
        <v>79</v>
      </c>
      <c r="H14" s="25">
        <v>0.98315412186379936</v>
      </c>
      <c r="I14" s="25">
        <v>339.5322580645161</v>
      </c>
      <c r="J14" s="25">
        <v>3</v>
      </c>
      <c r="K14" s="26">
        <f t="shared" si="5"/>
        <v>8.8356847655693329</v>
      </c>
      <c r="L14" s="51"/>
      <c r="M14" s="15">
        <v>2004</v>
      </c>
      <c r="N14" s="16" t="s">
        <v>76</v>
      </c>
      <c r="O14" s="25">
        <v>0.20645161290322581</v>
      </c>
      <c r="P14" s="25">
        <v>130.95304659498208</v>
      </c>
      <c r="Q14" s="25">
        <v>0.28243727598566309</v>
      </c>
      <c r="R14" s="27">
        <f t="shared" si="6"/>
        <v>2.1567827807717892</v>
      </c>
      <c r="S14" s="27"/>
      <c r="T14" s="27">
        <f t="shared" si="0"/>
        <v>0.38568661293472473</v>
      </c>
      <c r="U14" s="27">
        <f t="shared" si="1"/>
        <v>9.4145758661887693E-2</v>
      </c>
      <c r="V14" s="27">
        <f t="shared" si="2"/>
        <v>0.24409910923670392</v>
      </c>
      <c r="X14" s="17">
        <v>6919</v>
      </c>
      <c r="Y14" s="17">
        <v>8081</v>
      </c>
      <c r="Z14" s="18">
        <v>61</v>
      </c>
      <c r="AA14" s="18">
        <v>4</v>
      </c>
      <c r="AB14" s="18" t="s">
        <v>87</v>
      </c>
      <c r="AC14" s="17">
        <v>5795</v>
      </c>
      <c r="AD14" s="35">
        <f t="shared" si="3"/>
        <v>-1124</v>
      </c>
      <c r="AE14" s="35">
        <f t="shared" si="4"/>
        <v>-2286</v>
      </c>
      <c r="AF14" s="35">
        <f t="shared" si="7"/>
        <v>1162</v>
      </c>
      <c r="AH14" s="18">
        <v>18</v>
      </c>
      <c r="AI14" s="18" t="s">
        <v>84</v>
      </c>
      <c r="AJ14" s="18" t="s">
        <v>85</v>
      </c>
      <c r="AK14" s="14">
        <v>39.519879000000003</v>
      </c>
      <c r="AL14" s="14">
        <v>-107.925481</v>
      </c>
    </row>
    <row r="15" spans="1:38">
      <c r="A15" s="13" t="s">
        <v>22</v>
      </c>
      <c r="B15" s="13" t="s">
        <v>23</v>
      </c>
      <c r="C15" s="13" t="s">
        <v>24</v>
      </c>
      <c r="D15" s="13" t="s">
        <v>68</v>
      </c>
      <c r="E15" s="51"/>
      <c r="F15" s="15">
        <v>2000</v>
      </c>
      <c r="G15" s="16" t="s">
        <v>79</v>
      </c>
      <c r="H15" s="25">
        <v>0.99928315412186386</v>
      </c>
      <c r="I15" s="25">
        <v>406.27311827956987</v>
      </c>
      <c r="J15" s="25">
        <v>2.150537634408602</v>
      </c>
      <c r="K15" s="26">
        <f t="shared" si="5"/>
        <v>5.2933298750244822</v>
      </c>
      <c r="L15" s="51"/>
      <c r="M15" s="15">
        <v>2005</v>
      </c>
      <c r="N15" s="16" t="s">
        <v>80</v>
      </c>
      <c r="O15" s="25">
        <v>0.28243727598566309</v>
      </c>
      <c r="P15" s="25">
        <v>105.01612903225806</v>
      </c>
      <c r="Q15" s="25">
        <v>0.41397849462365593</v>
      </c>
      <c r="R15" s="27">
        <f t="shared" si="6"/>
        <v>3.9420467926073828</v>
      </c>
      <c r="S15" s="27"/>
      <c r="T15" s="27">
        <f t="shared" si="0"/>
        <v>0.25848653112213299</v>
      </c>
      <c r="U15" s="27">
        <f t="shared" si="1"/>
        <v>0.19250000000000003</v>
      </c>
      <c r="V15" s="27">
        <f t="shared" si="2"/>
        <v>0.74471965391900885</v>
      </c>
      <c r="X15" s="17">
        <v>5213</v>
      </c>
      <c r="Y15" s="17">
        <v>7228</v>
      </c>
      <c r="Z15" s="18">
        <v>80</v>
      </c>
      <c r="AA15" s="18">
        <v>4</v>
      </c>
      <c r="AB15" s="18" t="s">
        <v>88</v>
      </c>
      <c r="AC15" s="17">
        <v>5343</v>
      </c>
      <c r="AD15" s="35">
        <f t="shared" si="3"/>
        <v>130</v>
      </c>
      <c r="AE15" s="35">
        <f t="shared" si="4"/>
        <v>-1885</v>
      </c>
      <c r="AF15" s="35">
        <f t="shared" si="7"/>
        <v>2015</v>
      </c>
      <c r="AH15" s="18">
        <v>20</v>
      </c>
      <c r="AI15" s="18" t="s">
        <v>84</v>
      </c>
      <c r="AJ15" s="18" t="s">
        <v>85</v>
      </c>
      <c r="AK15" s="14">
        <v>39.505929000000002</v>
      </c>
      <c r="AL15" s="14">
        <v>-107.91053100000001</v>
      </c>
    </row>
    <row r="16" spans="1:38">
      <c r="A16" s="13" t="s">
        <v>25</v>
      </c>
      <c r="B16" s="13" t="s">
        <v>23</v>
      </c>
      <c r="C16" s="13" t="s">
        <v>26</v>
      </c>
      <c r="D16" s="13" t="s">
        <v>68</v>
      </c>
      <c r="E16" s="51"/>
      <c r="F16" s="15">
        <v>1997</v>
      </c>
      <c r="G16" s="16" t="s">
        <v>75</v>
      </c>
      <c r="H16" s="25">
        <v>1.9433179723502303</v>
      </c>
      <c r="I16" s="25">
        <v>423.28904249871994</v>
      </c>
      <c r="J16" s="25">
        <v>1.3466461853558627</v>
      </c>
      <c r="K16" s="26">
        <f t="shared" si="5"/>
        <v>3.1813868306310691</v>
      </c>
      <c r="L16" s="51"/>
      <c r="M16" s="15">
        <v>2002</v>
      </c>
      <c r="N16" s="16" t="s">
        <v>75</v>
      </c>
      <c r="O16" s="25">
        <v>0.46559139784946235</v>
      </c>
      <c r="P16" s="25">
        <v>151.24301075268818</v>
      </c>
      <c r="Q16" s="25">
        <v>0.60824372759856626</v>
      </c>
      <c r="R16" s="27">
        <f t="shared" si="6"/>
        <v>4.0216319720926696</v>
      </c>
      <c r="S16" s="27"/>
      <c r="T16" s="27">
        <f t="shared" si="0"/>
        <v>0.35730433714958626</v>
      </c>
      <c r="U16" s="27">
        <f t="shared" si="1"/>
        <v>0.45167300380228137</v>
      </c>
      <c r="V16" s="27">
        <f t="shared" si="2"/>
        <v>1.2641128495823084</v>
      </c>
      <c r="X16" s="17">
        <v>5287</v>
      </c>
      <c r="Y16" s="17">
        <v>6863</v>
      </c>
      <c r="Z16" s="18">
        <v>64</v>
      </c>
      <c r="AA16" s="18">
        <v>4</v>
      </c>
      <c r="AB16" s="18" t="s">
        <v>87</v>
      </c>
      <c r="AC16" s="17">
        <v>5252</v>
      </c>
      <c r="AD16" s="35">
        <f t="shared" si="3"/>
        <v>-35</v>
      </c>
      <c r="AE16" s="35">
        <f t="shared" si="4"/>
        <v>-1611</v>
      </c>
      <c r="AF16" s="35">
        <f t="shared" si="7"/>
        <v>1576</v>
      </c>
      <c r="AH16" s="18">
        <v>28</v>
      </c>
      <c r="AI16" s="18" t="s">
        <v>84</v>
      </c>
      <c r="AJ16" s="18" t="s">
        <v>85</v>
      </c>
      <c r="AK16" s="14">
        <v>39.501629000000001</v>
      </c>
      <c r="AL16" s="14">
        <v>-107.89935</v>
      </c>
    </row>
    <row r="17" spans="1:38">
      <c r="A17" s="13" t="s">
        <v>27</v>
      </c>
      <c r="B17" s="13" t="s">
        <v>23</v>
      </c>
      <c r="C17" s="13" t="s">
        <v>28</v>
      </c>
      <c r="D17" s="13" t="s">
        <v>68</v>
      </c>
      <c r="E17" s="51"/>
      <c r="F17" s="15">
        <v>2001</v>
      </c>
      <c r="G17" s="16" t="s">
        <v>81</v>
      </c>
      <c r="H17" s="25">
        <v>0.5161290322580645</v>
      </c>
      <c r="I17" s="25">
        <v>298.49605734767027</v>
      </c>
      <c r="J17" s="25">
        <v>1.0888888888888888</v>
      </c>
      <c r="K17" s="26">
        <f t="shared" si="5"/>
        <v>3.6479171569781115</v>
      </c>
      <c r="L17" s="51"/>
      <c r="M17" s="15">
        <v>2006</v>
      </c>
      <c r="N17" s="16" t="s">
        <v>81</v>
      </c>
      <c r="O17" s="25">
        <v>0.14301075268817201</v>
      </c>
      <c r="P17" s="25">
        <v>102.02759856630824</v>
      </c>
      <c r="Q17" s="25">
        <v>0.6591397849462366</v>
      </c>
      <c r="R17" s="27">
        <f t="shared" si="6"/>
        <v>6.4604067351233239</v>
      </c>
      <c r="S17" s="27"/>
      <c r="T17" s="27">
        <f t="shared" si="0"/>
        <v>0.34180551486304095</v>
      </c>
      <c r="U17" s="27">
        <f t="shared" si="1"/>
        <v>0.60533245556287041</v>
      </c>
      <c r="V17" s="27">
        <f t="shared" si="2"/>
        <v>1.7709850462928394</v>
      </c>
      <c r="X17" s="17">
        <v>5208</v>
      </c>
      <c r="Y17" s="17">
        <v>7247</v>
      </c>
      <c r="Z17" s="48" t="s">
        <v>136</v>
      </c>
      <c r="AA17" s="18">
        <v>5</v>
      </c>
      <c r="AB17" s="18" t="s">
        <v>87</v>
      </c>
      <c r="AC17" s="17">
        <v>5351</v>
      </c>
      <c r="AD17" s="35">
        <f t="shared" si="3"/>
        <v>143</v>
      </c>
      <c r="AE17" s="35">
        <f t="shared" si="4"/>
        <v>-1896</v>
      </c>
      <c r="AF17" s="35">
        <f t="shared" si="7"/>
        <v>2039</v>
      </c>
      <c r="AH17" s="18">
        <v>20</v>
      </c>
      <c r="AI17" s="18" t="s">
        <v>84</v>
      </c>
      <c r="AJ17" s="18" t="s">
        <v>85</v>
      </c>
      <c r="AK17" s="14">
        <v>39.507319000000003</v>
      </c>
      <c r="AL17" s="14">
        <v>-107.90789100000001</v>
      </c>
    </row>
    <row r="18" spans="1:38">
      <c r="A18" s="13" t="s">
        <v>29</v>
      </c>
      <c r="B18" s="13" t="s">
        <v>23</v>
      </c>
      <c r="C18" s="13" t="s">
        <v>30</v>
      </c>
      <c r="D18" s="13" t="s">
        <v>68</v>
      </c>
      <c r="E18" s="51"/>
      <c r="F18" s="52">
        <v>1997</v>
      </c>
      <c r="G18" s="52" t="s">
        <v>76</v>
      </c>
      <c r="H18" s="53">
        <v>0.97921146953405014</v>
      </c>
      <c r="I18" s="53">
        <v>207.64587813620071</v>
      </c>
      <c r="J18" s="53">
        <v>1.3358422939068102</v>
      </c>
      <c r="K18" s="26">
        <f t="shared" si="5"/>
        <v>6.4332714229491907</v>
      </c>
      <c r="L18" s="51"/>
      <c r="M18" s="20">
        <v>2003</v>
      </c>
      <c r="N18" s="20" t="s">
        <v>78</v>
      </c>
      <c r="O18" s="28">
        <v>0.41182795698924729</v>
      </c>
      <c r="P18" s="28">
        <v>124.8336917562724</v>
      </c>
      <c r="Q18" s="28">
        <v>3.7311827956989245</v>
      </c>
      <c r="R18" s="27">
        <f t="shared" si="6"/>
        <v>29.889228966998385</v>
      </c>
      <c r="S18" s="27"/>
      <c r="T18" s="27">
        <f t="shared" si="0"/>
        <v>0.60118550330380505</v>
      </c>
      <c r="U18" s="27">
        <f t="shared" si="1"/>
        <v>2.7931312047222963</v>
      </c>
      <c r="V18" s="27">
        <f t="shared" si="2"/>
        <v>4.6460388505256525</v>
      </c>
      <c r="W18" s="51"/>
      <c r="X18" s="17">
        <v>5798</v>
      </c>
      <c r="Y18" s="17">
        <v>7412</v>
      </c>
      <c r="Z18" s="49">
        <v>57</v>
      </c>
      <c r="AA18" s="49">
        <v>3</v>
      </c>
      <c r="AB18" s="49" t="s">
        <v>87</v>
      </c>
      <c r="AC18" s="17">
        <v>5648</v>
      </c>
      <c r="AD18" s="35">
        <f t="shared" si="3"/>
        <v>-150</v>
      </c>
      <c r="AE18" s="35">
        <f t="shared" si="4"/>
        <v>-1764</v>
      </c>
      <c r="AF18" s="35">
        <f t="shared" si="7"/>
        <v>1614</v>
      </c>
      <c r="AH18" s="18">
        <v>22</v>
      </c>
      <c r="AI18" s="18" t="s">
        <v>84</v>
      </c>
      <c r="AJ18" s="18" t="s">
        <v>85</v>
      </c>
      <c r="AK18" s="14">
        <v>39.512968999999998</v>
      </c>
      <c r="AL18" s="14">
        <v>-107.8772</v>
      </c>
    </row>
    <row r="19" spans="1:38">
      <c r="A19" s="13" t="s">
        <v>31</v>
      </c>
      <c r="B19" s="13" t="s">
        <v>145</v>
      </c>
      <c r="C19" s="13" t="s">
        <v>32</v>
      </c>
      <c r="D19" s="13" t="s">
        <v>68</v>
      </c>
      <c r="E19" s="51"/>
      <c r="F19" s="15">
        <v>1998</v>
      </c>
      <c r="G19" s="16" t="s">
        <v>76</v>
      </c>
      <c r="H19" s="25">
        <v>1.0691756272401434</v>
      </c>
      <c r="I19" s="25">
        <v>212.5154121863799</v>
      </c>
      <c r="J19" s="25">
        <v>2</v>
      </c>
      <c r="K19" s="26">
        <f t="shared" si="5"/>
        <v>9.4110821395201363</v>
      </c>
      <c r="L19" s="51"/>
      <c r="M19" s="15">
        <v>2004</v>
      </c>
      <c r="N19" s="16" t="s">
        <v>76</v>
      </c>
      <c r="O19" s="62" t="s">
        <v>136</v>
      </c>
      <c r="P19" s="25">
        <v>93.961290322580638</v>
      </c>
      <c r="Q19" s="25">
        <v>0.28279569892473116</v>
      </c>
      <c r="R19" s="27">
        <f t="shared" si="6"/>
        <v>3.0097042936922089</v>
      </c>
      <c r="S19" s="27"/>
      <c r="T19" s="27">
        <f t="shared" si="0"/>
        <v>0.44213871058055249</v>
      </c>
      <c r="U19" s="27">
        <f t="shared" si="1"/>
        <v>0.14139784946236558</v>
      </c>
      <c r="V19" s="27">
        <f t="shared" si="2"/>
        <v>0.31980427426655861</v>
      </c>
      <c r="W19" s="51"/>
      <c r="X19" s="17">
        <v>5213</v>
      </c>
      <c r="Y19" s="17">
        <v>7146</v>
      </c>
      <c r="Z19" s="49">
        <v>67</v>
      </c>
      <c r="AA19" s="49">
        <v>4</v>
      </c>
      <c r="AB19" s="49" t="s">
        <v>87</v>
      </c>
      <c r="AC19" s="17">
        <v>5282</v>
      </c>
      <c r="AD19" s="35">
        <f t="shared" si="3"/>
        <v>69</v>
      </c>
      <c r="AE19" s="35">
        <f t="shared" si="4"/>
        <v>-1864</v>
      </c>
      <c r="AF19" s="35">
        <f t="shared" si="7"/>
        <v>1933</v>
      </c>
      <c r="AH19" s="18">
        <v>21</v>
      </c>
      <c r="AI19" s="18" t="s">
        <v>84</v>
      </c>
      <c r="AJ19" s="18" t="s">
        <v>85</v>
      </c>
      <c r="AK19" s="14">
        <v>39.505329000000003</v>
      </c>
      <c r="AL19" s="14">
        <v>-107.89751</v>
      </c>
    </row>
    <row r="20" spans="1:38" ht="15">
      <c r="A20" s="13" t="s">
        <v>33</v>
      </c>
      <c r="B20" s="13" t="s">
        <v>34</v>
      </c>
      <c r="C20" s="13" t="s">
        <v>35</v>
      </c>
      <c r="D20" s="13" t="s">
        <v>69</v>
      </c>
      <c r="E20" s="51"/>
      <c r="F20" s="15">
        <v>1997</v>
      </c>
      <c r="G20" s="16" t="s">
        <v>75</v>
      </c>
      <c r="H20" s="62" t="s">
        <v>136</v>
      </c>
      <c r="I20" s="25">
        <v>124.6863315696649</v>
      </c>
      <c r="J20" s="25">
        <v>2.0627865961199294</v>
      </c>
      <c r="K20" s="26">
        <f t="shared" si="5"/>
        <v>16.543806928567843</v>
      </c>
      <c r="L20" s="51"/>
      <c r="M20" s="15">
        <v>2002</v>
      </c>
      <c r="N20" s="16" t="s">
        <v>75</v>
      </c>
      <c r="O20" s="62" t="s">
        <v>136</v>
      </c>
      <c r="P20" s="25">
        <v>101.86626984126984</v>
      </c>
      <c r="Q20" s="45">
        <v>1.1000000000000001</v>
      </c>
      <c r="R20" s="27">
        <f t="shared" si="6"/>
        <v>10.798471385219495</v>
      </c>
      <c r="S20" s="27"/>
      <c r="T20" s="27">
        <f t="shared" si="0"/>
        <v>0.81698024602123287</v>
      </c>
      <c r="U20" s="27">
        <f t="shared" si="1"/>
        <v>0.53325923392612862</v>
      </c>
      <c r="V20" s="27">
        <f t="shared" si="2"/>
        <v>0.65271986259539183</v>
      </c>
      <c r="W20" s="51"/>
      <c r="X20" s="17">
        <v>5990</v>
      </c>
      <c r="Y20" s="17">
        <v>7097</v>
      </c>
      <c r="Z20" s="49">
        <v>37</v>
      </c>
      <c r="AA20" s="49">
        <v>2</v>
      </c>
      <c r="AB20" s="49" t="s">
        <v>87</v>
      </c>
      <c r="AC20" s="17">
        <v>5735</v>
      </c>
      <c r="AD20" s="35">
        <f t="shared" si="3"/>
        <v>-255</v>
      </c>
      <c r="AE20" s="35">
        <f t="shared" si="4"/>
        <v>-1362</v>
      </c>
      <c r="AF20" s="35">
        <f t="shared" si="7"/>
        <v>1107</v>
      </c>
      <c r="AH20" s="18">
        <v>24</v>
      </c>
      <c r="AI20" s="18" t="s">
        <v>84</v>
      </c>
      <c r="AJ20" s="18" t="s">
        <v>85</v>
      </c>
      <c r="AK20" s="14">
        <v>39.507128999999999</v>
      </c>
      <c r="AL20" s="14">
        <v>-107.841989</v>
      </c>
    </row>
    <row r="21" spans="1:38">
      <c r="A21" s="13" t="s">
        <v>138</v>
      </c>
      <c r="B21" s="13" t="s">
        <v>143</v>
      </c>
      <c r="C21" s="13" t="s">
        <v>36</v>
      </c>
      <c r="D21" s="13" t="s">
        <v>70</v>
      </c>
      <c r="E21" s="51"/>
      <c r="F21" s="15">
        <v>1997</v>
      </c>
      <c r="G21" s="16" t="s">
        <v>79</v>
      </c>
      <c r="H21" s="25">
        <v>15.525555555555556</v>
      </c>
      <c r="I21" s="25">
        <v>1694.7636507936506</v>
      </c>
      <c r="J21" s="25">
        <v>16.312857142857144</v>
      </c>
      <c r="K21" s="26">
        <f t="shared" si="5"/>
        <v>9.6254466722943359</v>
      </c>
      <c r="L21" s="51"/>
      <c r="M21" s="15">
        <v>2002</v>
      </c>
      <c r="N21" s="16" t="s">
        <v>79</v>
      </c>
      <c r="O21" s="25">
        <v>0.55949820788530469</v>
      </c>
      <c r="P21" s="25">
        <v>118.49175627240145</v>
      </c>
      <c r="Q21" s="25">
        <v>0.61612903225806448</v>
      </c>
      <c r="R21" s="27">
        <f t="shared" si="6"/>
        <v>5.1997628496757331</v>
      </c>
      <c r="S21" s="27"/>
      <c r="T21" s="27">
        <f t="shared" si="0"/>
        <v>6.9916389944351384E-2</v>
      </c>
      <c r="U21" s="27">
        <f t="shared" si="1"/>
        <v>3.7769535211546114E-2</v>
      </c>
      <c r="V21" s="27">
        <f t="shared" si="2"/>
        <v>0.54021003146197988</v>
      </c>
      <c r="W21" s="51"/>
      <c r="X21" s="55">
        <v>5970</v>
      </c>
      <c r="Y21" s="55">
        <v>6484</v>
      </c>
      <c r="Z21" s="56" t="s">
        <v>136</v>
      </c>
      <c r="AA21" s="49">
        <v>2</v>
      </c>
      <c r="AB21" s="49" t="s">
        <v>89</v>
      </c>
      <c r="AC21" s="17">
        <v>6422</v>
      </c>
      <c r="AD21" s="35">
        <f t="shared" si="3"/>
        <v>452</v>
      </c>
      <c r="AE21" s="35">
        <f t="shared" si="4"/>
        <v>-62</v>
      </c>
      <c r="AF21" s="35">
        <f t="shared" si="7"/>
        <v>514</v>
      </c>
      <c r="AH21" s="18">
        <v>2</v>
      </c>
      <c r="AI21" s="18" t="s">
        <v>83</v>
      </c>
      <c r="AJ21" s="18" t="s">
        <v>85</v>
      </c>
      <c r="AK21" s="14">
        <v>39.462220000000002</v>
      </c>
      <c r="AL21" s="14">
        <v>-107.85160999999999</v>
      </c>
    </row>
    <row r="22" spans="1:38">
      <c r="A22" s="13" t="s">
        <v>37</v>
      </c>
      <c r="B22" s="13" t="s">
        <v>38</v>
      </c>
      <c r="C22" s="13" t="s">
        <v>39</v>
      </c>
      <c r="D22" s="13" t="s">
        <v>71</v>
      </c>
      <c r="E22" s="51"/>
      <c r="F22" s="15">
        <v>2002</v>
      </c>
      <c r="G22" s="16" t="s">
        <v>79</v>
      </c>
      <c r="H22" s="25">
        <v>0.456989247311828</v>
      </c>
      <c r="I22" s="25">
        <v>160.47311827956989</v>
      </c>
      <c r="J22" s="25">
        <v>1.4372759856630823</v>
      </c>
      <c r="K22" s="26">
        <f t="shared" si="5"/>
        <v>8.9564906638077364</v>
      </c>
      <c r="L22" s="51"/>
      <c r="M22" s="21">
        <v>2005</v>
      </c>
      <c r="N22" s="22" t="s">
        <v>73</v>
      </c>
      <c r="O22" s="30">
        <v>0.79166666666666696</v>
      </c>
      <c r="P22" s="30">
        <v>135.887352790579</v>
      </c>
      <c r="Q22" s="30">
        <v>0.77777777777777801</v>
      </c>
      <c r="R22" s="27">
        <f t="shared" si="6"/>
        <v>5.723695118091233</v>
      </c>
      <c r="S22" s="27"/>
      <c r="T22" s="27">
        <f t="shared" si="0"/>
        <v>0.8467920001021072</v>
      </c>
      <c r="U22" s="27">
        <f t="shared" si="1"/>
        <v>0.54114713216957622</v>
      </c>
      <c r="V22" s="27">
        <f t="shared" si="2"/>
        <v>0.63905555567875483</v>
      </c>
      <c r="W22" s="51"/>
      <c r="X22" s="17">
        <v>5386</v>
      </c>
      <c r="Y22" s="17">
        <v>6904</v>
      </c>
      <c r="Z22" s="56" t="s">
        <v>136</v>
      </c>
      <c r="AA22" s="49">
        <v>7</v>
      </c>
      <c r="AB22" s="49" t="s">
        <v>89</v>
      </c>
      <c r="AC22" s="17">
        <v>5888</v>
      </c>
      <c r="AD22" s="35">
        <f t="shared" si="3"/>
        <v>502</v>
      </c>
      <c r="AE22" s="35">
        <f t="shared" si="4"/>
        <v>-1016</v>
      </c>
      <c r="AF22" s="35">
        <f t="shared" si="7"/>
        <v>1518</v>
      </c>
      <c r="AH22" s="18">
        <v>2</v>
      </c>
      <c r="AI22" s="18" t="s">
        <v>83</v>
      </c>
      <c r="AJ22" s="18" t="s">
        <v>85</v>
      </c>
      <c r="AK22" s="14">
        <v>39.472430000000003</v>
      </c>
      <c r="AL22" s="14">
        <v>-107.85372</v>
      </c>
    </row>
    <row r="23" spans="1:38">
      <c r="A23" s="13" t="s">
        <v>40</v>
      </c>
      <c r="B23" s="13" t="s">
        <v>41</v>
      </c>
      <c r="C23" s="13" t="s">
        <v>42</v>
      </c>
      <c r="D23" s="13" t="s">
        <v>68</v>
      </c>
      <c r="E23" s="51"/>
      <c r="F23" s="15">
        <v>1999</v>
      </c>
      <c r="G23" s="16" t="s">
        <v>77</v>
      </c>
      <c r="H23" s="25">
        <v>1.4516129032258067</v>
      </c>
      <c r="I23" s="25">
        <v>413.97887864823355</v>
      </c>
      <c r="J23" s="25">
        <v>1.1666666666666667</v>
      </c>
      <c r="K23" s="26">
        <f t="shared" si="5"/>
        <v>2.818179203915395</v>
      </c>
      <c r="L23" s="51"/>
      <c r="M23" s="15">
        <v>2004</v>
      </c>
      <c r="N23" s="16" t="s">
        <v>77</v>
      </c>
      <c r="O23" s="25">
        <v>0.74601408972932892</v>
      </c>
      <c r="P23" s="25">
        <v>168.83908045977012</v>
      </c>
      <c r="Q23" s="25">
        <v>2.5176121616611051</v>
      </c>
      <c r="R23" s="27">
        <f t="shared" si="6"/>
        <v>14.911311734258028</v>
      </c>
      <c r="S23" s="27"/>
      <c r="T23" s="27">
        <f t="shared" si="0"/>
        <v>0.40784467316564765</v>
      </c>
      <c r="U23" s="27">
        <f t="shared" si="1"/>
        <v>2.1579532814238043</v>
      </c>
      <c r="V23" s="27">
        <f t="shared" si="2"/>
        <v>5.2911155236477585</v>
      </c>
      <c r="W23" s="51"/>
      <c r="X23" s="17">
        <v>4692</v>
      </c>
      <c r="Y23" s="17">
        <v>6827</v>
      </c>
      <c r="Z23" s="49">
        <v>100</v>
      </c>
      <c r="AA23" s="49">
        <v>5</v>
      </c>
      <c r="AB23" s="49" t="s">
        <v>87</v>
      </c>
      <c r="AC23" s="17">
        <v>5311</v>
      </c>
      <c r="AD23" s="35">
        <f t="shared" si="3"/>
        <v>619</v>
      </c>
      <c r="AE23" s="35">
        <f t="shared" si="4"/>
        <v>-1516</v>
      </c>
      <c r="AF23" s="35">
        <f t="shared" si="7"/>
        <v>2135</v>
      </c>
      <c r="AH23" s="18">
        <v>27</v>
      </c>
      <c r="AI23" s="18" t="s">
        <v>84</v>
      </c>
      <c r="AJ23" s="18" t="s">
        <v>85</v>
      </c>
      <c r="AK23" s="14">
        <v>39.49015</v>
      </c>
      <c r="AL23" s="14">
        <v>-107.872479</v>
      </c>
    </row>
    <row r="24" spans="1:38">
      <c r="A24" s="13" t="s">
        <v>43</v>
      </c>
      <c r="B24" s="13" t="s">
        <v>44</v>
      </c>
      <c r="C24" s="13" t="s">
        <v>45</v>
      </c>
      <c r="D24" s="13" t="s">
        <v>71</v>
      </c>
      <c r="E24" s="51"/>
      <c r="F24" s="15">
        <v>2000</v>
      </c>
      <c r="G24" s="16" t="s">
        <v>77</v>
      </c>
      <c r="H24" s="25">
        <v>0.53948832035595107</v>
      </c>
      <c r="I24" s="25">
        <v>154.96848350018539</v>
      </c>
      <c r="J24" s="25">
        <v>1.8798665183537262</v>
      </c>
      <c r="K24" s="26">
        <f t="shared" si="5"/>
        <v>12.13063763608087</v>
      </c>
      <c r="L24" s="51"/>
      <c r="M24" s="15">
        <v>2005</v>
      </c>
      <c r="N24" s="16" t="s">
        <v>77</v>
      </c>
      <c r="O24" s="25">
        <v>0.4</v>
      </c>
      <c r="P24" s="25">
        <v>95.022657450076807</v>
      </c>
      <c r="Q24" s="25">
        <v>1</v>
      </c>
      <c r="R24" s="27">
        <f t="shared" si="6"/>
        <v>10.523805867304668</v>
      </c>
      <c r="S24" s="27"/>
      <c r="T24" s="27">
        <f t="shared" si="0"/>
        <v>0.61317408097345893</v>
      </c>
      <c r="U24" s="27">
        <f t="shared" si="1"/>
        <v>0.53195266272189357</v>
      </c>
      <c r="V24" s="27">
        <f t="shared" si="2"/>
        <v>0.86753938111242335</v>
      </c>
      <c r="W24" s="51"/>
      <c r="X24" s="17">
        <v>5472</v>
      </c>
      <c r="Y24" s="17">
        <v>7184</v>
      </c>
      <c r="Z24" s="49">
        <v>63</v>
      </c>
      <c r="AA24" s="49">
        <v>3</v>
      </c>
      <c r="AB24" s="49" t="s">
        <v>89</v>
      </c>
      <c r="AC24" s="17">
        <v>5885</v>
      </c>
      <c r="AD24" s="35">
        <f t="shared" si="3"/>
        <v>413</v>
      </c>
      <c r="AE24" s="35">
        <f t="shared" si="4"/>
        <v>-1299</v>
      </c>
      <c r="AF24" s="35">
        <f t="shared" si="7"/>
        <v>1712</v>
      </c>
      <c r="AH24" s="18">
        <v>2</v>
      </c>
      <c r="AI24" s="18" t="s">
        <v>83</v>
      </c>
      <c r="AJ24" s="18" t="s">
        <v>85</v>
      </c>
      <c r="AK24" s="14">
        <v>39.472659999999998</v>
      </c>
      <c r="AL24" s="14">
        <v>-107.86122</v>
      </c>
    </row>
    <row r="25" spans="1:38" s="51" customFormat="1" ht="15">
      <c r="A25" s="13" t="s">
        <v>139</v>
      </c>
      <c r="B25" s="13" t="s">
        <v>142</v>
      </c>
      <c r="C25" s="13" t="s">
        <v>46</v>
      </c>
      <c r="D25" s="13" t="s">
        <v>72</v>
      </c>
      <c r="F25" s="54">
        <v>1997</v>
      </c>
      <c r="G25" s="54" t="s">
        <v>81</v>
      </c>
      <c r="H25" s="61">
        <v>5.1408602150537597</v>
      </c>
      <c r="I25" s="61">
        <v>662.55017921146998</v>
      </c>
      <c r="J25" s="61">
        <v>7.8308243727598601</v>
      </c>
      <c r="K25" s="26">
        <f t="shared" si="5"/>
        <v>11.819217047197343</v>
      </c>
      <c r="M25" s="54">
        <v>2002</v>
      </c>
      <c r="N25" s="54" t="s">
        <v>81</v>
      </c>
      <c r="O25" s="54">
        <v>0.34100000000000003</v>
      </c>
      <c r="P25" s="54">
        <v>112.803</v>
      </c>
      <c r="Q25" s="54">
        <v>1.24</v>
      </c>
      <c r="R25" s="27">
        <f t="shared" si="6"/>
        <v>10.9926154446247</v>
      </c>
      <c r="S25" s="27"/>
      <c r="T25" s="27">
        <f t="shared" si="0"/>
        <v>0.17025578369664285</v>
      </c>
      <c r="U25" s="27">
        <f t="shared" si="1"/>
        <v>0.15834859025997797</v>
      </c>
      <c r="V25" s="27">
        <f t="shared" si="2"/>
        <v>0.93006291370470662</v>
      </c>
      <c r="X25" s="17">
        <v>6767</v>
      </c>
      <c r="Y25" s="17">
        <v>7198</v>
      </c>
      <c r="Z25" s="56" t="s">
        <v>136</v>
      </c>
      <c r="AA25" s="49">
        <v>2</v>
      </c>
      <c r="AB25" s="49" t="s">
        <v>89</v>
      </c>
      <c r="AC25" s="17">
        <v>6897</v>
      </c>
      <c r="AD25" s="50">
        <f t="shared" si="3"/>
        <v>130</v>
      </c>
      <c r="AE25" s="50">
        <f t="shared" si="4"/>
        <v>-301</v>
      </c>
      <c r="AF25" s="50">
        <f t="shared" si="7"/>
        <v>431</v>
      </c>
      <c r="AH25" s="49">
        <v>1</v>
      </c>
      <c r="AI25" s="49" t="s">
        <v>83</v>
      </c>
      <c r="AJ25" s="49" t="s">
        <v>85</v>
      </c>
      <c r="AK25" s="51">
        <v>39.465969999999999</v>
      </c>
      <c r="AL25" s="51">
        <v>-107.83282</v>
      </c>
    </row>
    <row r="26" spans="1:38">
      <c r="A26" s="13" t="s">
        <v>47</v>
      </c>
      <c r="B26" s="13" t="s">
        <v>48</v>
      </c>
      <c r="C26" s="13" t="s">
        <v>12</v>
      </c>
      <c r="D26" s="13" t="s">
        <v>68</v>
      </c>
      <c r="E26" s="51"/>
      <c r="F26" s="15">
        <v>1998</v>
      </c>
      <c r="G26" s="16" t="s">
        <v>75</v>
      </c>
      <c r="H26" s="25">
        <v>3.2082437275985662</v>
      </c>
      <c r="I26" s="25">
        <v>800.22616487455196</v>
      </c>
      <c r="J26" s="25">
        <v>1.6666666666666667</v>
      </c>
      <c r="K26" s="26">
        <f t="shared" si="5"/>
        <v>2.0827445287644939</v>
      </c>
      <c r="L26" s="51"/>
      <c r="M26" s="15">
        <v>2003</v>
      </c>
      <c r="N26" s="16" t="s">
        <v>75</v>
      </c>
      <c r="O26" s="25">
        <v>0.77275985663082436</v>
      </c>
      <c r="P26" s="25">
        <v>391.19426523297489</v>
      </c>
      <c r="Q26" s="25">
        <v>1.4283154121863799</v>
      </c>
      <c r="R26" s="27">
        <f t="shared" si="6"/>
        <v>3.651166540838092</v>
      </c>
      <c r="S26" s="27"/>
      <c r="T26" s="27">
        <f t="shared" si="0"/>
        <v>0.48885462935881474</v>
      </c>
      <c r="U26" s="27">
        <f t="shared" si="1"/>
        <v>0.85698924731182791</v>
      </c>
      <c r="V26" s="27">
        <f t="shared" si="2"/>
        <v>1.7530553989758901</v>
      </c>
      <c r="W26" s="51"/>
      <c r="X26" s="17">
        <v>7016</v>
      </c>
      <c r="Y26" s="17">
        <v>8594</v>
      </c>
      <c r="Z26" s="49">
        <v>62</v>
      </c>
      <c r="AA26" s="49">
        <v>3</v>
      </c>
      <c r="AB26" s="49" t="s">
        <v>87</v>
      </c>
      <c r="AC26" s="60">
        <v>7180</v>
      </c>
      <c r="AD26" s="35">
        <f t="shared" si="3"/>
        <v>164</v>
      </c>
      <c r="AE26" s="35">
        <f t="shared" si="4"/>
        <v>-1414</v>
      </c>
      <c r="AF26" s="35">
        <f t="shared" si="7"/>
        <v>1578</v>
      </c>
      <c r="AH26" s="18">
        <v>7</v>
      </c>
      <c r="AI26" s="18" t="s">
        <v>83</v>
      </c>
      <c r="AJ26" s="18" t="s">
        <v>86</v>
      </c>
      <c r="AK26" s="14">
        <v>39.459650000000003</v>
      </c>
      <c r="AL26" s="14">
        <v>-107.824218</v>
      </c>
    </row>
    <row r="27" spans="1:38">
      <c r="A27" s="13" t="s">
        <v>140</v>
      </c>
      <c r="B27" s="13" t="s">
        <v>49</v>
      </c>
      <c r="C27" s="13" t="s">
        <v>50</v>
      </c>
      <c r="D27" s="13" t="s">
        <v>68</v>
      </c>
      <c r="E27" s="51"/>
      <c r="F27" s="15">
        <v>1994</v>
      </c>
      <c r="G27" s="16" t="s">
        <v>82</v>
      </c>
      <c r="H27" s="25">
        <v>2.7123399897593448</v>
      </c>
      <c r="I27" s="25">
        <v>823.89997439836145</v>
      </c>
      <c r="J27" s="25">
        <v>7.0320020481310808</v>
      </c>
      <c r="K27" s="26">
        <f t="shared" si="5"/>
        <v>8.5350191365961354</v>
      </c>
      <c r="L27" s="51"/>
      <c r="M27" s="15">
        <v>1999</v>
      </c>
      <c r="N27" s="16" t="s">
        <v>82</v>
      </c>
      <c r="O27" s="25">
        <v>0.36</v>
      </c>
      <c r="P27" s="25">
        <v>275.90716845878137</v>
      </c>
      <c r="Q27" s="25">
        <v>1.1720430107526882</v>
      </c>
      <c r="R27" s="27">
        <f t="shared" si="6"/>
        <v>4.2479614331868412</v>
      </c>
      <c r="S27" s="27"/>
      <c r="T27" s="27">
        <f t="shared" si="0"/>
        <v>0.33487944778764894</v>
      </c>
      <c r="U27" s="27">
        <f t="shared" si="1"/>
        <v>0.16667273455419229</v>
      </c>
      <c r="V27" s="27">
        <f t="shared" si="2"/>
        <v>0.49770965538584339</v>
      </c>
      <c r="W27" s="51"/>
      <c r="X27" s="57">
        <v>5044</v>
      </c>
      <c r="Y27" s="17">
        <v>6797</v>
      </c>
      <c r="Z27" s="56" t="s">
        <v>136</v>
      </c>
      <c r="AA27" s="49">
        <v>4</v>
      </c>
      <c r="AB27" s="49" t="s">
        <v>87</v>
      </c>
      <c r="AC27" s="17">
        <v>5333</v>
      </c>
      <c r="AD27" s="35">
        <f t="shared" si="3"/>
        <v>289</v>
      </c>
      <c r="AE27" s="35">
        <f t="shared" si="4"/>
        <v>-1464</v>
      </c>
      <c r="AF27" s="35">
        <f t="shared" si="7"/>
        <v>1753</v>
      </c>
      <c r="AH27" s="18">
        <v>33</v>
      </c>
      <c r="AI27" s="18" t="s">
        <v>84</v>
      </c>
      <c r="AJ27" s="18" t="s">
        <v>85</v>
      </c>
      <c r="AK27" s="14">
        <v>39.485190000000003</v>
      </c>
      <c r="AL27" s="14">
        <v>-107.88722</v>
      </c>
    </row>
    <row r="28" spans="1:38">
      <c r="A28" s="13" t="s">
        <v>51</v>
      </c>
      <c r="B28" s="13" t="s">
        <v>52</v>
      </c>
      <c r="C28" s="13" t="s">
        <v>53</v>
      </c>
      <c r="D28" s="13" t="s">
        <v>68</v>
      </c>
      <c r="E28" s="51"/>
      <c r="F28" s="15">
        <v>2000</v>
      </c>
      <c r="G28" s="16" t="s">
        <v>82</v>
      </c>
      <c r="H28" s="25">
        <v>0.67526881720430099</v>
      </c>
      <c r="I28" s="25">
        <v>298.7827956989247</v>
      </c>
      <c r="J28" s="25">
        <v>2.5089605734767026</v>
      </c>
      <c r="K28" s="26">
        <f t="shared" si="5"/>
        <v>8.3972725658706064</v>
      </c>
      <c r="L28" s="51"/>
      <c r="M28" s="15">
        <v>2005</v>
      </c>
      <c r="N28" s="16" t="s">
        <v>81</v>
      </c>
      <c r="O28" s="25">
        <v>0.22222222222222221</v>
      </c>
      <c r="P28" s="25">
        <v>171.51326164874556</v>
      </c>
      <c r="Q28" s="25">
        <v>1.7670250896057347</v>
      </c>
      <c r="R28" s="27">
        <f t="shared" si="6"/>
        <v>10.302556622266058</v>
      </c>
      <c r="S28" s="27"/>
      <c r="T28" s="27">
        <f t="shared" si="0"/>
        <v>0.57403995182364786</v>
      </c>
      <c r="U28" s="27">
        <f t="shared" si="1"/>
        <v>0.70428571428571418</v>
      </c>
      <c r="V28" s="27">
        <f t="shared" si="2"/>
        <v>1.2268932015067819</v>
      </c>
      <c r="W28" s="51"/>
      <c r="X28" s="17">
        <v>5295</v>
      </c>
      <c r="Y28" s="17">
        <v>7025</v>
      </c>
      <c r="Z28" s="49">
        <v>64</v>
      </c>
      <c r="AA28" s="49">
        <v>4</v>
      </c>
      <c r="AB28" s="49" t="s">
        <v>87</v>
      </c>
      <c r="AC28" s="17">
        <v>5331</v>
      </c>
      <c r="AD28" s="35">
        <f t="shared" si="3"/>
        <v>36</v>
      </c>
      <c r="AE28" s="35">
        <f t="shared" si="4"/>
        <v>-1694</v>
      </c>
      <c r="AF28" s="35">
        <f t="shared" si="7"/>
        <v>1730</v>
      </c>
      <c r="AH28" s="18">
        <v>28</v>
      </c>
      <c r="AI28" s="18" t="s">
        <v>84</v>
      </c>
      <c r="AJ28" s="18" t="s">
        <v>85</v>
      </c>
      <c r="AK28" s="14">
        <v>39.490138999999999</v>
      </c>
      <c r="AL28" s="14">
        <v>-107.88513</v>
      </c>
    </row>
    <row r="29" spans="1:38">
      <c r="A29" s="13" t="s">
        <v>54</v>
      </c>
      <c r="B29" s="13" t="s">
        <v>55</v>
      </c>
      <c r="C29" s="13" t="s">
        <v>56</v>
      </c>
      <c r="D29" s="13" t="s">
        <v>68</v>
      </c>
      <c r="E29" s="51"/>
      <c r="F29" s="15">
        <v>1999</v>
      </c>
      <c r="G29" s="16" t="s">
        <v>81</v>
      </c>
      <c r="H29" s="25">
        <v>0.88028673835125437</v>
      </c>
      <c r="I29" s="25">
        <v>340.50394265232973</v>
      </c>
      <c r="J29" s="25">
        <v>1</v>
      </c>
      <c r="K29" s="26">
        <f t="shared" si="5"/>
        <v>2.9368235569038514</v>
      </c>
      <c r="L29" s="51"/>
      <c r="M29" s="15">
        <v>2004</v>
      </c>
      <c r="N29" s="16" t="s">
        <v>81</v>
      </c>
      <c r="O29" s="25">
        <v>0.5390681003584229</v>
      </c>
      <c r="P29" s="25">
        <v>110.94336917562724</v>
      </c>
      <c r="Q29" s="25">
        <v>1.3874551971326163</v>
      </c>
      <c r="R29" s="27">
        <f t="shared" si="6"/>
        <v>12.505976764922528</v>
      </c>
      <c r="S29" s="27"/>
      <c r="T29" s="27">
        <f t="shared" si="0"/>
        <v>0.32582110007726267</v>
      </c>
      <c r="U29" s="27">
        <f t="shared" si="1"/>
        <v>1.3874551971326163</v>
      </c>
      <c r="V29" s="27">
        <f t="shared" si="2"/>
        <v>4.2583343951745478</v>
      </c>
      <c r="W29" s="51"/>
      <c r="X29" s="17">
        <v>5145</v>
      </c>
      <c r="Y29" s="17">
        <v>7076</v>
      </c>
      <c r="Z29" s="49">
        <v>80</v>
      </c>
      <c r="AA29" s="49">
        <v>4</v>
      </c>
      <c r="AB29" s="49" t="s">
        <v>87</v>
      </c>
      <c r="AC29" s="60">
        <v>5442</v>
      </c>
      <c r="AD29" s="35">
        <f t="shared" si="3"/>
        <v>297</v>
      </c>
      <c r="AE29" s="35">
        <f t="shared" si="4"/>
        <v>-1634</v>
      </c>
      <c r="AF29" s="35">
        <f t="shared" si="7"/>
        <v>1931</v>
      </c>
      <c r="AH29" s="18">
        <v>33</v>
      </c>
      <c r="AI29" s="18" t="s">
        <v>84</v>
      </c>
      <c r="AJ29" s="18" t="s">
        <v>85</v>
      </c>
      <c r="AK29" s="14">
        <v>39.487929000000001</v>
      </c>
      <c r="AL29" s="14">
        <v>-107.8912</v>
      </c>
    </row>
    <row r="30" spans="1:38">
      <c r="A30" s="13" t="s">
        <v>141</v>
      </c>
      <c r="B30" s="13" t="s">
        <v>144</v>
      </c>
      <c r="C30" s="13" t="s">
        <v>17</v>
      </c>
      <c r="D30" s="13" t="s">
        <v>70</v>
      </c>
      <c r="E30" s="51"/>
      <c r="F30" s="15">
        <v>1997</v>
      </c>
      <c r="G30" s="16" t="s">
        <v>79</v>
      </c>
      <c r="H30" s="25">
        <v>7.4541218637992825</v>
      </c>
      <c r="I30" s="25">
        <v>1992.0727598566309</v>
      </c>
      <c r="J30" s="25">
        <v>13.27956989247312</v>
      </c>
      <c r="K30" s="26">
        <f t="shared" si="5"/>
        <v>6.6662072591308608</v>
      </c>
      <c r="L30" s="51"/>
      <c r="M30" s="15">
        <v>2002</v>
      </c>
      <c r="N30" s="16" t="s">
        <v>76</v>
      </c>
      <c r="O30" s="25">
        <v>1.3967741935483871</v>
      </c>
      <c r="P30" s="25">
        <v>299.8347670250896</v>
      </c>
      <c r="Q30" s="25">
        <v>1.5197132616487454</v>
      </c>
      <c r="R30" s="27">
        <f t="shared" si="6"/>
        <v>5.0685024846420781</v>
      </c>
      <c r="S30" s="27"/>
      <c r="T30" s="27">
        <f t="shared" si="0"/>
        <v>0.15051396368005587</v>
      </c>
      <c r="U30" s="27">
        <f t="shared" si="1"/>
        <v>0.11443994601889337</v>
      </c>
      <c r="V30" s="27">
        <f t="shared" si="2"/>
        <v>0.7603277677422392</v>
      </c>
      <c r="W30" s="51"/>
      <c r="X30" s="57">
        <v>6002</v>
      </c>
      <c r="Y30" s="57">
        <v>6762</v>
      </c>
      <c r="Z30" s="56">
        <v>36</v>
      </c>
      <c r="AA30" s="49">
        <v>2</v>
      </c>
      <c r="AB30" s="49" t="s">
        <v>89</v>
      </c>
      <c r="AC30" s="17">
        <v>6499</v>
      </c>
      <c r="AD30" s="35">
        <f t="shared" si="3"/>
        <v>497</v>
      </c>
      <c r="AE30" s="35">
        <f t="shared" si="4"/>
        <v>-263</v>
      </c>
      <c r="AF30" s="35">
        <f t="shared" si="7"/>
        <v>760</v>
      </c>
      <c r="AH30" s="18">
        <v>1</v>
      </c>
      <c r="AI30" s="18" t="s">
        <v>83</v>
      </c>
      <c r="AJ30" s="18" t="s">
        <v>85</v>
      </c>
      <c r="AK30" s="14">
        <v>39.472610000000003</v>
      </c>
      <c r="AL30" s="14">
        <v>-107.83866</v>
      </c>
    </row>
    <row r="31" spans="1:38">
      <c r="A31" s="13" t="s">
        <v>57</v>
      </c>
      <c r="B31" s="13" t="s">
        <v>58</v>
      </c>
      <c r="C31" s="13" t="s">
        <v>59</v>
      </c>
      <c r="D31" s="13" t="s">
        <v>68</v>
      </c>
      <c r="E31" s="51"/>
      <c r="F31" s="15">
        <v>2000</v>
      </c>
      <c r="G31" s="16" t="s">
        <v>75</v>
      </c>
      <c r="H31" s="25">
        <v>0.74838709677419357</v>
      </c>
      <c r="I31" s="25">
        <v>266.66917562724012</v>
      </c>
      <c r="J31" s="25">
        <v>1.963799283154122</v>
      </c>
      <c r="K31" s="26">
        <f t="shared" si="5"/>
        <v>7.364178025206753</v>
      </c>
      <c r="L31" s="51"/>
      <c r="M31" s="15">
        <v>2005</v>
      </c>
      <c r="N31" s="16" t="s">
        <v>75</v>
      </c>
      <c r="O31" s="62" t="s">
        <v>136</v>
      </c>
      <c r="P31" s="25">
        <v>98.780901177675375</v>
      </c>
      <c r="Q31" s="25">
        <v>0.96274961597542241</v>
      </c>
      <c r="R31" s="27">
        <f t="shared" si="6"/>
        <v>9.7463133510367808</v>
      </c>
      <c r="S31" s="27"/>
      <c r="T31" s="27">
        <f t="shared" si="0"/>
        <v>0.37042489423582614</v>
      </c>
      <c r="U31" s="27">
        <f t="shared" si="1"/>
        <v>0.49024848121398584</v>
      </c>
      <c r="V31" s="27">
        <f t="shared" si="2"/>
        <v>1.3234760644944006</v>
      </c>
      <c r="W31" s="51"/>
      <c r="X31" s="17">
        <v>5108</v>
      </c>
      <c r="Y31" s="17">
        <v>6935</v>
      </c>
      <c r="Z31" s="49">
        <v>96</v>
      </c>
      <c r="AA31" s="49">
        <v>5</v>
      </c>
      <c r="AB31" s="49" t="s">
        <v>87</v>
      </c>
      <c r="AC31" s="19">
        <v>5314</v>
      </c>
      <c r="AD31" s="35">
        <f t="shared" si="3"/>
        <v>206</v>
      </c>
      <c r="AE31" s="35">
        <f t="shared" si="4"/>
        <v>-1621</v>
      </c>
      <c r="AF31" s="35">
        <f t="shared" si="7"/>
        <v>1827</v>
      </c>
      <c r="AH31" s="18">
        <v>28</v>
      </c>
      <c r="AI31" s="18" t="s">
        <v>84</v>
      </c>
      <c r="AJ31" s="18" t="s">
        <v>85</v>
      </c>
      <c r="AK31" s="14">
        <v>39.496529000000002</v>
      </c>
      <c r="AL31" s="14">
        <v>-107.89874</v>
      </c>
    </row>
    <row r="32" spans="1:38">
      <c r="A32" s="13" t="s">
        <v>60</v>
      </c>
      <c r="B32" s="13" t="s">
        <v>58</v>
      </c>
      <c r="C32" s="13" t="s">
        <v>61</v>
      </c>
      <c r="D32" s="13" t="s">
        <v>71</v>
      </c>
      <c r="E32" s="51"/>
      <c r="F32" s="15">
        <v>2005</v>
      </c>
      <c r="G32" s="16" t="s">
        <v>75</v>
      </c>
      <c r="H32" s="25">
        <v>1.4603174603174605</v>
      </c>
      <c r="I32" s="25">
        <v>172.48666423090972</v>
      </c>
      <c r="J32" s="25">
        <v>0.74603174603174605</v>
      </c>
      <c r="K32" s="26">
        <f t="shared" si="5"/>
        <v>4.325156088780437</v>
      </c>
      <c r="L32" s="51"/>
      <c r="M32" s="15">
        <v>2000</v>
      </c>
      <c r="N32" s="16" t="s">
        <v>75</v>
      </c>
      <c r="O32" s="25">
        <v>0.8833546189868029</v>
      </c>
      <c r="P32" s="25">
        <v>246.51170710940823</v>
      </c>
      <c r="Q32" s="25">
        <v>1.4303959131545338</v>
      </c>
      <c r="R32" s="27">
        <f t="shared" si="6"/>
        <v>5.8025475947058665</v>
      </c>
      <c r="S32" s="27"/>
      <c r="T32" s="27">
        <f t="shared" si="0"/>
        <v>1.4291638614994628</v>
      </c>
      <c r="U32" s="27">
        <f t="shared" si="1"/>
        <v>1.9173392027390559</v>
      </c>
      <c r="V32" s="27">
        <f t="shared" si="2"/>
        <v>1.3415810841504241</v>
      </c>
      <c r="W32" s="51"/>
      <c r="X32" s="17">
        <v>5498</v>
      </c>
      <c r="Y32" s="17">
        <v>7762</v>
      </c>
      <c r="Z32" s="49">
        <v>42</v>
      </c>
      <c r="AA32" s="49">
        <v>3</v>
      </c>
      <c r="AB32" s="49" t="s">
        <v>89</v>
      </c>
      <c r="AC32" s="17">
        <v>6531</v>
      </c>
      <c r="AD32" s="35">
        <f t="shared" si="3"/>
        <v>1033</v>
      </c>
      <c r="AE32" s="35">
        <f t="shared" si="4"/>
        <v>-1231</v>
      </c>
      <c r="AF32" s="35">
        <f t="shared" si="7"/>
        <v>2264</v>
      </c>
      <c r="AH32" s="18">
        <v>1</v>
      </c>
      <c r="AI32" s="18" t="s">
        <v>83</v>
      </c>
      <c r="AJ32" s="18" t="s">
        <v>85</v>
      </c>
      <c r="AK32" s="14">
        <v>39.46752</v>
      </c>
      <c r="AL32" s="14">
        <v>-107.84128</v>
      </c>
    </row>
    <row r="33" spans="1:38">
      <c r="A33" s="13" t="s">
        <v>62</v>
      </c>
      <c r="B33" s="13" t="s">
        <v>58</v>
      </c>
      <c r="C33" s="13" t="s">
        <v>63</v>
      </c>
      <c r="D33" s="13" t="s">
        <v>68</v>
      </c>
      <c r="E33" s="51"/>
      <c r="F33" s="15">
        <v>2001</v>
      </c>
      <c r="G33" s="16" t="s">
        <v>78</v>
      </c>
      <c r="H33" s="25">
        <v>1.053763440860215</v>
      </c>
      <c r="I33" s="25">
        <v>472.07813620071687</v>
      </c>
      <c r="J33" s="25">
        <v>4.1272401433691757</v>
      </c>
      <c r="K33" s="26">
        <f t="shared" si="5"/>
        <v>8.7427055541804783</v>
      </c>
      <c r="L33" s="51"/>
      <c r="M33" s="15">
        <v>2006</v>
      </c>
      <c r="N33" s="16" t="s">
        <v>78</v>
      </c>
      <c r="O33" s="25">
        <v>0.16</v>
      </c>
      <c r="P33" s="25">
        <v>111.20573476702509</v>
      </c>
      <c r="Q33" s="25">
        <v>7.0394265232974904</v>
      </c>
      <c r="R33" s="27">
        <f t="shared" si="6"/>
        <v>63.300930820204719</v>
      </c>
      <c r="S33" s="27"/>
      <c r="T33" s="27">
        <f t="shared" si="0"/>
        <v>0.23556637395243177</v>
      </c>
      <c r="U33" s="27">
        <f t="shared" si="1"/>
        <v>1.7056013894919668</v>
      </c>
      <c r="V33" s="27">
        <f t="shared" si="2"/>
        <v>7.240428083493704</v>
      </c>
      <c r="W33" s="51"/>
      <c r="X33" s="19">
        <v>5109</v>
      </c>
      <c r="Y33" s="19">
        <v>7460</v>
      </c>
      <c r="Z33" s="49">
        <v>90</v>
      </c>
      <c r="AA33" s="49">
        <v>6</v>
      </c>
      <c r="AB33" s="49" t="s">
        <v>87</v>
      </c>
      <c r="AC33" s="17">
        <v>5530</v>
      </c>
      <c r="AD33" s="35">
        <f t="shared" si="3"/>
        <v>421</v>
      </c>
      <c r="AE33" s="35">
        <f t="shared" si="4"/>
        <v>-1930</v>
      </c>
      <c r="AF33" s="35">
        <f t="shared" si="7"/>
        <v>2351</v>
      </c>
      <c r="AH33" s="18">
        <v>33</v>
      </c>
      <c r="AI33" s="18" t="s">
        <v>84</v>
      </c>
      <c r="AJ33" s="18" t="s">
        <v>85</v>
      </c>
      <c r="AK33" s="14">
        <v>39.483020000000003</v>
      </c>
      <c r="AL33" s="14">
        <v>-107.89046999999999</v>
      </c>
    </row>
    <row r="34" spans="1:38">
      <c r="A34" s="13" t="s">
        <v>64</v>
      </c>
      <c r="B34" s="13" t="s">
        <v>58</v>
      </c>
      <c r="C34" s="13" t="s">
        <v>65</v>
      </c>
      <c r="D34" s="13" t="s">
        <v>68</v>
      </c>
      <c r="E34" s="51"/>
      <c r="F34" s="15">
        <v>2000</v>
      </c>
      <c r="G34" s="16" t="s">
        <v>75</v>
      </c>
      <c r="H34" s="25">
        <v>0.84802867383512559</v>
      </c>
      <c r="I34" s="25">
        <v>278.25268817204301</v>
      </c>
      <c r="J34" s="25">
        <v>2.2082437275985662</v>
      </c>
      <c r="K34" s="26">
        <f t="shared" si="5"/>
        <v>7.936109232602325</v>
      </c>
      <c r="L34" s="51"/>
      <c r="M34" s="15">
        <v>2005</v>
      </c>
      <c r="N34" s="16" t="s">
        <v>75</v>
      </c>
      <c r="O34" s="25">
        <v>0.31702852277564925</v>
      </c>
      <c r="P34" s="25">
        <v>153.23516389953173</v>
      </c>
      <c r="Q34" s="25">
        <v>0.92703277990634314</v>
      </c>
      <c r="R34" s="27">
        <f t="shared" si="6"/>
        <v>6.0497392133449868</v>
      </c>
      <c r="S34" s="27"/>
      <c r="T34" s="27">
        <f t="shared" si="0"/>
        <v>0.55070506202903879</v>
      </c>
      <c r="U34" s="27">
        <f t="shared" si="1"/>
        <v>0.41980546273960356</v>
      </c>
      <c r="V34" s="27">
        <f t="shared" si="2"/>
        <v>0.76230543658497762</v>
      </c>
      <c r="W34" s="51"/>
      <c r="X34" s="17">
        <v>5384</v>
      </c>
      <c r="Y34" s="17">
        <v>7096</v>
      </c>
      <c r="Z34" s="49">
        <v>90</v>
      </c>
      <c r="AA34" s="49">
        <v>5</v>
      </c>
      <c r="AB34" s="49" t="s">
        <v>87</v>
      </c>
      <c r="AC34" s="17">
        <v>5313</v>
      </c>
      <c r="AD34" s="35">
        <f t="shared" si="3"/>
        <v>-71</v>
      </c>
      <c r="AE34" s="35">
        <f t="shared" si="4"/>
        <v>-1783</v>
      </c>
      <c r="AF34" s="35">
        <f t="shared" si="7"/>
        <v>1712</v>
      </c>
      <c r="AH34" s="18">
        <v>28</v>
      </c>
      <c r="AI34" s="18" t="s">
        <v>84</v>
      </c>
      <c r="AJ34" s="18" t="s">
        <v>85</v>
      </c>
      <c r="AK34" s="14">
        <v>39.496518999999999</v>
      </c>
      <c r="AL34" s="14">
        <v>-107.89885</v>
      </c>
    </row>
    <row r="35" spans="1:38">
      <c r="A35" s="13" t="s">
        <v>66</v>
      </c>
      <c r="B35" s="13" t="s">
        <v>67</v>
      </c>
      <c r="C35" s="13" t="s">
        <v>61</v>
      </c>
      <c r="D35" s="13" t="s">
        <v>68</v>
      </c>
      <c r="E35" s="51"/>
      <c r="F35" s="15">
        <v>2000</v>
      </c>
      <c r="G35" s="16" t="s">
        <v>75</v>
      </c>
      <c r="H35" s="25">
        <v>0.82186379928315423</v>
      </c>
      <c r="I35" s="25">
        <v>207.6899641577061</v>
      </c>
      <c r="J35" s="25">
        <v>0.55555555555555558</v>
      </c>
      <c r="K35" s="26">
        <f t="shared" si="5"/>
        <v>2.6749273023789595</v>
      </c>
      <c r="L35" s="51"/>
      <c r="M35" s="15">
        <v>2005</v>
      </c>
      <c r="N35" s="16" t="s">
        <v>75</v>
      </c>
      <c r="O35" s="25">
        <v>0.81111111111111123</v>
      </c>
      <c r="P35" s="25">
        <v>93.411111111111111</v>
      </c>
      <c r="Q35" s="25">
        <v>0.39999999999999997</v>
      </c>
      <c r="R35" s="27">
        <f t="shared" si="6"/>
        <v>4.2821458308552387</v>
      </c>
      <c r="S35" s="27"/>
      <c r="T35" s="27">
        <f t="shared" si="0"/>
        <v>0.44976227662199825</v>
      </c>
      <c r="U35" s="27">
        <f t="shared" si="1"/>
        <v>0.71999999999999986</v>
      </c>
      <c r="V35" s="27">
        <f t="shared" si="2"/>
        <v>1.6008456854311113</v>
      </c>
      <c r="W35" s="51"/>
      <c r="X35" s="17">
        <v>6990</v>
      </c>
      <c r="Y35" s="17">
        <v>7061</v>
      </c>
      <c r="Z35" s="56" t="s">
        <v>136</v>
      </c>
      <c r="AA35" s="49">
        <v>1</v>
      </c>
      <c r="AB35" s="49" t="s">
        <v>87</v>
      </c>
      <c r="AC35" s="17">
        <v>7127</v>
      </c>
      <c r="AD35" s="35">
        <f t="shared" si="3"/>
        <v>137</v>
      </c>
      <c r="AE35" s="35">
        <f t="shared" si="4"/>
        <v>66</v>
      </c>
      <c r="AF35" s="35">
        <f t="shared" si="7"/>
        <v>71</v>
      </c>
      <c r="AH35" s="18">
        <v>12</v>
      </c>
      <c r="AI35" s="18" t="s">
        <v>83</v>
      </c>
      <c r="AJ35" s="18" t="s">
        <v>85</v>
      </c>
      <c r="AK35" s="14">
        <v>39.45881</v>
      </c>
      <c r="AL35" s="14">
        <v>-107.832438</v>
      </c>
    </row>
    <row r="36" spans="1:38">
      <c r="R36" s="58"/>
      <c r="S36" s="58"/>
      <c r="T36" s="58"/>
      <c r="U36" s="58"/>
      <c r="V36" s="58"/>
      <c r="W36" s="51"/>
      <c r="X36" s="51"/>
      <c r="Y36" s="51"/>
      <c r="Z36" s="49"/>
      <c r="AA36" s="49"/>
      <c r="AB36" s="49"/>
    </row>
    <row r="37" spans="1:38">
      <c r="A37" s="14" t="s">
        <v>146</v>
      </c>
      <c r="E37" s="14" t="s">
        <v>147</v>
      </c>
      <c r="R37" s="58"/>
      <c r="S37" s="58"/>
      <c r="T37" s="58"/>
      <c r="U37" s="58"/>
      <c r="V37" s="58"/>
      <c r="W37" s="51"/>
      <c r="X37" s="51"/>
      <c r="Y37" s="51"/>
      <c r="Z37" s="49"/>
      <c r="AA37" s="49"/>
      <c r="AB37" s="49"/>
    </row>
    <row r="38" spans="1:38" ht="15">
      <c r="A38" s="67" t="s">
        <v>126</v>
      </c>
      <c r="B38" s="67"/>
      <c r="C38" s="67"/>
      <c r="E38" s="42" t="s">
        <v>117</v>
      </c>
      <c r="H38" s="29">
        <f>MIN(H$4:H$35)</f>
        <v>0.456989247311828</v>
      </c>
      <c r="I38" s="29">
        <f>MIN(I$4:I$35)</f>
        <v>124.6863315696649</v>
      </c>
      <c r="J38" s="29">
        <f>MIN(J$4:J$35)</f>
        <v>0.55555555555555558</v>
      </c>
      <c r="K38" s="29">
        <f>MIN(K$4:K$35)</f>
        <v>2.0827445287644939</v>
      </c>
      <c r="L38" s="29"/>
      <c r="M38" s="29"/>
      <c r="N38" s="29"/>
      <c r="O38" s="29">
        <f>MIN(O$4:O$35)</f>
        <v>0.14301075268817201</v>
      </c>
      <c r="P38" s="29">
        <f>MIN(P$4:P$35)</f>
        <v>93.411111111111111</v>
      </c>
      <c r="Q38" s="47">
        <f>MIN(Q$4:Q$35)</f>
        <v>0.28243727598566309</v>
      </c>
      <c r="R38" s="58">
        <f>MIN(R$4:R$35)</f>
        <v>2.1567827807717892</v>
      </c>
      <c r="S38" s="58"/>
      <c r="T38" s="58">
        <f t="shared" ref="T38:V38" si="8">MIN(T$4:T$35)</f>
        <v>6.9916389944351384E-2</v>
      </c>
      <c r="U38" s="58">
        <f t="shared" si="8"/>
        <v>3.7769535211546114E-2</v>
      </c>
      <c r="V38" s="58">
        <f t="shared" si="8"/>
        <v>0.19742497216760818</v>
      </c>
      <c r="W38" s="51"/>
      <c r="X38" s="51"/>
      <c r="Y38" s="51"/>
      <c r="Z38" s="49"/>
      <c r="AA38" s="49"/>
      <c r="AB38" s="49"/>
    </row>
    <row r="39" spans="1:38">
      <c r="A39" s="67"/>
      <c r="B39" s="67"/>
      <c r="C39" s="67"/>
      <c r="E39" s="42" t="s">
        <v>118</v>
      </c>
      <c r="H39" s="29">
        <f>MAX(H$4:H$35)</f>
        <v>15.525555555555556</v>
      </c>
      <c r="I39" s="29">
        <f>MAX(I$4:I$35)</f>
        <v>1992.0727598566309</v>
      </c>
      <c r="J39" s="29">
        <f>MAX(J$4:J$35)</f>
        <v>16.312857142857144</v>
      </c>
      <c r="K39" s="29">
        <f>MAX(K$4:K$35)</f>
        <v>16.543806928567843</v>
      </c>
      <c r="L39" s="29"/>
      <c r="M39" s="29"/>
      <c r="N39" s="29"/>
      <c r="O39" s="29">
        <f>MAX(O$4:O$35)</f>
        <v>2.0849462365591398</v>
      </c>
      <c r="P39" s="29">
        <f>MAX(P$4:P$35)</f>
        <v>391.19426523297489</v>
      </c>
      <c r="Q39" s="29">
        <f>MAX(Q$4:Q$35)</f>
        <v>7.0394265232974904</v>
      </c>
      <c r="R39" s="29">
        <f>MAX(R$4:R$35)</f>
        <v>63.300930820204719</v>
      </c>
      <c r="T39" s="29">
        <f t="shared" ref="T39:V39" si="9">MAX(T$4:T$35)</f>
        <v>1.4291638614994628</v>
      </c>
      <c r="U39" s="29">
        <f t="shared" si="9"/>
        <v>2.7931312047222963</v>
      </c>
      <c r="V39" s="29">
        <f t="shared" si="9"/>
        <v>7.240428083493704</v>
      </c>
    </row>
    <row r="40" spans="1:38">
      <c r="A40" s="42" t="s">
        <v>124</v>
      </c>
      <c r="E40" s="42" t="s">
        <v>119</v>
      </c>
      <c r="H40" s="29">
        <f>MEDIAN(H$4:H$35)</f>
        <v>1.053763440860215</v>
      </c>
      <c r="I40" s="29">
        <f>MEDIAN(I$4:I$35)</f>
        <v>340.01810035842288</v>
      </c>
      <c r="J40" s="29">
        <f>MEDIAN(J$4:J$35)</f>
        <v>2.1793906810035839</v>
      </c>
      <c r="K40" s="29">
        <f>MEDIAN(K$4:K$35)</f>
        <v>7.650143628904539</v>
      </c>
      <c r="L40" s="29"/>
      <c r="M40" s="29"/>
      <c r="N40" s="29"/>
      <c r="O40" s="29">
        <f>MEDIAN(O$4:O$35)</f>
        <v>0.52007168458781361</v>
      </c>
      <c r="P40" s="29">
        <f>MEDIAN(P$4:P$35)</f>
        <v>137.91285202252965</v>
      </c>
      <c r="Q40" s="29">
        <f>MEDIAN(Q$4:Q$35)</f>
        <v>1.05</v>
      </c>
      <c r="R40" s="29">
        <f>MEDIAN(R$4:R$35)</f>
        <v>6.1854944935776146</v>
      </c>
      <c r="T40" s="29">
        <f t="shared" ref="T40:V40" si="10">MEDIAN(T$4:T$35)</f>
        <v>0.39738857020579155</v>
      </c>
      <c r="U40" s="29">
        <f t="shared" si="10"/>
        <v>0.45357818840014369</v>
      </c>
      <c r="V40" s="29">
        <f t="shared" si="10"/>
        <v>0.89880114740856498</v>
      </c>
    </row>
    <row r="41" spans="1:38">
      <c r="A41" s="42" t="s">
        <v>125</v>
      </c>
      <c r="E41" s="42" t="s">
        <v>120</v>
      </c>
      <c r="H41" s="41" t="s">
        <v>136</v>
      </c>
      <c r="I41" s="29">
        <f>GEOMEAN(I$4:I$35)</f>
        <v>382.39232856777744</v>
      </c>
      <c r="J41" s="29">
        <f>GEOMEAN(J$4:J$35)</f>
        <v>2.5285773302990222</v>
      </c>
      <c r="K41" s="29">
        <f>GEOMEAN(K$4:K$35)</f>
        <v>6.6125210716690503</v>
      </c>
      <c r="L41" s="29"/>
      <c r="M41" s="29"/>
      <c r="N41" s="29"/>
      <c r="O41" s="41" t="s">
        <v>136</v>
      </c>
      <c r="P41" s="29">
        <f>GEOMEAN(P$4:P$35)</f>
        <v>148.12553248706718</v>
      </c>
      <c r="Q41" s="29">
        <f>GEOMEAN(Q$4:Q$35)</f>
        <v>1.0085699821296481</v>
      </c>
      <c r="R41" s="29">
        <f>GEOMEAN(R$4:R$35)</f>
        <v>6.8088867948387364</v>
      </c>
      <c r="T41" s="29">
        <f t="shared" ref="T41:V41" si="11">GEOMEAN(T$4:T$35)</f>
        <v>0.38736533507840143</v>
      </c>
      <c r="U41" s="29">
        <f t="shared" si="11"/>
        <v>0.39886855349224282</v>
      </c>
      <c r="V41" s="29">
        <f t="shared" si="11"/>
        <v>1.0296960449791235</v>
      </c>
    </row>
    <row r="42" spans="1:38">
      <c r="E42" s="42" t="s">
        <v>121</v>
      </c>
      <c r="H42" s="29">
        <f>AVERAGE(H$4:H$35)</f>
        <v>2.0461879131788345</v>
      </c>
      <c r="I42" s="29">
        <f>AVERAGE(I$4:I$35)</f>
        <v>484.53656668407848</v>
      </c>
      <c r="J42" s="29">
        <f>AVERAGE(J$4:J$35)</f>
        <v>3.4866019863585449</v>
      </c>
      <c r="K42" s="29">
        <f>AVERAGE(K$4:K$35)</f>
        <v>7.458532137940467</v>
      </c>
      <c r="L42" s="29"/>
      <c r="M42" s="29"/>
      <c r="N42" s="29"/>
      <c r="O42" s="29">
        <f>AVERAGE(O$4:O$35)</f>
        <v>0.56531722713250077</v>
      </c>
      <c r="P42" s="29">
        <f>AVERAGE(P$4:P$35)</f>
        <v>159.36886756301831</v>
      </c>
      <c r="Q42" s="29">
        <f>AVERAGE(Q$4:Q$35)</f>
        <v>1.3280485917382236</v>
      </c>
      <c r="R42" s="29">
        <f>AVERAGE(R$4:R$35)</f>
        <v>9.2375008448305724</v>
      </c>
      <c r="T42" s="29">
        <f t="shared" ref="T42:V42" si="12">AVERAGE(T$4:T$35)</f>
        <v>0.4467894018354045</v>
      </c>
      <c r="U42" s="29">
        <f t="shared" si="12"/>
        <v>0.62997859424696667</v>
      </c>
      <c r="V42" s="29">
        <f t="shared" si="12"/>
        <v>1.5150871616317327</v>
      </c>
    </row>
    <row r="43" spans="1:38">
      <c r="E43" s="42" t="s">
        <v>122</v>
      </c>
      <c r="H43" s="29">
        <f>STDEV(H$4:H$35)</f>
        <v>2.8958933636376925</v>
      </c>
      <c r="I43" s="29">
        <f>STDEV(I$4:I$35)</f>
        <v>413.43452501880688</v>
      </c>
      <c r="J43" s="29">
        <f>STDEV(J$4:J$35)</f>
        <v>3.4575978723110881</v>
      </c>
      <c r="K43" s="29">
        <f>STDEV(K$4:K$35)</f>
        <v>3.522129189569553</v>
      </c>
      <c r="L43" s="29"/>
      <c r="M43" s="29"/>
      <c r="N43" s="29"/>
      <c r="O43" s="29">
        <f>STDEV(O$4:O$35)</f>
        <v>0.39429486248264695</v>
      </c>
      <c r="P43" s="29">
        <f>STDEV(P$4:P$35)</f>
        <v>69.368454768831739</v>
      </c>
      <c r="Q43" s="29">
        <f>STDEV(Q$4:Q$35)</f>
        <v>1.2779590219948118</v>
      </c>
      <c r="R43" s="29">
        <f>STDEV(R$4:R$35)</f>
        <v>11.137222419612042</v>
      </c>
      <c r="T43" s="29">
        <f t="shared" ref="T43:V43" si="13">STDEV(T$4:T$35)</f>
        <v>0.25214507585144758</v>
      </c>
      <c r="U43" s="29">
        <f t="shared" si="13"/>
        <v>0.65890610284873852</v>
      </c>
      <c r="V43" s="29">
        <f t="shared" si="13"/>
        <v>1.614872404029714</v>
      </c>
    </row>
    <row r="44" spans="1:38">
      <c r="E44" s="42" t="s">
        <v>123</v>
      </c>
      <c r="H44" s="29">
        <f>COUNT(H$4:H$35)</f>
        <v>31</v>
      </c>
      <c r="I44" s="29">
        <f>COUNT(I$4:I$35)</f>
        <v>32</v>
      </c>
      <c r="J44" s="29">
        <f>COUNT(J$4:J$35)</f>
        <v>32</v>
      </c>
      <c r="K44" s="29">
        <f>COUNT(K$4:K$35)</f>
        <v>32</v>
      </c>
      <c r="L44" s="29"/>
      <c r="M44" s="29"/>
      <c r="N44" s="29"/>
      <c r="O44" s="29">
        <f>COUNT(O$4:O$35)</f>
        <v>29</v>
      </c>
      <c r="P44" s="29">
        <f>COUNT(P$4:P$35)</f>
        <v>32</v>
      </c>
      <c r="Q44" s="29">
        <f>COUNT(Q$4:Q$35)</f>
        <v>32</v>
      </c>
      <c r="R44" s="29">
        <f>COUNT(R$4:R$35)</f>
        <v>32</v>
      </c>
      <c r="T44" s="29">
        <f t="shared" ref="T44:V44" si="14">COUNT(T$4:T$35)</f>
        <v>32</v>
      </c>
      <c r="U44" s="29">
        <f t="shared" si="14"/>
        <v>32</v>
      </c>
      <c r="V44" s="29">
        <f t="shared" si="14"/>
        <v>32</v>
      </c>
    </row>
    <row r="46" spans="1:38" ht="15">
      <c r="E46" s="42" t="s">
        <v>117</v>
      </c>
      <c r="I46" s="29">
        <f>QUARTILE(I$4:I$35,0)</f>
        <v>124.6863315696649</v>
      </c>
      <c r="L46" s="29"/>
      <c r="M46" s="29"/>
      <c r="N46" s="29"/>
      <c r="P46" s="29">
        <f t="shared" ref="P46" si="15">QUARTILE(P$4:P$35,0)</f>
        <v>93.411111111111111</v>
      </c>
      <c r="Q46" s="46"/>
    </row>
    <row r="47" spans="1:38">
      <c r="E47" s="42" t="s">
        <v>148</v>
      </c>
      <c r="I47" s="29">
        <f>QUARTILE(I$4:I$35,1)</f>
        <v>259.91315668202765</v>
      </c>
      <c r="L47" s="29"/>
      <c r="M47" s="29"/>
      <c r="N47" s="29"/>
      <c r="P47" s="29">
        <f t="shared" ref="P47" si="16">QUARTILE(P$4:P$35,1)</f>
        <v>111.14014336917563</v>
      </c>
    </row>
    <row r="48" spans="1:38">
      <c r="E48" s="42" t="s">
        <v>119</v>
      </c>
      <c r="I48" s="29">
        <f>QUARTILE(I$4:I$35,2)</f>
        <v>340.01810035842288</v>
      </c>
      <c r="L48" s="29"/>
      <c r="M48" s="29"/>
      <c r="N48" s="29"/>
      <c r="P48" s="29">
        <f t="shared" ref="P48" si="17">QUARTILE(P$4:P$35,2)</f>
        <v>137.91285202252965</v>
      </c>
    </row>
    <row r="49" spans="5:16">
      <c r="E49" s="42" t="s">
        <v>149</v>
      </c>
      <c r="I49" s="29">
        <f>QUARTILE(I$4:I$35,3)</f>
        <v>570.50179211469526</v>
      </c>
      <c r="L49" s="29"/>
      <c r="M49" s="29"/>
      <c r="N49" s="29"/>
      <c r="P49" s="29">
        <f t="shared" ref="P49" si="18">QUARTILE(P$4:P$35,3)</f>
        <v>172.67195340501794</v>
      </c>
    </row>
    <row r="50" spans="5:16">
      <c r="E50" s="42" t="s">
        <v>118</v>
      </c>
      <c r="I50" s="29">
        <f>QUARTILE(I$4:I$35,4)</f>
        <v>1992.0727598566309</v>
      </c>
      <c r="L50" s="29"/>
      <c r="M50" s="29"/>
      <c r="N50" s="29"/>
      <c r="P50" s="29">
        <f t="shared" ref="P50" si="19">QUARTILE(P$4:P$35,4)</f>
        <v>391.19426523297489</v>
      </c>
    </row>
  </sheetData>
  <mergeCells count="7">
    <mergeCell ref="X2:AF2"/>
    <mergeCell ref="AH2:AL2"/>
    <mergeCell ref="A38:C39"/>
    <mergeCell ref="A2:D2"/>
    <mergeCell ref="F2:K2"/>
    <mergeCell ref="M2:R2"/>
    <mergeCell ref="T2:V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RulisonMesaverde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 Image</dc:creator>
  <cp:lastModifiedBy>pnelson</cp:lastModifiedBy>
  <dcterms:created xsi:type="dcterms:W3CDTF">2009-07-14T22:10:58Z</dcterms:created>
  <dcterms:modified xsi:type="dcterms:W3CDTF">2010-05-13T15:44:53Z</dcterms:modified>
</cp:coreProperties>
</file>