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autoCompressPictures="0"/>
  <bookViews>
    <workbookView xWindow="4215" yWindow="120" windowWidth="14220" windowHeight="15495"/>
  </bookViews>
  <sheets>
    <sheet name="Table 2. Strength and density" sheetId="10" r:id="rId1"/>
  </sheets>
  <definedNames>
    <definedName name="_xlnm.Print_Area" localSheetId="0">'Table 2. Strength and density'!$A$1:$AL$166</definedName>
    <definedName name="_xlnm.Print_Titles" localSheetId="0">'Table 2. Strength and density'!$3:$3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K162" i="10"/>
  <c r="AK160"/>
  <c r="AK159"/>
  <c r="AK158"/>
  <c r="AK157"/>
  <c r="AK155"/>
  <c r="AK154"/>
  <c r="AK153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1"/>
  <c r="AK130"/>
  <c r="AK129"/>
  <c r="AK127"/>
  <c r="AK126"/>
  <c r="AK125"/>
  <c r="AK124"/>
  <c r="AK123"/>
  <c r="AK121"/>
  <c r="AK120"/>
  <c r="AK119"/>
  <c r="AK118"/>
  <c r="AK117"/>
  <c r="AK116"/>
  <c r="AK115"/>
  <c r="AK114"/>
  <c r="AK112"/>
  <c r="AK111"/>
  <c r="AK110"/>
  <c r="AK109"/>
  <c r="AK108"/>
  <c r="AK106"/>
  <c r="AK105"/>
  <c r="AK104"/>
  <c r="AK103"/>
  <c r="AK102"/>
  <c r="AK101"/>
  <c r="AK100"/>
  <c r="AK99"/>
  <c r="AK98"/>
  <c r="AK97"/>
  <c r="AK96"/>
  <c r="AK95"/>
  <c r="AK94"/>
  <c r="AK93"/>
  <c r="AK92"/>
  <c r="AK91"/>
  <c r="AK90"/>
  <c r="AK89"/>
  <c r="AK88"/>
  <c r="AK8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N86"/>
  <c r="AF84"/>
  <c r="AD84"/>
  <c r="J84"/>
  <c r="D84"/>
  <c r="AF83"/>
  <c r="AD83"/>
  <c r="J83"/>
  <c r="D83"/>
  <c r="AK82"/>
  <c r="AF82"/>
  <c r="AD82"/>
  <c r="J82"/>
  <c r="D82"/>
  <c r="AK81"/>
  <c r="AF81"/>
  <c r="AD81"/>
  <c r="J81"/>
  <c r="D81"/>
  <c r="AK80"/>
  <c r="AF80"/>
  <c r="AD80"/>
  <c r="K80"/>
  <c r="J80"/>
  <c r="D80"/>
  <c r="AF79"/>
  <c r="AD79"/>
  <c r="K79"/>
  <c r="J79"/>
  <c r="D79"/>
  <c r="AF78"/>
  <c r="AD78"/>
  <c r="K78"/>
  <c r="J78"/>
  <c r="D78"/>
  <c r="AF77"/>
  <c r="AD77"/>
  <c r="J77"/>
  <c r="D77"/>
  <c r="AF76"/>
  <c r="AD76"/>
  <c r="J76"/>
  <c r="D76"/>
  <c r="AK75"/>
  <c r="AF75"/>
  <c r="AD75"/>
  <c r="J75"/>
  <c r="D75"/>
  <c r="AK74"/>
  <c r="AF74"/>
  <c r="AD74"/>
  <c r="J74"/>
  <c r="D74"/>
  <c r="AK73"/>
  <c r="AF73"/>
  <c r="AD73"/>
  <c r="J73"/>
  <c r="D73"/>
  <c r="AK72"/>
  <c r="AF72"/>
  <c r="AD72"/>
  <c r="J72"/>
  <c r="D72"/>
  <c r="AK71"/>
  <c r="AF71"/>
  <c r="AD71"/>
  <c r="J71"/>
  <c r="D71"/>
  <c r="AK70"/>
  <c r="AF70"/>
  <c r="AD70"/>
  <c r="J70"/>
  <c r="D70"/>
  <c r="AK69"/>
  <c r="AF69"/>
  <c r="AD69"/>
  <c r="J69"/>
  <c r="D69"/>
  <c r="AF68"/>
  <c r="AD68"/>
  <c r="J68"/>
  <c r="D68"/>
  <c r="AK67"/>
  <c r="AF67"/>
  <c r="AD67"/>
  <c r="J67"/>
  <c r="D67"/>
  <c r="AK66"/>
  <c r="AF66"/>
  <c r="AD66"/>
  <c r="J66"/>
  <c r="AK65"/>
  <c r="AF65"/>
  <c r="AD65"/>
  <c r="J65"/>
  <c r="AK64"/>
  <c r="AF64"/>
  <c r="AD64"/>
  <c r="J64"/>
  <c r="D64"/>
  <c r="AF63"/>
  <c r="AD63"/>
  <c r="J63"/>
  <c r="D63"/>
  <c r="AK62"/>
  <c r="AF62"/>
  <c r="AD62"/>
  <c r="J62"/>
  <c r="D62"/>
  <c r="AK61"/>
  <c r="AF61"/>
  <c r="AD61"/>
  <c r="J61"/>
  <c r="AF60"/>
  <c r="AD60"/>
  <c r="J60"/>
  <c r="D60"/>
  <c r="AK59"/>
  <c r="AF59"/>
  <c r="AD59"/>
  <c r="K59"/>
  <c r="J59"/>
  <c r="D59"/>
  <c r="AK58"/>
  <c r="AF58"/>
  <c r="AD58"/>
  <c r="J58"/>
  <c r="D58"/>
  <c r="AF57"/>
  <c r="AD57"/>
  <c r="J57"/>
  <c r="D57"/>
  <c r="AF56"/>
  <c r="AD56"/>
  <c r="J56"/>
  <c r="D56"/>
  <c r="AK55"/>
  <c r="AF55"/>
  <c r="AD55"/>
  <c r="J55"/>
  <c r="D55"/>
  <c r="AF54"/>
  <c r="AD54"/>
  <c r="J54"/>
  <c r="D54"/>
  <c r="AK53"/>
  <c r="AF53"/>
  <c r="AD53"/>
  <c r="J53"/>
  <c r="D53"/>
  <c r="AK52"/>
  <c r="AF52"/>
  <c r="AD52"/>
  <c r="K52"/>
  <c r="J52"/>
  <c r="D52"/>
  <c r="AF51"/>
  <c r="AD51"/>
  <c r="J51"/>
  <c r="D51"/>
  <c r="AF50"/>
  <c r="AD50"/>
  <c r="J50"/>
  <c r="D50"/>
  <c r="AF49"/>
  <c r="AD49"/>
  <c r="J49"/>
  <c r="D49"/>
  <c r="AK48"/>
  <c r="AF48"/>
  <c r="AD48"/>
  <c r="J48"/>
  <c r="D48"/>
  <c r="AK47"/>
  <c r="AF47"/>
  <c r="AD47"/>
  <c r="J47"/>
  <c r="D47"/>
  <c r="AK46"/>
  <c r="AF46"/>
  <c r="AD46"/>
  <c r="J46"/>
  <c r="D46"/>
  <c r="AK45"/>
  <c r="AF45"/>
  <c r="AD45"/>
  <c r="J45"/>
  <c r="D45"/>
  <c r="AK44"/>
  <c r="AF44"/>
  <c r="AD44"/>
  <c r="J44"/>
  <c r="D44"/>
  <c r="AK43"/>
  <c r="AF43"/>
  <c r="AD43"/>
  <c r="J43"/>
  <c r="D43"/>
  <c r="AK42"/>
  <c r="AF42"/>
  <c r="AD42"/>
  <c r="J42"/>
  <c r="D42"/>
  <c r="AK41"/>
  <c r="AF41"/>
  <c r="AD41"/>
  <c r="J41"/>
  <c r="D41"/>
  <c r="AK40"/>
  <c r="AF40"/>
  <c r="AD40"/>
  <c r="J40"/>
  <c r="D40"/>
  <c r="AK39"/>
  <c r="AF39"/>
  <c r="AD39"/>
  <c r="J39"/>
  <c r="D39"/>
  <c r="AF38"/>
  <c r="AD38"/>
  <c r="J38"/>
  <c r="D38"/>
  <c r="AK37"/>
  <c r="AF37"/>
  <c r="AD37"/>
  <c r="J37"/>
  <c r="AK36"/>
  <c r="AF36"/>
  <c r="AD36"/>
  <c r="J36"/>
  <c r="AK35"/>
  <c r="AF35"/>
  <c r="AD35"/>
  <c r="J35"/>
  <c r="D35"/>
  <c r="AF34"/>
  <c r="AD34"/>
  <c r="J34"/>
  <c r="D34"/>
  <c r="AK33"/>
  <c r="AF33"/>
  <c r="AD33"/>
  <c r="J33"/>
  <c r="AK32"/>
  <c r="AF32"/>
  <c r="AD32"/>
  <c r="J32"/>
  <c r="AK31"/>
  <c r="AF31"/>
  <c r="AD31"/>
  <c r="J31"/>
  <c r="D31"/>
  <c r="AF30"/>
  <c r="AD30"/>
  <c r="J30"/>
  <c r="D30"/>
  <c r="AK29"/>
  <c r="AF29"/>
  <c r="AD29"/>
  <c r="J29"/>
  <c r="AK28"/>
  <c r="AF28"/>
  <c r="AD28"/>
  <c r="J28"/>
  <c r="AK27"/>
  <c r="AF27"/>
  <c r="AD27"/>
  <c r="J27"/>
  <c r="D27"/>
  <c r="AK26"/>
  <c r="AF26"/>
  <c r="AD26"/>
  <c r="J26"/>
  <c r="D26"/>
  <c r="AK25"/>
  <c r="AF25"/>
  <c r="AD25"/>
  <c r="J25"/>
  <c r="AK24"/>
  <c r="AF24"/>
  <c r="AD24"/>
  <c r="J24"/>
  <c r="AK23"/>
  <c r="AF23"/>
  <c r="AD23"/>
  <c r="J23"/>
  <c r="D23"/>
  <c r="AK22"/>
  <c r="AF22"/>
  <c r="AD22"/>
  <c r="J22"/>
  <c r="D22"/>
  <c r="AK21"/>
  <c r="AF21"/>
  <c r="AD21"/>
  <c r="J21"/>
  <c r="AK20"/>
  <c r="AF20"/>
  <c r="AD20"/>
  <c r="J20"/>
  <c r="AK19"/>
  <c r="AF19"/>
  <c r="AD19"/>
  <c r="J19"/>
  <c r="D19"/>
  <c r="AK18"/>
  <c r="AF18"/>
  <c r="AD18"/>
  <c r="J18"/>
  <c r="AK17"/>
  <c r="AF17"/>
  <c r="AD17"/>
  <c r="J17"/>
  <c r="AK16"/>
  <c r="AF16"/>
  <c r="AD16"/>
  <c r="J16"/>
  <c r="D16"/>
  <c r="AK15"/>
  <c r="AF15"/>
  <c r="AD15"/>
  <c r="J15"/>
  <c r="AK14"/>
  <c r="AF14"/>
  <c r="AD14"/>
  <c r="J14"/>
  <c r="AK13"/>
  <c r="AF13"/>
  <c r="AD13"/>
  <c r="J13"/>
  <c r="D13"/>
  <c r="AK12"/>
  <c r="AF12"/>
  <c r="AD12"/>
  <c r="J12"/>
  <c r="D12"/>
  <c r="AK11"/>
  <c r="AF11"/>
  <c r="AD11"/>
  <c r="J11"/>
  <c r="AK10"/>
  <c r="AF10"/>
  <c r="AD10"/>
  <c r="J10"/>
  <c r="AK9"/>
  <c r="AF9"/>
  <c r="AD9"/>
  <c r="J9"/>
  <c r="D9"/>
  <c r="AK8"/>
  <c r="AF8"/>
  <c r="AD8"/>
  <c r="J8"/>
  <c r="AK7"/>
  <c r="AF7"/>
  <c r="AD7"/>
  <c r="J7"/>
  <c r="AK6"/>
  <c r="AF6"/>
  <c r="AD6"/>
  <c r="J6"/>
  <c r="AK5"/>
  <c r="AF5"/>
  <c r="AD5"/>
  <c r="J5"/>
  <c r="AK4"/>
  <c r="AF4"/>
  <c r="AD4"/>
  <c r="J4"/>
  <c r="D4"/>
</calcChain>
</file>

<file path=xl/comments1.xml><?xml version="1.0" encoding="utf-8"?>
<comments xmlns="http://schemas.openxmlformats.org/spreadsheetml/2006/main">
  <authors>
    <author>mjbennett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>mjbennett:
Coarest one percent</t>
        </r>
      </text>
    </comment>
    <comment ref="N52" authorId="0">
      <text>
        <r>
          <rPr>
            <b/>
            <sz val="8"/>
            <color indexed="81"/>
            <rFont val="Tahoma"/>
            <family val="2"/>
          </rPr>
          <t>mjbennett:
TOO SMALL</t>
        </r>
      </text>
    </comment>
    <comment ref="N54" authorId="0">
      <text>
        <r>
          <rPr>
            <b/>
            <sz val="8"/>
            <color indexed="81"/>
            <rFont val="Tahoma"/>
            <family val="2"/>
          </rPr>
          <t>mjbennett:
TOO SMALL</t>
        </r>
      </text>
    </comment>
    <comment ref="N55" authorId="0">
      <text>
        <r>
          <rPr>
            <b/>
            <sz val="8"/>
            <color indexed="81"/>
            <rFont val="Tahoma"/>
            <family val="2"/>
          </rPr>
          <t>mjbennett:
TOO SMALL</t>
        </r>
      </text>
    </comment>
    <comment ref="N59" authorId="0">
      <text>
        <r>
          <rPr>
            <b/>
            <sz val="8"/>
            <color indexed="81"/>
            <rFont val="Tahoma"/>
            <family val="2"/>
          </rPr>
          <t>mjbennett:
TOO SMALL</t>
        </r>
      </text>
    </comment>
    <comment ref="N74" authorId="0">
      <text>
        <r>
          <rPr>
            <b/>
            <sz val="8"/>
            <color indexed="81"/>
            <rFont val="Tahoma"/>
            <family val="2"/>
          </rPr>
          <t>mjbennett:
TOO SMALL</t>
        </r>
      </text>
    </comment>
    <comment ref="L78" authorId="0">
      <text>
        <r>
          <rPr>
            <b/>
            <sz val="8"/>
            <color indexed="81"/>
            <rFont val="Tahoma"/>
            <family val="2"/>
          </rPr>
          <t>mjbennett:
QUESS</t>
        </r>
      </text>
    </comment>
    <comment ref="AG83" authorId="0">
      <text>
        <r>
          <rPr>
            <b/>
            <sz val="8"/>
            <color indexed="81"/>
            <rFont val="Tahoma"/>
            <family val="2"/>
          </rPr>
          <t>mjbennett:
GREATER THAN 277</t>
        </r>
      </text>
    </comment>
    <comment ref="AG84" authorId="0">
      <text>
        <r>
          <rPr>
            <b/>
            <sz val="8"/>
            <color indexed="81"/>
            <rFont val="Tahoma"/>
            <family val="2"/>
          </rPr>
          <t>mjbennett:
GREATER THAN 258</t>
        </r>
      </text>
    </comment>
  </commentList>
</comments>
</file>

<file path=xl/sharedStrings.xml><?xml version="1.0" encoding="utf-8"?>
<sst xmlns="http://schemas.openxmlformats.org/spreadsheetml/2006/main" count="851" uniqueCount="261">
  <si>
    <t>Stake 11-16B</t>
  </si>
  <si>
    <t>Stake 11-16C</t>
  </si>
  <si>
    <t>Stake 11-16D</t>
  </si>
  <si>
    <t>Stake 11-17A1</t>
  </si>
  <si>
    <t>Stake 11-17A2</t>
  </si>
  <si>
    <t>Stake 11-17B</t>
  </si>
  <si>
    <t>Stake 11-17C</t>
  </si>
  <si>
    <t>Stake 11-17D1</t>
  </si>
  <si>
    <t>Stake 11-17D2</t>
  </si>
  <si>
    <t>Stake 11-18A</t>
  </si>
  <si>
    <t>Stake 11-18B</t>
  </si>
  <si>
    <t>Stake 11-18C</t>
  </si>
  <si>
    <t>Stake 11-18D1</t>
  </si>
  <si>
    <t>Stake 11-18D2</t>
  </si>
  <si>
    <t>Stake 11-19A</t>
  </si>
  <si>
    <t>39-41</t>
  </si>
  <si>
    <t>Stake 11-19B</t>
  </si>
  <si>
    <t>Stake 11-19C</t>
  </si>
  <si>
    <t>Stake 11-19D1</t>
  </si>
  <si>
    <t>Stake 11-19D2</t>
  </si>
  <si>
    <t>Clayey sand</t>
  </si>
  <si>
    <t>MLS</t>
  </si>
  <si>
    <t>Sandy silt</t>
  </si>
  <si>
    <t xml:space="preserve"> CH</t>
  </si>
  <si>
    <t>Sandy fat clay</t>
  </si>
  <si>
    <r>
      <rPr>
        <b/>
        <sz val="14"/>
        <rFont val="Univers 47 CondensedLight"/>
        <family val="2"/>
      </rPr>
      <t>Table 2.</t>
    </r>
    <r>
      <rPr>
        <sz val="14"/>
        <rFont val="Univers 47 CondensedLight"/>
        <family val="2"/>
      </rPr>
      <t xml:space="preserve"> Soil strength and density</t>
    </r>
  </si>
  <si>
    <t>Unified Soil Class</t>
  </si>
  <si>
    <t>[The Unified Soil Classification symbols are defined in the description column]</t>
  </si>
  <si>
    <t>-</t>
  </si>
  <si>
    <t>SNC007-20b</t>
  </si>
  <si>
    <t>SNC007-17a</t>
  </si>
  <si>
    <t>SNC007-17b</t>
  </si>
  <si>
    <t>SNC007-17c</t>
  </si>
  <si>
    <t>SNC007-17d</t>
  </si>
  <si>
    <t>SNC007-18b</t>
  </si>
  <si>
    <t>SNC007-18c1</t>
  </si>
  <si>
    <t>SNC007-18c2</t>
  </si>
  <si>
    <t>SNC007-18d</t>
  </si>
  <si>
    <t>SNC007-18e</t>
  </si>
  <si>
    <t>39-40</t>
  </si>
  <si>
    <t>SNC007-1a</t>
  </si>
  <si>
    <t>SNC007-1b</t>
  </si>
  <si>
    <t>SNC007-1c</t>
  </si>
  <si>
    <t>SNC007-2a</t>
  </si>
  <si>
    <t>SNC007-2b</t>
  </si>
  <si>
    <t>CL</t>
  </si>
  <si>
    <t>Sandy lean CLAY</t>
  </si>
  <si>
    <t>Lean CLAY with sand</t>
  </si>
  <si>
    <r>
      <t>C</t>
    </r>
    <r>
      <rPr>
        <vertAlign val="subscript"/>
        <sz val="9"/>
        <rFont val="Comic Sans MS"/>
        <family val="4"/>
      </rPr>
      <t>1</t>
    </r>
  </si>
  <si>
    <t>CLS</t>
  </si>
  <si>
    <t>SM</t>
  </si>
  <si>
    <t>Silty SAND with gravel</t>
  </si>
  <si>
    <t>Ic Zone</t>
  </si>
  <si>
    <t>Silty SAND</t>
  </si>
  <si>
    <t>SC</t>
  </si>
  <si>
    <t>Clayey SAND</t>
  </si>
  <si>
    <t>Sample depth range, ft</t>
  </si>
  <si>
    <t>CH</t>
  </si>
  <si>
    <t>Fat CLAY</t>
  </si>
  <si>
    <t>CHS</t>
  </si>
  <si>
    <t>Sandy fat CLAY</t>
  </si>
  <si>
    <t>Fat CLAY with sand</t>
  </si>
  <si>
    <t>SP-SM</t>
  </si>
  <si>
    <t>SAND with silt</t>
  </si>
  <si>
    <r>
      <t>Fines,</t>
    </r>
    <r>
      <rPr>
        <sz val="6"/>
        <rFont val="Comic Sans MS"/>
        <family val="4"/>
      </rPr>
      <t xml:space="preserve"> &lt;0.075 mm</t>
    </r>
  </si>
  <si>
    <t>out of 72</t>
  </si>
  <si>
    <r>
      <t>Depth</t>
    </r>
    <r>
      <rPr>
        <sz val="9"/>
        <rFont val="Comic Sans MS"/>
        <family val="4"/>
      </rPr>
      <t>, m</t>
    </r>
  </si>
  <si>
    <t xml:space="preserve"> 2-4</t>
  </si>
  <si>
    <t xml:space="preserve"> 4-6</t>
  </si>
  <si>
    <t>Stake 11</t>
  </si>
  <si>
    <t xml:space="preserve"> 6-8</t>
  </si>
  <si>
    <t xml:space="preserve"> 8-10</t>
  </si>
  <si>
    <t xml:space="preserve"> 10-12</t>
  </si>
  <si>
    <t xml:space="preserve"> 12-14</t>
  </si>
  <si>
    <t>Fat Clay with sand</t>
  </si>
  <si>
    <t>Silty sand</t>
  </si>
  <si>
    <t>Sandy lean clay</t>
  </si>
  <si>
    <t xml:space="preserve">CL </t>
  </si>
  <si>
    <t>Lean clay with sand</t>
  </si>
  <si>
    <t>Fat clay</t>
  </si>
  <si>
    <t>Fat clay with sand</t>
  </si>
  <si>
    <t>Stake 11-1D</t>
  </si>
  <si>
    <t>Stake 11-1C</t>
  </si>
  <si>
    <t>Stake 11-1B</t>
  </si>
  <si>
    <t>Stake 11-1A</t>
  </si>
  <si>
    <t>Stake 11-2A</t>
  </si>
  <si>
    <t>Stake 11-2B</t>
  </si>
  <si>
    <t>Stake 11-2C</t>
  </si>
  <si>
    <t>Stake 11-2D</t>
  </si>
  <si>
    <t>Stake 11-3A</t>
  </si>
  <si>
    <t>Stake 11-3B</t>
  </si>
  <si>
    <t>Stake 11-3C</t>
  </si>
  <si>
    <t>Stake 11-4A</t>
  </si>
  <si>
    <t>Stake 11-4B</t>
  </si>
  <si>
    <t>Stake 11-4C</t>
  </si>
  <si>
    <t>Stake 11-4D</t>
  </si>
  <si>
    <t>Stake 11-5A</t>
  </si>
  <si>
    <t>Stake 11-5B</t>
  </si>
  <si>
    <t>Stake 11-6A</t>
  </si>
  <si>
    <t>Stake 11-6B</t>
  </si>
  <si>
    <t>Stake 11-6C1</t>
  </si>
  <si>
    <t>Stake 11-6C2</t>
  </si>
  <si>
    <t>Stake 11-6D</t>
  </si>
  <si>
    <t>Stake 11-7A</t>
  </si>
  <si>
    <t>Stake 11-7B</t>
  </si>
  <si>
    <t>Stake 11-7C</t>
  </si>
  <si>
    <t>Stake 11-7D1</t>
  </si>
  <si>
    <t>Stake 11-7D2</t>
  </si>
  <si>
    <t>Stake 11-8A</t>
  </si>
  <si>
    <t>Stake 11-8B</t>
  </si>
  <si>
    <t>Stake 11-8C</t>
  </si>
  <si>
    <t>Stake 11-8D</t>
  </si>
  <si>
    <t>Stake 11-9A</t>
  </si>
  <si>
    <t>Stake 11-9B1</t>
  </si>
  <si>
    <t>Stake 11-9B2</t>
  </si>
  <si>
    <t>Stake 11-9C1</t>
  </si>
  <si>
    <t>Stake 11-9C2</t>
  </si>
  <si>
    <t>Stake 11-10A</t>
  </si>
  <si>
    <t>Stake 11-10B1</t>
  </si>
  <si>
    <t>Stake 11-10B2</t>
  </si>
  <si>
    <t>Stake 11-10C</t>
  </si>
  <si>
    <t>Stake 11-10D</t>
  </si>
  <si>
    <t>Stake 11-11A</t>
  </si>
  <si>
    <t>23-25.25</t>
  </si>
  <si>
    <t>Stake 11-11B</t>
  </si>
  <si>
    <t>Stake 11-11C</t>
  </si>
  <si>
    <t>Stake 11-11D</t>
  </si>
  <si>
    <t>Stake 11-12A</t>
  </si>
  <si>
    <t>25.25-27</t>
  </si>
  <si>
    <t>Stake 11-12B</t>
  </si>
  <si>
    <t>Stake 11-12C</t>
  </si>
  <si>
    <t>Stake 11-12D</t>
  </si>
  <si>
    <t>Stake 11-13A</t>
  </si>
  <si>
    <t>Stake 11-13B</t>
  </si>
  <si>
    <t>Stake 11-13C</t>
  </si>
  <si>
    <t>Stake 11-13D</t>
  </si>
  <si>
    <t>Stake 11-14A</t>
  </si>
  <si>
    <t>Stake 11-14B</t>
  </si>
  <si>
    <t>Stake 11-14C</t>
  </si>
  <si>
    <t>Stake 11-15A</t>
  </si>
  <si>
    <t>Stake 11-15B</t>
  </si>
  <si>
    <t>Stake 11-15C</t>
  </si>
  <si>
    <t>Stake 11-15D</t>
  </si>
  <si>
    <t>Stake 11-16A</t>
  </si>
  <si>
    <t>Site</t>
  </si>
  <si>
    <t>Depth, ft</t>
  </si>
  <si>
    <t>Liquid limit</t>
  </si>
  <si>
    <t>Plastic limit</t>
  </si>
  <si>
    <t>PI</t>
  </si>
  <si>
    <t>Ic</t>
  </si>
  <si>
    <t>Apparent fines</t>
  </si>
  <si>
    <t>Description</t>
  </si>
  <si>
    <r>
      <t xml:space="preserve"> Sand</t>
    </r>
    <r>
      <rPr>
        <sz val="6"/>
        <rFont val="Arial"/>
        <family val="2"/>
      </rPr>
      <t xml:space="preserve">      4.75-0.075 mm</t>
    </r>
    <r>
      <rPr>
        <sz val="8"/>
        <rFont val="Arial"/>
        <family val="2"/>
      </rPr>
      <t xml:space="preserve">    </t>
    </r>
  </si>
  <si>
    <r>
      <t xml:space="preserve">D50      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mm</t>
    </r>
  </si>
  <si>
    <r>
      <t xml:space="preserve">Cu  </t>
    </r>
    <r>
      <rPr>
        <sz val="6"/>
        <rFont val="Arial"/>
        <family val="2"/>
      </rPr>
      <t>D60/D10</t>
    </r>
  </si>
  <si>
    <t>Measured fines</t>
  </si>
  <si>
    <r>
      <t>Silt</t>
    </r>
    <r>
      <rPr>
        <sz val="9"/>
        <rFont val="Arial"/>
        <family val="2"/>
      </rPr>
      <t xml:space="preserve"> </t>
    </r>
    <r>
      <rPr>
        <sz val="6"/>
        <rFont val="Arial"/>
        <family val="2"/>
      </rPr>
      <t xml:space="preserve">   0.075-0.005 mm</t>
    </r>
    <r>
      <rPr>
        <sz val="8"/>
        <rFont val="Arial"/>
        <family val="2"/>
      </rPr>
      <t xml:space="preserve">     </t>
    </r>
  </si>
  <si>
    <r>
      <t xml:space="preserve">  </t>
    </r>
    <r>
      <rPr>
        <sz val="10"/>
        <rFont val="Arial"/>
        <family val="2"/>
      </rPr>
      <t>Clay</t>
    </r>
    <r>
      <rPr>
        <sz val="9"/>
        <rFont val="Arial"/>
        <family val="2"/>
      </rPr>
      <t xml:space="preserve">    </t>
    </r>
    <r>
      <rPr>
        <sz val="6"/>
        <rFont val="Arial"/>
        <family val="2"/>
      </rPr>
      <t>&lt;0.005 mm</t>
    </r>
    <r>
      <rPr>
        <sz val="8"/>
        <rFont val="Arial"/>
        <family val="2"/>
      </rPr>
      <t xml:space="preserve">   </t>
    </r>
  </si>
  <si>
    <r>
      <t xml:space="preserve"> </t>
    </r>
    <r>
      <rPr>
        <sz val="10"/>
        <rFont val="Arial"/>
        <family val="2"/>
      </rPr>
      <t>Gravel</t>
    </r>
    <r>
      <rPr>
        <sz val="6"/>
        <rFont val="Arial"/>
        <family val="2"/>
      </rPr>
      <t xml:space="preserve">  &gt;4.75 mm</t>
    </r>
    <r>
      <rPr>
        <sz val="8"/>
        <rFont val="Arial"/>
        <family val="2"/>
      </rPr>
      <t xml:space="preserve">    </t>
    </r>
  </si>
  <si>
    <t>Density</t>
  </si>
  <si>
    <t>Peak Su,  kPa</t>
  </si>
  <si>
    <t>Residual Su, kPa</t>
  </si>
  <si>
    <t>Remolded Su, kPa</t>
  </si>
  <si>
    <t>Sensitivity</t>
  </si>
  <si>
    <t>LI</t>
  </si>
  <si>
    <t>Sand and gravel</t>
  </si>
  <si>
    <t>Geology</t>
  </si>
  <si>
    <t>Effective Stress, kPa</t>
  </si>
  <si>
    <t>Wn</t>
  </si>
  <si>
    <t>Peak Strength, kPa</t>
  </si>
  <si>
    <t>Strain, %</t>
  </si>
  <si>
    <t>Residual Strength, kpa</t>
  </si>
  <si>
    <t>Remolded Strength, kPa</t>
  </si>
  <si>
    <r>
      <t xml:space="preserve">Sensitivity   </t>
    </r>
    <r>
      <rPr>
        <sz val="8"/>
        <rFont val="Comic Sans MS"/>
        <family val="4"/>
      </rPr>
      <t>Peak/Remolded</t>
    </r>
  </si>
  <si>
    <t>Color</t>
  </si>
  <si>
    <r>
      <t>Density, kg/cm</t>
    </r>
    <r>
      <rPr>
        <vertAlign val="superscript"/>
        <sz val="9"/>
        <rFont val="Comic Sans MS"/>
        <family val="4"/>
      </rPr>
      <t>3</t>
    </r>
  </si>
  <si>
    <t>1-3</t>
  </si>
  <si>
    <t>5-7</t>
  </si>
  <si>
    <t>7-9</t>
  </si>
  <si>
    <t>9-11</t>
  </si>
  <si>
    <t>13-15</t>
  </si>
  <si>
    <t>3-5</t>
  </si>
  <si>
    <t>11-13</t>
  </si>
  <si>
    <t>SNC007-3a</t>
  </si>
  <si>
    <t>SNC007-3b</t>
  </si>
  <si>
    <t>SNC007-3c</t>
  </si>
  <si>
    <t>SNC007-4a</t>
  </si>
  <si>
    <t>SNC007-4b</t>
  </si>
  <si>
    <t>SNC007-4c</t>
  </si>
  <si>
    <t>SNC007-4d</t>
  </si>
  <si>
    <t>SNC007-5a</t>
  </si>
  <si>
    <t>SNC007-5b</t>
  </si>
  <si>
    <t>SNC007-5c</t>
  </si>
  <si>
    <t>SNC007-6a</t>
  </si>
  <si>
    <t>SNC007-6b</t>
  </si>
  <si>
    <t>SNC007-6c</t>
  </si>
  <si>
    <t>SNC007-7a</t>
  </si>
  <si>
    <t>SNC007-7b</t>
  </si>
  <si>
    <t>SNC007-7c</t>
  </si>
  <si>
    <t>SNC007-7d</t>
  </si>
  <si>
    <t>15-17</t>
  </si>
  <si>
    <t>17-19</t>
  </si>
  <si>
    <t>SNC007-8a</t>
  </si>
  <si>
    <t>SNC007-8b</t>
  </si>
  <si>
    <t>SNC007-8c</t>
  </si>
  <si>
    <t>SNC007-8d</t>
  </si>
  <si>
    <t>SNC007-9a</t>
  </si>
  <si>
    <t>SNC007-9b</t>
  </si>
  <si>
    <t>SNC007-9c</t>
  </si>
  <si>
    <t>SNC007-9d</t>
  </si>
  <si>
    <t>19-21</t>
  </si>
  <si>
    <t>SNC007-10a</t>
  </si>
  <si>
    <t>SNC007-10b</t>
  </si>
  <si>
    <t>SNC007-10c</t>
  </si>
  <si>
    <t>SNC007-10d</t>
  </si>
  <si>
    <t>SNC007-11a</t>
  </si>
  <si>
    <t>SNC007-11b</t>
  </si>
  <si>
    <t>SNC007-11c</t>
  </si>
  <si>
    <t>SNC007-11d</t>
  </si>
  <si>
    <t>SNC007-12a</t>
  </si>
  <si>
    <t>SNC007-12b</t>
  </si>
  <si>
    <t>SNC007-12c</t>
  </si>
  <si>
    <t>SNC007-12d</t>
  </si>
  <si>
    <t>21-23</t>
  </si>
  <si>
    <t>23-25</t>
  </si>
  <si>
    <t>SNC007-13a</t>
  </si>
  <si>
    <t>SNC007-13b</t>
  </si>
  <si>
    <t>SNC007-13d</t>
  </si>
  <si>
    <t>25-27</t>
  </si>
  <si>
    <t>27-29</t>
  </si>
  <si>
    <t>29-31</t>
  </si>
  <si>
    <t>31-33</t>
  </si>
  <si>
    <t>SNC007-14a</t>
  </si>
  <si>
    <t>SNC007-15b</t>
  </si>
  <si>
    <t>SNC007-15c</t>
  </si>
  <si>
    <t>SNC007-16a</t>
  </si>
  <si>
    <t>SNC007-16b</t>
  </si>
  <si>
    <t>SNC007-16c</t>
  </si>
  <si>
    <t>SNC007-13c1</t>
  </si>
  <si>
    <t>SNC007-13c2</t>
  </si>
  <si>
    <t>SNC007-14b1</t>
  </si>
  <si>
    <t>SNC007-14b2</t>
  </si>
  <si>
    <t>SNC007-14c1</t>
  </si>
  <si>
    <t>SNC007-14c2</t>
  </si>
  <si>
    <t>SNC007-14d1</t>
  </si>
  <si>
    <t>SNC007-14d2</t>
  </si>
  <si>
    <t>SNC007-15d1</t>
  </si>
  <si>
    <t>SNC007-15d2</t>
  </si>
  <si>
    <t>SNC007-15a1</t>
  </si>
  <si>
    <t>SNC007-15a2</t>
  </si>
  <si>
    <t>SNC007-16d1</t>
  </si>
  <si>
    <t>SNC007-16d2</t>
  </si>
  <si>
    <t>33-35</t>
  </si>
  <si>
    <t>35-37</t>
  </si>
  <si>
    <t>37-39</t>
  </si>
  <si>
    <t>SNC007-19a</t>
  </si>
  <si>
    <t>SNC007-19b1</t>
  </si>
  <si>
    <t>SNC007-19b2</t>
  </si>
  <si>
    <t>SNC007-19c</t>
  </si>
  <si>
    <t>SNC007-19d</t>
  </si>
  <si>
    <t>SNC007-20a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</si>
</sst>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1">
    <font>
      <sz val="9"/>
      <name val="Comic Sans MS"/>
      <family val="4"/>
    </font>
    <font>
      <b/>
      <sz val="10"/>
      <color indexed="57"/>
      <name val="Arial"/>
      <family val="2"/>
    </font>
    <font>
      <b/>
      <sz val="10"/>
      <color indexed="52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Comic Sans MS"/>
      <family val="4"/>
    </font>
    <font>
      <sz val="9"/>
      <color indexed="48"/>
      <name val="Comic Sans MS"/>
      <family val="4"/>
    </font>
    <font>
      <vertAlign val="superscript"/>
      <sz val="9"/>
      <name val="Comic Sans MS"/>
      <family val="4"/>
    </font>
    <font>
      <b/>
      <sz val="8"/>
      <color indexed="81"/>
      <name val="Tahoma"/>
      <family val="2"/>
    </font>
    <font>
      <sz val="7"/>
      <name val="Comic Sans MS"/>
      <family val="4"/>
    </font>
    <font>
      <vertAlign val="subscript"/>
      <sz val="9"/>
      <name val="Comic Sans MS"/>
      <family val="4"/>
    </font>
    <font>
      <sz val="10"/>
      <color indexed="8"/>
      <name val="Arial"/>
      <family val="2"/>
    </font>
    <font>
      <b/>
      <sz val="10"/>
      <name val="Arial"/>
      <family val="2"/>
    </font>
    <font>
      <sz val="6"/>
      <name val="Comic Sans MS"/>
      <family val="4"/>
    </font>
    <font>
      <sz val="14"/>
      <name val="Univers 47 CondensedLight"/>
      <family val="2"/>
    </font>
    <font>
      <b/>
      <sz val="14"/>
      <name val="Univers 47 CondensedLight"/>
      <family val="2"/>
    </font>
    <font>
      <b/>
      <i/>
      <sz val="9"/>
      <name val="Comic Sans MS"/>
      <family val="4"/>
    </font>
    <font>
      <b/>
      <sz val="10"/>
      <name val="Univers 47 CondensedLight"/>
      <family val="2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 wrapText="1"/>
    </xf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horizontal="center" wrapText="1"/>
    </xf>
    <xf numFmtId="165" fontId="0" fillId="0" borderId="0" xfId="0" applyNumberFormat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164" fontId="8" fillId="0" borderId="0" xfId="0" applyNumberFormat="1" applyFont="1"/>
    <xf numFmtId="0" fontId="0" fillId="0" borderId="0" xfId="0" applyAlignment="1">
      <alignment horizontal="right"/>
    </xf>
    <xf numFmtId="0" fontId="0" fillId="0" borderId="0" xfId="0" applyFill="1"/>
    <xf numFmtId="1" fontId="0" fillId="0" borderId="0" xfId="0" applyNumberFormat="1"/>
    <xf numFmtId="165" fontId="0" fillId="0" borderId="0" xfId="0" applyNumberFormat="1" applyFill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1" fontId="0" fillId="0" borderId="0" xfId="0" applyNumberFormat="1" applyFill="1"/>
    <xf numFmtId="0" fontId="0" fillId="2" borderId="0" xfId="0" applyFill="1"/>
    <xf numFmtId="1" fontId="0" fillId="2" borderId="0" xfId="0" applyNumberFormat="1" applyFill="1"/>
    <xf numFmtId="165" fontId="0" fillId="2" borderId="0" xfId="0" applyNumberFormat="1" applyFill="1"/>
    <xf numFmtId="0" fontId="8" fillId="0" borderId="0" xfId="0" applyFont="1" applyFill="1"/>
    <xf numFmtId="0" fontId="0" fillId="3" borderId="0" xfId="0" applyFill="1"/>
    <xf numFmtId="0" fontId="11" fillId="4" borderId="0" xfId="0" applyFont="1" applyFill="1"/>
    <xf numFmtId="0" fontId="16" fillId="0" borderId="0" xfId="0" applyFont="1"/>
    <xf numFmtId="0" fontId="0" fillId="0" borderId="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19" fillId="0" borderId="0" xfId="0" applyFont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5">
    <dxf>
      <fill>
        <patternFill>
          <bgColor indexed="10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1:AV166"/>
  <sheetViews>
    <sheetView tabSelected="1" workbookViewId="0">
      <pane xSplit="4" ySplit="3" topLeftCell="R4" activePane="bottomRight" state="frozen"/>
      <selection pane="topRight" activeCell="F1" sqref="F1"/>
      <selection pane="bottomLeft" activeCell="A3" sqref="A3"/>
      <selection pane="bottomRight"/>
    </sheetView>
  </sheetViews>
  <sheetFormatPr defaultColWidth="8.85546875" defaultRowHeight="14.25"/>
  <cols>
    <col min="1" max="1" width="11.42578125" customWidth="1"/>
    <col min="2" max="2" width="9.7109375" customWidth="1"/>
    <col min="3" max="3" width="9.140625" style="2" customWidth="1"/>
    <col min="4" max="4" width="6.7109375" style="14" customWidth="1"/>
    <col min="5" max="8" width="6.7109375" hidden="1" customWidth="1"/>
    <col min="9" max="9" width="7.7109375" hidden="1" customWidth="1"/>
    <col min="10" max="10" width="6.85546875" hidden="1" customWidth="1"/>
    <col min="11" max="12" width="5.42578125" hidden="1" customWidth="1"/>
    <col min="13" max="13" width="5.42578125" style="22" hidden="1" customWidth="1"/>
    <col min="14" max="15" width="6.7109375" hidden="1" customWidth="1"/>
    <col min="16" max="16" width="4.85546875" hidden="1" customWidth="1"/>
    <col min="17" max="17" width="5.42578125" style="12" hidden="1" customWidth="1"/>
    <col min="18" max="18" width="6.85546875" style="2" customWidth="1"/>
    <col min="19" max="19" width="18.42578125" customWidth="1"/>
    <col min="20" max="23" width="9.85546875" hidden="1" customWidth="1"/>
    <col min="24" max="24" width="9.85546875" style="11" hidden="1" customWidth="1"/>
    <col min="25" max="26" width="11.42578125" hidden="1" customWidth="1"/>
    <col min="27" max="27" width="8.28515625" style="2" hidden="1" customWidth="1"/>
    <col min="28" max="28" width="5.42578125" hidden="1" customWidth="1"/>
    <col min="29" max="29" width="9.140625" style="2" hidden="1" customWidth="1"/>
    <col min="30" max="30" width="9.85546875" style="2" hidden="1" customWidth="1"/>
    <col min="31" max="31" width="10.7109375" style="2" hidden="1" customWidth="1"/>
    <col min="32" max="32" width="0" hidden="1" customWidth="1"/>
    <col min="33" max="33" width="8.85546875" style="2"/>
    <col min="34" max="34" width="6.85546875" hidden="1" customWidth="1"/>
    <col min="37" max="37" width="12.140625" customWidth="1"/>
  </cols>
  <sheetData>
    <row r="1" spans="1:48" ht="18.75">
      <c r="A1" s="38" t="s">
        <v>25</v>
      </c>
      <c r="AM1" s="43"/>
      <c r="AN1" s="43"/>
      <c r="AO1" s="43"/>
    </row>
    <row r="2" spans="1:48">
      <c r="A2" s="42" t="s">
        <v>27</v>
      </c>
      <c r="AM2" s="39"/>
      <c r="AN2" s="39"/>
      <c r="AO2" s="39"/>
    </row>
    <row r="3" spans="1:48" ht="49.7" customHeight="1">
      <c r="A3" s="13" t="s">
        <v>144</v>
      </c>
      <c r="B3" s="41" t="s">
        <v>56</v>
      </c>
      <c r="C3" s="19" t="s">
        <v>66</v>
      </c>
      <c r="D3" s="19" t="s">
        <v>145</v>
      </c>
      <c r="E3" s="9" t="s">
        <v>158</v>
      </c>
      <c r="F3" s="15" t="s">
        <v>152</v>
      </c>
      <c r="G3" s="15" t="s">
        <v>156</v>
      </c>
      <c r="H3" s="9" t="s">
        <v>157</v>
      </c>
      <c r="I3" s="10" t="s">
        <v>153</v>
      </c>
      <c r="J3" s="1" t="s">
        <v>64</v>
      </c>
      <c r="K3" s="1" t="s">
        <v>154</v>
      </c>
      <c r="L3" s="1" t="s">
        <v>48</v>
      </c>
      <c r="M3" s="23" t="s">
        <v>168</v>
      </c>
      <c r="N3" s="1" t="s">
        <v>146</v>
      </c>
      <c r="O3" s="1" t="s">
        <v>147</v>
      </c>
      <c r="P3" s="1" t="s">
        <v>148</v>
      </c>
      <c r="Q3" s="16" t="s">
        <v>164</v>
      </c>
      <c r="R3" s="41" t="s">
        <v>26</v>
      </c>
      <c r="S3" s="13" t="s">
        <v>151</v>
      </c>
      <c r="T3" s="5" t="s">
        <v>159</v>
      </c>
      <c r="U3" s="5" t="s">
        <v>160</v>
      </c>
      <c r="V3" s="5" t="s">
        <v>161</v>
      </c>
      <c r="W3" s="5" t="s">
        <v>162</v>
      </c>
      <c r="X3" s="3" t="s">
        <v>163</v>
      </c>
      <c r="Y3" s="17" t="s">
        <v>166</v>
      </c>
      <c r="Z3" s="17" t="s">
        <v>174</v>
      </c>
      <c r="AA3" s="6" t="s">
        <v>52</v>
      </c>
      <c r="AB3" s="6" t="s">
        <v>149</v>
      </c>
      <c r="AC3" s="6" t="s">
        <v>150</v>
      </c>
      <c r="AD3" s="4" t="s">
        <v>155</v>
      </c>
      <c r="AE3" s="4" t="s">
        <v>167</v>
      </c>
      <c r="AF3" s="15" t="s">
        <v>165</v>
      </c>
      <c r="AG3" s="17" t="s">
        <v>169</v>
      </c>
      <c r="AH3" s="17" t="s">
        <v>170</v>
      </c>
      <c r="AI3" s="17" t="s">
        <v>171</v>
      </c>
      <c r="AJ3" s="17" t="s">
        <v>172</v>
      </c>
      <c r="AK3" s="17" t="s">
        <v>173</v>
      </c>
      <c r="AL3" s="17" t="s">
        <v>175</v>
      </c>
      <c r="AM3" s="17"/>
      <c r="AN3" s="17"/>
      <c r="AO3" s="17"/>
      <c r="AP3" s="17"/>
      <c r="AQ3" s="17"/>
      <c r="AR3" s="17"/>
      <c r="AS3" s="17"/>
      <c r="AU3" s="17"/>
      <c r="AV3" s="17"/>
    </row>
    <row r="4" spans="1:48">
      <c r="A4" s="2" t="s">
        <v>40</v>
      </c>
      <c r="B4" s="18" t="s">
        <v>176</v>
      </c>
      <c r="C4" s="21">
        <v>0.55880000000000007</v>
      </c>
      <c r="D4" s="21">
        <f>1+0.833333333333333</f>
        <v>1.833333333333333</v>
      </c>
      <c r="E4">
        <v>0</v>
      </c>
      <c r="F4">
        <v>36</v>
      </c>
      <c r="G4">
        <v>39</v>
      </c>
      <c r="H4">
        <v>25</v>
      </c>
      <c r="I4" s="8">
        <v>0.05</v>
      </c>
      <c r="J4" s="27">
        <f>100-(+E4+F4)</f>
        <v>64</v>
      </c>
      <c r="K4" s="11"/>
      <c r="L4" s="12">
        <v>0.43</v>
      </c>
      <c r="M4" s="24">
        <v>21.9</v>
      </c>
      <c r="N4" s="26">
        <v>40</v>
      </c>
      <c r="O4">
        <v>20</v>
      </c>
      <c r="P4">
        <v>20</v>
      </c>
      <c r="Q4" s="12">
        <v>9.4999999999999932E-2</v>
      </c>
      <c r="R4" s="2" t="s">
        <v>49</v>
      </c>
      <c r="S4" t="s">
        <v>46</v>
      </c>
      <c r="T4" s="12"/>
      <c r="U4" s="7"/>
      <c r="V4" s="7"/>
      <c r="W4" s="7"/>
      <c r="AA4" s="2">
        <v>4</v>
      </c>
      <c r="AB4" s="30">
        <v>2.81</v>
      </c>
      <c r="AC4" s="20">
        <v>24</v>
      </c>
      <c r="AD4" s="2">
        <f>100-F4-E4</f>
        <v>64</v>
      </c>
      <c r="AE4" s="20"/>
      <c r="AF4" s="2">
        <f>+E4+F4</f>
        <v>36</v>
      </c>
      <c r="AG4" s="2">
        <v>91.9</v>
      </c>
      <c r="AH4">
        <v>50</v>
      </c>
      <c r="AI4">
        <v>60.9</v>
      </c>
      <c r="AJ4">
        <v>22.1</v>
      </c>
      <c r="AK4" s="11">
        <f>+AG4/AJ4</f>
        <v>4.1583710407239822</v>
      </c>
      <c r="AL4">
        <v>1.87</v>
      </c>
      <c r="AM4" s="29"/>
      <c r="AN4" s="2"/>
      <c r="AO4" s="2"/>
      <c r="AS4" s="12"/>
      <c r="AU4" s="8"/>
    </row>
    <row r="5" spans="1:48">
      <c r="A5" s="2" t="s">
        <v>41</v>
      </c>
      <c r="B5" s="18" t="s">
        <v>176</v>
      </c>
      <c r="C5" s="21">
        <v>0.68580000000000008</v>
      </c>
      <c r="D5" s="21">
        <v>2.25</v>
      </c>
      <c r="E5">
        <v>0</v>
      </c>
      <c r="F5">
        <v>37</v>
      </c>
      <c r="G5">
        <v>38</v>
      </c>
      <c r="H5">
        <v>25</v>
      </c>
      <c r="I5" s="8">
        <v>3.2000000000000001E-2</v>
      </c>
      <c r="J5" s="27">
        <f t="shared" ref="J5:J68" si="0">100-(+E5+F5)</f>
        <v>63</v>
      </c>
      <c r="K5" s="11"/>
      <c r="L5" s="12">
        <v>0.5</v>
      </c>
      <c r="M5" s="24">
        <v>21.7</v>
      </c>
      <c r="N5" s="26">
        <v>41</v>
      </c>
      <c r="O5">
        <v>23</v>
      </c>
      <c r="P5">
        <v>18</v>
      </c>
      <c r="Q5" s="12">
        <v>-7.2222222222222257E-2</v>
      </c>
      <c r="R5" s="2" t="s">
        <v>49</v>
      </c>
      <c r="S5" t="s">
        <v>46</v>
      </c>
      <c r="T5" s="12"/>
      <c r="U5" s="7"/>
      <c r="V5" s="7"/>
      <c r="W5" s="7"/>
      <c r="AA5" s="2">
        <v>4</v>
      </c>
      <c r="AB5" s="30">
        <v>2.88</v>
      </c>
      <c r="AC5" s="20">
        <v>28</v>
      </c>
      <c r="AD5" s="2">
        <f t="shared" ref="AD5:AD68" si="1">100-F5-E5</f>
        <v>63</v>
      </c>
      <c r="AE5" s="20"/>
      <c r="AF5" s="2">
        <f t="shared" ref="AF5:AF68" si="2">+E5+F5</f>
        <v>37</v>
      </c>
      <c r="AG5" s="2">
        <v>91.9</v>
      </c>
      <c r="AH5">
        <v>50</v>
      </c>
      <c r="AI5">
        <v>73</v>
      </c>
      <c r="AJ5">
        <v>26.6</v>
      </c>
      <c r="AK5" s="11">
        <f t="shared" ref="AK5:AK48" si="3">+AG5/AJ5</f>
        <v>3.4548872180451129</v>
      </c>
      <c r="AL5">
        <v>1.78</v>
      </c>
      <c r="AM5" s="29"/>
      <c r="AN5" s="2"/>
      <c r="AO5" s="2"/>
      <c r="AS5" s="12"/>
      <c r="AU5" s="8"/>
    </row>
    <row r="6" spans="1:48">
      <c r="A6" s="2" t="s">
        <v>42</v>
      </c>
      <c r="B6" s="18" t="s">
        <v>176</v>
      </c>
      <c r="C6" s="21">
        <v>0.83820000000000006</v>
      </c>
      <c r="D6" s="21">
        <v>2.75</v>
      </c>
      <c r="E6">
        <v>0</v>
      </c>
      <c r="F6">
        <v>27</v>
      </c>
      <c r="G6">
        <v>39</v>
      </c>
      <c r="H6">
        <v>34</v>
      </c>
      <c r="I6" s="8">
        <v>2.8000000000000001E-2</v>
      </c>
      <c r="J6" s="27">
        <f t="shared" si="0"/>
        <v>73</v>
      </c>
      <c r="K6" s="11"/>
      <c r="L6" s="12">
        <v>0.9</v>
      </c>
      <c r="M6" s="24">
        <v>25</v>
      </c>
      <c r="N6" s="26">
        <v>52</v>
      </c>
      <c r="O6">
        <v>21</v>
      </c>
      <c r="P6">
        <v>31</v>
      </c>
      <c r="Q6" s="12">
        <v>0.12903225806451613</v>
      </c>
      <c r="R6" s="2" t="s">
        <v>57</v>
      </c>
      <c r="S6" t="s">
        <v>61</v>
      </c>
      <c r="T6" s="12"/>
      <c r="U6" s="7"/>
      <c r="V6" s="7"/>
      <c r="W6" s="7"/>
      <c r="AA6" s="2">
        <v>3.67</v>
      </c>
      <c r="AB6" s="30">
        <v>2.86</v>
      </c>
      <c r="AC6" s="20">
        <v>50</v>
      </c>
      <c r="AD6" s="2">
        <f t="shared" si="1"/>
        <v>73</v>
      </c>
      <c r="AE6" s="20"/>
      <c r="AF6" s="2">
        <f t="shared" si="2"/>
        <v>27</v>
      </c>
      <c r="AG6" s="2">
        <v>94.1</v>
      </c>
      <c r="AH6">
        <v>42</v>
      </c>
      <c r="AI6">
        <v>69.7</v>
      </c>
      <c r="AJ6">
        <v>33.200000000000003</v>
      </c>
      <c r="AK6" s="11">
        <f t="shared" si="3"/>
        <v>2.8343373493975901</v>
      </c>
      <c r="AL6">
        <v>1.93</v>
      </c>
      <c r="AM6" s="29"/>
      <c r="AN6" s="2"/>
      <c r="AO6" s="2"/>
      <c r="AS6" s="12"/>
      <c r="AU6" s="8"/>
    </row>
    <row r="7" spans="1:48">
      <c r="A7" s="2" t="s">
        <v>43</v>
      </c>
      <c r="B7" s="18" t="s">
        <v>181</v>
      </c>
      <c r="C7" s="21">
        <v>1.2954000000000001</v>
      </c>
      <c r="D7" s="21">
        <v>4.25</v>
      </c>
      <c r="E7">
        <v>0</v>
      </c>
      <c r="F7">
        <v>30</v>
      </c>
      <c r="G7">
        <v>38</v>
      </c>
      <c r="H7">
        <v>32</v>
      </c>
      <c r="I7" s="8">
        <v>0.02</v>
      </c>
      <c r="J7" s="27">
        <f t="shared" si="0"/>
        <v>70</v>
      </c>
      <c r="K7" s="11"/>
      <c r="L7" s="12">
        <v>0.42499999999999999</v>
      </c>
      <c r="M7" s="24">
        <v>28.6</v>
      </c>
      <c r="N7" s="26">
        <v>47</v>
      </c>
      <c r="O7">
        <v>22</v>
      </c>
      <c r="P7">
        <v>25</v>
      </c>
      <c r="Q7" s="12">
        <v>0.26400000000000007</v>
      </c>
      <c r="R7" s="2" t="s">
        <v>49</v>
      </c>
      <c r="S7" t="s">
        <v>46</v>
      </c>
      <c r="T7" s="12"/>
      <c r="U7" s="7"/>
      <c r="V7" s="7"/>
      <c r="W7" s="7"/>
      <c r="AA7" s="2">
        <v>3.33</v>
      </c>
      <c r="AB7" s="30">
        <v>2.99</v>
      </c>
      <c r="AC7" s="20">
        <v>58</v>
      </c>
      <c r="AD7" s="2">
        <f t="shared" si="1"/>
        <v>70</v>
      </c>
      <c r="AE7" s="20"/>
      <c r="AF7" s="2">
        <f t="shared" si="2"/>
        <v>30</v>
      </c>
      <c r="AG7" s="2">
        <v>94.1</v>
      </c>
      <c r="AH7">
        <v>42</v>
      </c>
      <c r="AI7">
        <v>71.900000000000006</v>
      </c>
      <c r="AJ7">
        <v>47.6</v>
      </c>
      <c r="AK7" s="11">
        <f t="shared" si="3"/>
        <v>1.9768907563025209</v>
      </c>
      <c r="AL7">
        <v>1.93</v>
      </c>
      <c r="AM7" s="29"/>
      <c r="AN7" s="2"/>
      <c r="AO7" s="2"/>
      <c r="AS7" s="12"/>
      <c r="AU7" s="8"/>
    </row>
    <row r="8" spans="1:48">
      <c r="A8" s="2" t="s">
        <v>44</v>
      </c>
      <c r="B8" s="18" t="s">
        <v>181</v>
      </c>
      <c r="C8" s="21">
        <v>1.4478</v>
      </c>
      <c r="D8" s="21">
        <v>4.75</v>
      </c>
      <c r="E8">
        <v>0</v>
      </c>
      <c r="F8">
        <v>27</v>
      </c>
      <c r="G8">
        <v>44</v>
      </c>
      <c r="H8">
        <v>29</v>
      </c>
      <c r="I8" s="8">
        <v>2.5000000000000001E-2</v>
      </c>
      <c r="J8" s="27">
        <f t="shared" si="0"/>
        <v>73</v>
      </c>
      <c r="K8" s="11"/>
      <c r="L8" s="12">
        <v>0.68</v>
      </c>
      <c r="M8" s="24">
        <v>24.8</v>
      </c>
      <c r="N8" s="26">
        <v>52</v>
      </c>
      <c r="O8">
        <v>21</v>
      </c>
      <c r="P8">
        <v>31</v>
      </c>
      <c r="Q8" s="12">
        <v>0.12258064516129034</v>
      </c>
      <c r="R8" s="2" t="s">
        <v>57</v>
      </c>
      <c r="S8" t="s">
        <v>61</v>
      </c>
      <c r="T8" s="12"/>
      <c r="U8" s="7"/>
      <c r="V8" s="7"/>
      <c r="W8" s="7"/>
      <c r="AA8" s="2">
        <v>3</v>
      </c>
      <c r="AB8" s="30">
        <v>3.01</v>
      </c>
      <c r="AC8" s="20">
        <v>59</v>
      </c>
      <c r="AD8" s="2">
        <f t="shared" si="1"/>
        <v>73</v>
      </c>
      <c r="AE8" s="20"/>
      <c r="AF8" s="2">
        <f t="shared" si="2"/>
        <v>27</v>
      </c>
      <c r="AG8" s="2">
        <v>97.4</v>
      </c>
      <c r="AH8">
        <v>51</v>
      </c>
      <c r="AI8">
        <v>78.599999999999994</v>
      </c>
      <c r="AJ8">
        <v>45.4</v>
      </c>
      <c r="AK8" s="11">
        <f t="shared" si="3"/>
        <v>2.1453744493392071</v>
      </c>
      <c r="AL8">
        <v>1.98</v>
      </c>
      <c r="AM8" s="29"/>
      <c r="AN8" s="2"/>
      <c r="AO8" s="2"/>
      <c r="AS8" s="12"/>
      <c r="AU8" s="8"/>
    </row>
    <row r="9" spans="1:48">
      <c r="A9" s="2" t="s">
        <v>183</v>
      </c>
      <c r="B9" s="18" t="s">
        <v>177</v>
      </c>
      <c r="C9" s="21">
        <v>1.7653000000000001</v>
      </c>
      <c r="D9" s="21">
        <f>5+9.5/12</f>
        <v>5.791666666666667</v>
      </c>
      <c r="E9">
        <v>0</v>
      </c>
      <c r="F9">
        <v>52</v>
      </c>
      <c r="G9">
        <v>35</v>
      </c>
      <c r="H9">
        <v>13</v>
      </c>
      <c r="I9" s="8">
        <v>0.08</v>
      </c>
      <c r="J9" s="27">
        <f t="shared" si="0"/>
        <v>48</v>
      </c>
      <c r="K9" s="11"/>
      <c r="L9" s="12">
        <v>0.98</v>
      </c>
      <c r="M9" s="24">
        <v>23.4</v>
      </c>
      <c r="N9" s="26">
        <v>34</v>
      </c>
      <c r="O9">
        <v>20</v>
      </c>
      <c r="P9">
        <v>14</v>
      </c>
      <c r="Q9" s="12">
        <v>0.24285714285714274</v>
      </c>
      <c r="R9" s="2" t="s">
        <v>54</v>
      </c>
      <c r="S9" t="s">
        <v>55</v>
      </c>
      <c r="T9" s="12"/>
      <c r="U9" s="7"/>
      <c r="V9" s="7"/>
      <c r="W9" s="7"/>
      <c r="AA9" s="2">
        <v>3.33</v>
      </c>
      <c r="AB9" s="30">
        <v>2.97</v>
      </c>
      <c r="AC9" s="20">
        <v>57</v>
      </c>
      <c r="AD9" s="2">
        <f t="shared" si="1"/>
        <v>48</v>
      </c>
      <c r="AE9" s="20"/>
      <c r="AF9" s="2">
        <f t="shared" si="2"/>
        <v>52</v>
      </c>
      <c r="AG9" s="2">
        <v>74.2</v>
      </c>
      <c r="AH9">
        <v>45</v>
      </c>
      <c r="AI9">
        <v>59.8</v>
      </c>
      <c r="AJ9">
        <v>22.1</v>
      </c>
      <c r="AK9" s="11">
        <f t="shared" si="3"/>
        <v>3.3574660633484164</v>
      </c>
      <c r="AL9" s="13" t="s">
        <v>28</v>
      </c>
      <c r="AM9" s="29"/>
      <c r="AN9" s="2"/>
      <c r="AO9" s="2"/>
      <c r="AS9" s="12"/>
      <c r="AU9" s="8"/>
    </row>
    <row r="10" spans="1:48">
      <c r="A10" s="2" t="s">
        <v>184</v>
      </c>
      <c r="B10" s="18" t="s">
        <v>177</v>
      </c>
      <c r="C10" s="21">
        <v>1.905</v>
      </c>
      <c r="D10" s="21">
        <v>6.25</v>
      </c>
      <c r="E10">
        <v>0</v>
      </c>
      <c r="F10">
        <v>22</v>
      </c>
      <c r="G10">
        <v>33</v>
      </c>
      <c r="H10">
        <v>45</v>
      </c>
      <c r="I10" s="8">
        <v>7.0000000000000001E-3</v>
      </c>
      <c r="J10" s="27">
        <f t="shared" si="0"/>
        <v>78</v>
      </c>
      <c r="K10" s="11"/>
      <c r="L10" s="12">
        <v>0.51</v>
      </c>
      <c r="M10" s="24">
        <v>21.2</v>
      </c>
      <c r="N10" s="26">
        <v>68</v>
      </c>
      <c r="O10">
        <v>23</v>
      </c>
      <c r="P10">
        <v>45</v>
      </c>
      <c r="Q10" s="12">
        <v>-4.0000000000000015E-2</v>
      </c>
      <c r="R10" s="2" t="s">
        <v>57</v>
      </c>
      <c r="S10" t="s">
        <v>61</v>
      </c>
      <c r="T10" s="12"/>
      <c r="U10" s="7"/>
      <c r="V10" s="7"/>
      <c r="W10" s="7"/>
      <c r="AA10" s="2">
        <v>4</v>
      </c>
      <c r="AB10" s="30">
        <v>2.86</v>
      </c>
      <c r="AC10" s="20">
        <v>50</v>
      </c>
      <c r="AD10" s="2">
        <f t="shared" si="1"/>
        <v>78</v>
      </c>
      <c r="AE10" s="20"/>
      <c r="AF10" s="2">
        <f t="shared" si="2"/>
        <v>22</v>
      </c>
      <c r="AG10" s="2">
        <v>74.2</v>
      </c>
      <c r="AH10">
        <v>43</v>
      </c>
      <c r="AI10">
        <v>58.7</v>
      </c>
      <c r="AJ10">
        <v>27.7</v>
      </c>
      <c r="AK10" s="11">
        <f t="shared" si="3"/>
        <v>2.6787003610108306</v>
      </c>
      <c r="AL10">
        <v>1.92</v>
      </c>
      <c r="AM10" s="29"/>
      <c r="AN10" s="2"/>
      <c r="AO10" s="2"/>
      <c r="AS10" s="12"/>
      <c r="AU10" s="8"/>
    </row>
    <row r="11" spans="1:48">
      <c r="A11" s="2" t="s">
        <v>185</v>
      </c>
      <c r="B11" s="18" t="s">
        <v>177</v>
      </c>
      <c r="C11" s="21">
        <v>2.0573999999999999</v>
      </c>
      <c r="D11" s="21">
        <v>6.75</v>
      </c>
      <c r="E11">
        <v>1</v>
      </c>
      <c r="F11">
        <v>14</v>
      </c>
      <c r="G11">
        <v>32</v>
      </c>
      <c r="H11">
        <v>53</v>
      </c>
      <c r="I11" s="8">
        <v>4.0000000000000001E-3</v>
      </c>
      <c r="J11" s="27">
        <f t="shared" si="0"/>
        <v>85</v>
      </c>
      <c r="K11" s="11"/>
      <c r="L11" s="12">
        <v>4.5</v>
      </c>
      <c r="M11" s="24">
        <v>32.700000000000003</v>
      </c>
      <c r="N11" s="26">
        <v>73</v>
      </c>
      <c r="O11">
        <v>24</v>
      </c>
      <c r="P11">
        <v>49</v>
      </c>
      <c r="Q11" s="12">
        <v>0.17755102040816331</v>
      </c>
      <c r="R11" s="2" t="s">
        <v>57</v>
      </c>
      <c r="S11" t="s">
        <v>61</v>
      </c>
      <c r="T11" s="12"/>
      <c r="U11" s="7"/>
      <c r="V11" s="7"/>
      <c r="W11" s="7"/>
      <c r="AA11" s="2">
        <v>4</v>
      </c>
      <c r="AB11" s="30">
        <v>2.9</v>
      </c>
      <c r="AC11" s="20">
        <v>52</v>
      </c>
      <c r="AD11" s="2">
        <f t="shared" si="1"/>
        <v>85</v>
      </c>
      <c r="AE11" s="20"/>
      <c r="AF11" s="2">
        <f t="shared" si="2"/>
        <v>15</v>
      </c>
      <c r="AG11" s="2">
        <v>97.4</v>
      </c>
      <c r="AH11">
        <v>40</v>
      </c>
      <c r="AI11">
        <v>70.8</v>
      </c>
      <c r="AJ11">
        <v>38.700000000000003</v>
      </c>
      <c r="AK11" s="11">
        <f t="shared" si="3"/>
        <v>2.5167958656330751</v>
      </c>
      <c r="AL11">
        <v>1.89</v>
      </c>
      <c r="AM11" s="29"/>
      <c r="AN11" s="2"/>
      <c r="AO11" s="2"/>
      <c r="AS11" s="12"/>
      <c r="AU11" s="8"/>
    </row>
    <row r="12" spans="1:48">
      <c r="A12" s="2" t="s">
        <v>186</v>
      </c>
      <c r="B12" s="18" t="s">
        <v>178</v>
      </c>
      <c r="C12" s="21">
        <v>2.2606000000000002</v>
      </c>
      <c r="D12" s="21">
        <f>7+0.416666666666667</f>
        <v>7.416666666666667</v>
      </c>
      <c r="E12">
        <v>0</v>
      </c>
      <c r="F12">
        <v>13</v>
      </c>
      <c r="G12">
        <v>37</v>
      </c>
      <c r="H12">
        <v>50</v>
      </c>
      <c r="I12" s="8">
        <v>5.0000000000000001E-3</v>
      </c>
      <c r="J12" s="27">
        <f t="shared" si="0"/>
        <v>87</v>
      </c>
      <c r="K12" s="11"/>
      <c r="L12" s="12">
        <v>0.4</v>
      </c>
      <c r="M12" s="24">
        <v>33.799999999999997</v>
      </c>
      <c r="N12" s="26">
        <v>71</v>
      </c>
      <c r="O12">
        <v>30</v>
      </c>
      <c r="P12">
        <v>41</v>
      </c>
      <c r="Q12" s="12">
        <v>9.2682926829268222E-2</v>
      </c>
      <c r="R12" s="2" t="s">
        <v>57</v>
      </c>
      <c r="S12" t="s">
        <v>58</v>
      </c>
      <c r="T12" s="12"/>
      <c r="U12" s="7"/>
      <c r="V12" s="7"/>
      <c r="W12" s="7"/>
      <c r="AA12" s="2">
        <v>3</v>
      </c>
      <c r="AB12" s="30">
        <v>2.92</v>
      </c>
      <c r="AC12" s="20">
        <v>53</v>
      </c>
      <c r="AD12" s="2">
        <f t="shared" si="1"/>
        <v>87</v>
      </c>
      <c r="AE12" s="20"/>
      <c r="AF12" s="2">
        <f t="shared" si="2"/>
        <v>13</v>
      </c>
      <c r="AG12" s="2">
        <v>98.5</v>
      </c>
      <c r="AH12">
        <v>22</v>
      </c>
      <c r="AI12">
        <v>77.5</v>
      </c>
      <c r="AJ12">
        <v>28.8</v>
      </c>
      <c r="AK12" s="11">
        <f t="shared" si="3"/>
        <v>3.4201388888888888</v>
      </c>
      <c r="AL12">
        <v>1.76</v>
      </c>
      <c r="AM12" s="29"/>
      <c r="AN12" s="2"/>
      <c r="AO12" s="2"/>
      <c r="AS12" s="12"/>
      <c r="AU12" s="8"/>
    </row>
    <row r="13" spans="1:48">
      <c r="A13" s="2" t="s">
        <v>187</v>
      </c>
      <c r="B13" s="18" t="s">
        <v>178</v>
      </c>
      <c r="C13" s="21">
        <v>2.3749000000000002</v>
      </c>
      <c r="D13" s="21">
        <f>7+9.5/12</f>
        <v>7.791666666666667</v>
      </c>
      <c r="E13">
        <v>0</v>
      </c>
      <c r="F13">
        <v>15</v>
      </c>
      <c r="G13">
        <v>43</v>
      </c>
      <c r="H13">
        <v>42</v>
      </c>
      <c r="I13" s="8">
        <v>8.0000000000000002E-3</v>
      </c>
      <c r="J13" s="27">
        <f t="shared" si="0"/>
        <v>85</v>
      </c>
      <c r="K13" s="11"/>
      <c r="L13" s="12">
        <v>2.2000000000000002</v>
      </c>
      <c r="M13" s="24">
        <v>32.4</v>
      </c>
      <c r="N13" s="26">
        <v>66</v>
      </c>
      <c r="O13">
        <v>24</v>
      </c>
      <c r="P13">
        <v>42</v>
      </c>
      <c r="Q13" s="12">
        <v>0.19999999999999996</v>
      </c>
      <c r="R13" s="2" t="s">
        <v>57</v>
      </c>
      <c r="S13" t="s">
        <v>61</v>
      </c>
      <c r="T13" s="12"/>
      <c r="U13" s="7"/>
      <c r="V13" s="7"/>
      <c r="W13" s="7"/>
      <c r="AA13" s="2">
        <v>3</v>
      </c>
      <c r="AB13" s="30">
        <v>2.97</v>
      </c>
      <c r="AC13" s="20">
        <v>57</v>
      </c>
      <c r="AD13" s="2">
        <f t="shared" si="1"/>
        <v>85</v>
      </c>
      <c r="AE13" s="20"/>
      <c r="AF13" s="2">
        <f t="shared" si="2"/>
        <v>15</v>
      </c>
      <c r="AG13" s="2">
        <v>117.3</v>
      </c>
      <c r="AH13">
        <v>41</v>
      </c>
      <c r="AI13">
        <v>80.8</v>
      </c>
      <c r="AJ13">
        <v>38.700000000000003</v>
      </c>
      <c r="AK13" s="11">
        <f t="shared" si="3"/>
        <v>3.0310077519379841</v>
      </c>
      <c r="AL13">
        <v>1.89</v>
      </c>
      <c r="AM13" s="29"/>
      <c r="AN13" s="2"/>
      <c r="AO13" s="2"/>
      <c r="AS13" s="12"/>
      <c r="AU13" s="8"/>
    </row>
    <row r="14" spans="1:48">
      <c r="A14" s="2" t="s">
        <v>188</v>
      </c>
      <c r="B14" s="18" t="s">
        <v>178</v>
      </c>
      <c r="C14" s="21">
        <v>2.5146000000000002</v>
      </c>
      <c r="D14" s="21">
        <v>8.25</v>
      </c>
      <c r="E14">
        <v>0</v>
      </c>
      <c r="F14">
        <v>24</v>
      </c>
      <c r="G14">
        <v>36</v>
      </c>
      <c r="H14">
        <v>40</v>
      </c>
      <c r="I14" s="8">
        <v>1.0999999999999999E-2</v>
      </c>
      <c r="J14" s="27">
        <f t="shared" si="0"/>
        <v>76</v>
      </c>
      <c r="K14" s="11"/>
      <c r="L14" s="12">
        <v>0.6</v>
      </c>
      <c r="M14" s="24">
        <v>32.1</v>
      </c>
      <c r="N14" s="26">
        <v>71</v>
      </c>
      <c r="O14">
        <v>25</v>
      </c>
      <c r="P14">
        <v>46</v>
      </c>
      <c r="Q14" s="12">
        <v>0.15434782608695655</v>
      </c>
      <c r="R14" s="2" t="s">
        <v>57</v>
      </c>
      <c r="S14" t="s">
        <v>61</v>
      </c>
      <c r="T14" s="12"/>
      <c r="U14" s="7"/>
      <c r="V14" s="7"/>
      <c r="W14" s="7"/>
      <c r="AA14" s="2">
        <v>3</v>
      </c>
      <c r="AB14" s="30">
        <v>2.99</v>
      </c>
      <c r="AC14" s="2">
        <v>58</v>
      </c>
      <c r="AD14" s="2">
        <f t="shared" si="1"/>
        <v>76</v>
      </c>
      <c r="AE14" s="20"/>
      <c r="AF14" s="2">
        <f t="shared" si="2"/>
        <v>24</v>
      </c>
      <c r="AG14" s="2">
        <v>109.6</v>
      </c>
      <c r="AH14">
        <v>29</v>
      </c>
      <c r="AI14">
        <v>64.2</v>
      </c>
      <c r="AJ14">
        <v>37.6</v>
      </c>
      <c r="AK14" s="11">
        <f t="shared" si="3"/>
        <v>2.9148936170212765</v>
      </c>
      <c r="AL14">
        <v>1.93</v>
      </c>
      <c r="AM14" s="29"/>
      <c r="AN14" s="2"/>
      <c r="AO14" s="2"/>
      <c r="AS14" s="12"/>
      <c r="AU14" s="8"/>
    </row>
    <row r="15" spans="1:48">
      <c r="A15" s="2" t="s">
        <v>189</v>
      </c>
      <c r="B15" s="18" t="s">
        <v>178</v>
      </c>
      <c r="C15" s="21">
        <v>2.6670000000000003</v>
      </c>
      <c r="D15" s="21">
        <v>8.75</v>
      </c>
      <c r="E15">
        <v>1</v>
      </c>
      <c r="F15">
        <v>13</v>
      </c>
      <c r="G15">
        <v>42</v>
      </c>
      <c r="H15">
        <v>44</v>
      </c>
      <c r="I15" s="8">
        <v>8.0000000000000002E-3</v>
      </c>
      <c r="J15" s="27">
        <f t="shared" si="0"/>
        <v>86</v>
      </c>
      <c r="K15" s="11"/>
      <c r="L15" s="12">
        <v>8</v>
      </c>
      <c r="M15" s="24">
        <v>36.299999999999997</v>
      </c>
      <c r="N15" s="26">
        <v>77</v>
      </c>
      <c r="O15">
        <v>27</v>
      </c>
      <c r="P15">
        <v>50</v>
      </c>
      <c r="Q15" s="12">
        <v>0.18599999999999994</v>
      </c>
      <c r="R15" s="2" t="s">
        <v>57</v>
      </c>
      <c r="S15" t="s">
        <v>58</v>
      </c>
      <c r="T15" s="12"/>
      <c r="U15" s="7"/>
      <c r="V15" s="7"/>
      <c r="W15" s="7"/>
      <c r="AA15" s="2">
        <v>3.33</v>
      </c>
      <c r="AB15" s="30">
        <v>2.98</v>
      </c>
      <c r="AC15" s="20">
        <v>57</v>
      </c>
      <c r="AD15" s="2">
        <f t="shared" si="1"/>
        <v>86</v>
      </c>
      <c r="AE15" s="20"/>
      <c r="AF15" s="2">
        <f t="shared" si="2"/>
        <v>14</v>
      </c>
      <c r="AG15" s="2">
        <v>93</v>
      </c>
      <c r="AH15">
        <v>48</v>
      </c>
      <c r="AI15">
        <v>73</v>
      </c>
      <c r="AJ15">
        <v>34.299999999999997</v>
      </c>
      <c r="AK15" s="11">
        <f t="shared" si="3"/>
        <v>2.7113702623906706</v>
      </c>
      <c r="AL15">
        <v>1.84</v>
      </c>
      <c r="AM15" s="29"/>
      <c r="AN15" s="2"/>
      <c r="AO15" s="2"/>
      <c r="AS15" s="12"/>
      <c r="AU15" s="8"/>
    </row>
    <row r="16" spans="1:48">
      <c r="A16" s="2" t="s">
        <v>190</v>
      </c>
      <c r="B16" s="18" t="s">
        <v>179</v>
      </c>
      <c r="C16" s="21">
        <v>2.9845000000000002</v>
      </c>
      <c r="D16" s="21">
        <f>9+9.5/12</f>
        <v>9.7916666666666661</v>
      </c>
      <c r="E16">
        <v>13</v>
      </c>
      <c r="F16">
        <v>26</v>
      </c>
      <c r="G16">
        <v>19</v>
      </c>
      <c r="H16">
        <v>42</v>
      </c>
      <c r="I16" s="8">
        <v>1.2E-2</v>
      </c>
      <c r="J16" s="27">
        <f t="shared" si="0"/>
        <v>61</v>
      </c>
      <c r="L16" s="12">
        <v>12</v>
      </c>
      <c r="M16" s="22">
        <v>40.6</v>
      </c>
      <c r="N16" s="26">
        <v>80</v>
      </c>
      <c r="O16">
        <v>33</v>
      </c>
      <c r="P16">
        <v>47</v>
      </c>
      <c r="Q16" s="12">
        <v>0.16170212765957451</v>
      </c>
      <c r="R16" s="2" t="s">
        <v>59</v>
      </c>
      <c r="S16" t="s">
        <v>60</v>
      </c>
      <c r="AA16" s="2">
        <v>3</v>
      </c>
      <c r="AB16" s="30">
        <v>3.03</v>
      </c>
      <c r="AC16" s="20">
        <v>60</v>
      </c>
      <c r="AD16" s="2">
        <f t="shared" si="1"/>
        <v>61</v>
      </c>
      <c r="AE16" s="20"/>
      <c r="AF16" s="2">
        <f t="shared" si="2"/>
        <v>39</v>
      </c>
      <c r="AG16" s="2">
        <v>96.3</v>
      </c>
      <c r="AH16">
        <v>27</v>
      </c>
      <c r="AI16">
        <v>71.900000000000006</v>
      </c>
      <c r="AJ16">
        <v>40.9</v>
      </c>
      <c r="AK16" s="11">
        <f t="shared" si="3"/>
        <v>2.3545232273838632</v>
      </c>
      <c r="AL16">
        <v>1.84</v>
      </c>
      <c r="AM16" s="29"/>
      <c r="AN16" s="2"/>
      <c r="AO16" s="2"/>
      <c r="AS16" s="12"/>
      <c r="AU16" s="8"/>
    </row>
    <row r="17" spans="1:47">
      <c r="A17" s="2" t="s">
        <v>191</v>
      </c>
      <c r="B17" s="18" t="s">
        <v>179</v>
      </c>
      <c r="C17" s="21">
        <v>3.1242000000000001</v>
      </c>
      <c r="D17" s="21">
        <v>10.25</v>
      </c>
      <c r="E17">
        <v>0</v>
      </c>
      <c r="F17">
        <v>31</v>
      </c>
      <c r="G17">
        <v>40</v>
      </c>
      <c r="H17">
        <v>29</v>
      </c>
      <c r="I17" s="8">
        <v>3.5000000000000003E-2</v>
      </c>
      <c r="J17" s="27">
        <f t="shared" si="0"/>
        <v>69</v>
      </c>
      <c r="L17" s="12">
        <v>0.6</v>
      </c>
      <c r="M17" s="22">
        <v>29.8</v>
      </c>
      <c r="N17" s="26">
        <v>50</v>
      </c>
      <c r="O17">
        <v>19</v>
      </c>
      <c r="P17">
        <v>31</v>
      </c>
      <c r="Q17" s="12">
        <v>0.34838709677419355</v>
      </c>
      <c r="R17" s="2" t="s">
        <v>59</v>
      </c>
      <c r="S17" t="s">
        <v>60</v>
      </c>
      <c r="AA17" s="2">
        <v>3</v>
      </c>
      <c r="AB17" s="30">
        <v>2.98</v>
      </c>
      <c r="AC17" s="20">
        <v>57</v>
      </c>
      <c r="AD17" s="2">
        <f t="shared" si="1"/>
        <v>69</v>
      </c>
      <c r="AE17" s="20"/>
      <c r="AF17" s="2">
        <f t="shared" si="2"/>
        <v>31</v>
      </c>
      <c r="AG17" s="2">
        <v>154.9</v>
      </c>
      <c r="AH17">
        <v>30</v>
      </c>
      <c r="AI17">
        <v>114</v>
      </c>
      <c r="AJ17">
        <v>50.9</v>
      </c>
      <c r="AK17" s="11">
        <f>+AG17/AJ17</f>
        <v>3.0432220039292734</v>
      </c>
      <c r="AL17">
        <v>1.97</v>
      </c>
      <c r="AM17" s="29"/>
      <c r="AN17" s="2"/>
      <c r="AO17" s="2"/>
      <c r="AS17" s="12"/>
      <c r="AU17" s="8"/>
    </row>
    <row r="18" spans="1:47">
      <c r="A18" s="2" t="s">
        <v>192</v>
      </c>
      <c r="B18" s="18" t="s">
        <v>179</v>
      </c>
      <c r="C18" s="21">
        <v>3.2766000000000002</v>
      </c>
      <c r="D18" s="21">
        <v>10.75</v>
      </c>
      <c r="E18">
        <v>0</v>
      </c>
      <c r="F18">
        <v>33</v>
      </c>
      <c r="G18">
        <v>32</v>
      </c>
      <c r="H18">
        <v>35</v>
      </c>
      <c r="I18" s="8">
        <v>2.1000000000000001E-2</v>
      </c>
      <c r="J18" s="27">
        <f t="shared" si="0"/>
        <v>67</v>
      </c>
      <c r="L18" s="12">
        <v>0.8</v>
      </c>
      <c r="M18" s="22">
        <v>25.6</v>
      </c>
      <c r="N18" s="26">
        <v>60</v>
      </c>
      <c r="O18">
        <v>22</v>
      </c>
      <c r="P18">
        <v>38</v>
      </c>
      <c r="Q18" s="12">
        <v>9.4736842105263189E-2</v>
      </c>
      <c r="R18" s="2" t="s">
        <v>59</v>
      </c>
      <c r="S18" t="s">
        <v>60</v>
      </c>
      <c r="AA18" s="2">
        <v>3</v>
      </c>
      <c r="AB18" s="30">
        <v>3</v>
      </c>
      <c r="AC18" s="20">
        <v>58</v>
      </c>
      <c r="AD18" s="2">
        <f t="shared" si="1"/>
        <v>67</v>
      </c>
      <c r="AE18" s="20"/>
      <c r="AF18" s="2">
        <f t="shared" si="2"/>
        <v>33</v>
      </c>
      <c r="AG18" s="2">
        <v>139.4</v>
      </c>
      <c r="AH18">
        <v>38</v>
      </c>
      <c r="AI18">
        <v>100.7</v>
      </c>
      <c r="AJ18">
        <v>46.5</v>
      </c>
      <c r="AK18" s="11">
        <f>+AG18/AJ18</f>
        <v>2.9978494623655916</v>
      </c>
      <c r="AL18">
        <v>1.93</v>
      </c>
      <c r="AM18" s="29"/>
      <c r="AN18" s="2"/>
      <c r="AO18" s="2"/>
      <c r="AS18" s="12"/>
      <c r="AU18" s="8"/>
    </row>
    <row r="19" spans="1:47">
      <c r="A19" s="2" t="s">
        <v>193</v>
      </c>
      <c r="B19" s="18" t="s">
        <v>182</v>
      </c>
      <c r="C19" s="21">
        <v>3.5941000000000001</v>
      </c>
      <c r="D19" s="21">
        <f>11+9.5/12</f>
        <v>11.791666666666666</v>
      </c>
      <c r="E19">
        <v>0</v>
      </c>
      <c r="F19">
        <v>20</v>
      </c>
      <c r="G19">
        <v>42</v>
      </c>
      <c r="H19">
        <v>38</v>
      </c>
      <c r="I19" s="8">
        <v>1.6E-2</v>
      </c>
      <c r="J19" s="27">
        <f t="shared" si="0"/>
        <v>80</v>
      </c>
      <c r="L19" s="12">
        <v>0.71</v>
      </c>
      <c r="M19" s="22">
        <v>32.6</v>
      </c>
      <c r="N19" s="26">
        <v>65</v>
      </c>
      <c r="O19">
        <v>23</v>
      </c>
      <c r="P19">
        <v>42</v>
      </c>
      <c r="Q19" s="12">
        <v>0.22857142857142859</v>
      </c>
      <c r="R19" s="2" t="s">
        <v>57</v>
      </c>
      <c r="S19" t="s">
        <v>61</v>
      </c>
      <c r="AA19" s="2">
        <v>3</v>
      </c>
      <c r="AB19" s="30">
        <v>3.06</v>
      </c>
      <c r="AC19" s="20">
        <v>63</v>
      </c>
      <c r="AD19" s="2">
        <f t="shared" si="1"/>
        <v>80</v>
      </c>
      <c r="AE19" s="20"/>
      <c r="AF19" s="2">
        <f t="shared" si="2"/>
        <v>20</v>
      </c>
      <c r="AG19" s="2">
        <v>89.6</v>
      </c>
      <c r="AH19">
        <v>24</v>
      </c>
      <c r="AI19">
        <v>70.8</v>
      </c>
      <c r="AJ19">
        <v>28.8</v>
      </c>
      <c r="AK19" s="11">
        <f>+AG19/AJ19</f>
        <v>3.1111111111111107</v>
      </c>
      <c r="AL19">
        <v>1.87</v>
      </c>
      <c r="AM19" s="29"/>
      <c r="AN19" s="2"/>
      <c r="AO19" s="2"/>
      <c r="AS19" s="12"/>
      <c r="AU19" s="8"/>
    </row>
    <row r="20" spans="1:47">
      <c r="A20" s="2" t="s">
        <v>194</v>
      </c>
      <c r="B20" s="18" t="s">
        <v>182</v>
      </c>
      <c r="C20" s="21">
        <v>3.7338</v>
      </c>
      <c r="D20" s="21">
        <v>12.25</v>
      </c>
      <c r="E20">
        <v>0</v>
      </c>
      <c r="F20">
        <v>25</v>
      </c>
      <c r="G20">
        <v>40</v>
      </c>
      <c r="H20">
        <v>35</v>
      </c>
      <c r="I20" s="8">
        <v>1.2E-2</v>
      </c>
      <c r="J20" s="27">
        <f t="shared" si="0"/>
        <v>75</v>
      </c>
      <c r="L20" s="12">
        <v>1.7</v>
      </c>
      <c r="M20" s="22">
        <v>32.799999999999997</v>
      </c>
      <c r="N20" s="26">
        <v>59</v>
      </c>
      <c r="O20">
        <v>24</v>
      </c>
      <c r="P20">
        <v>35</v>
      </c>
      <c r="Q20" s="12">
        <v>0.25142857142857133</v>
      </c>
      <c r="R20" s="2" t="s">
        <v>57</v>
      </c>
      <c r="S20" t="s">
        <v>61</v>
      </c>
      <c r="AA20" s="2">
        <v>3</v>
      </c>
      <c r="AB20" s="30">
        <v>3.17</v>
      </c>
      <c r="AC20" s="20">
        <v>71</v>
      </c>
      <c r="AD20" s="2">
        <f t="shared" si="1"/>
        <v>75</v>
      </c>
      <c r="AE20" s="20"/>
      <c r="AF20" s="2">
        <f t="shared" si="2"/>
        <v>25</v>
      </c>
      <c r="AG20" s="2">
        <v>125.1</v>
      </c>
      <c r="AH20">
        <v>29</v>
      </c>
      <c r="AI20">
        <v>102.9</v>
      </c>
      <c r="AJ20">
        <v>36.5</v>
      </c>
      <c r="AK20" s="11">
        <f>+AG20/AJ20</f>
        <v>3.4273972602739726</v>
      </c>
      <c r="AL20">
        <v>1.88</v>
      </c>
      <c r="AM20" s="29"/>
      <c r="AN20" s="2"/>
      <c r="AO20" s="2"/>
      <c r="AS20" s="12"/>
      <c r="AU20" s="8"/>
    </row>
    <row r="21" spans="1:47">
      <c r="A21" s="2" t="s">
        <v>195</v>
      </c>
      <c r="B21" s="18" t="s">
        <v>182</v>
      </c>
      <c r="C21" s="21">
        <v>3.8862000000000001</v>
      </c>
      <c r="D21" s="21">
        <v>12.75</v>
      </c>
      <c r="E21">
        <v>0</v>
      </c>
      <c r="F21">
        <v>32</v>
      </c>
      <c r="G21">
        <v>37</v>
      </c>
      <c r="H21">
        <v>31</v>
      </c>
      <c r="I21" s="8">
        <v>0.02</v>
      </c>
      <c r="J21" s="27">
        <f t="shared" si="0"/>
        <v>68</v>
      </c>
      <c r="L21" s="12">
        <v>1.5</v>
      </c>
      <c r="M21" s="22">
        <v>31.7</v>
      </c>
      <c r="N21" s="26">
        <v>55</v>
      </c>
      <c r="O21">
        <v>26</v>
      </c>
      <c r="P21">
        <v>29</v>
      </c>
      <c r="Q21" s="12">
        <v>0.19655172413793101</v>
      </c>
      <c r="R21" s="2" t="s">
        <v>59</v>
      </c>
      <c r="S21" t="s">
        <v>60</v>
      </c>
      <c r="AA21" s="2">
        <v>3</v>
      </c>
      <c r="AB21" s="30">
        <v>3.38</v>
      </c>
      <c r="AC21" s="20">
        <v>88</v>
      </c>
      <c r="AD21" s="2">
        <f t="shared" si="1"/>
        <v>68</v>
      </c>
      <c r="AE21" s="20"/>
      <c r="AF21" s="2">
        <f t="shared" si="2"/>
        <v>32</v>
      </c>
      <c r="AG21" s="2">
        <v>95.2</v>
      </c>
      <c r="AH21">
        <v>33</v>
      </c>
      <c r="AI21">
        <v>71.900000000000006</v>
      </c>
      <c r="AJ21">
        <v>32.1</v>
      </c>
      <c r="AK21" s="11">
        <f t="shared" si="3"/>
        <v>2.9657320872274142</v>
      </c>
      <c r="AL21">
        <v>1.88</v>
      </c>
      <c r="AM21" s="29"/>
      <c r="AN21" s="2"/>
      <c r="AO21" s="2"/>
      <c r="AS21" s="12"/>
      <c r="AU21" s="8"/>
    </row>
    <row r="22" spans="1:47">
      <c r="A22" s="2" t="s">
        <v>196</v>
      </c>
      <c r="B22" s="18" t="s">
        <v>180</v>
      </c>
      <c r="C22" s="21">
        <v>4.0894000000000004</v>
      </c>
      <c r="D22" s="21">
        <f>13+0.416666666666667</f>
        <v>13.416666666666668</v>
      </c>
      <c r="E22">
        <v>0</v>
      </c>
      <c r="F22">
        <v>23</v>
      </c>
      <c r="G22">
        <v>47</v>
      </c>
      <c r="H22">
        <v>30</v>
      </c>
      <c r="I22" s="8">
        <v>2.5000000000000001E-2</v>
      </c>
      <c r="J22" s="27">
        <f t="shared" si="0"/>
        <v>77</v>
      </c>
      <c r="L22" s="12">
        <v>1</v>
      </c>
      <c r="M22" s="22">
        <v>34</v>
      </c>
      <c r="N22" s="26">
        <v>56</v>
      </c>
      <c r="O22">
        <v>25</v>
      </c>
      <c r="P22">
        <v>31</v>
      </c>
      <c r="Q22" s="12">
        <v>0.29032258064516131</v>
      </c>
      <c r="R22" s="2" t="s">
        <v>57</v>
      </c>
      <c r="S22" t="s">
        <v>61</v>
      </c>
      <c r="AA22" s="2">
        <v>3</v>
      </c>
      <c r="AB22" s="30">
        <v>3.49</v>
      </c>
      <c r="AC22" s="20">
        <v>98</v>
      </c>
      <c r="AD22" s="2">
        <f t="shared" si="1"/>
        <v>77</v>
      </c>
      <c r="AE22" s="20"/>
      <c r="AF22" s="2">
        <f t="shared" si="2"/>
        <v>23</v>
      </c>
      <c r="AG22" s="2">
        <v>54.2</v>
      </c>
      <c r="AH22">
        <v>34</v>
      </c>
      <c r="AI22">
        <v>37.6</v>
      </c>
      <c r="AJ22">
        <v>17.7</v>
      </c>
      <c r="AK22" s="11">
        <f t="shared" si="3"/>
        <v>3.0621468926553677</v>
      </c>
      <c r="AL22">
        <v>1.8</v>
      </c>
      <c r="AM22" s="29"/>
      <c r="AN22" s="2"/>
      <c r="AO22" s="2"/>
      <c r="AS22" s="12"/>
      <c r="AU22" s="8"/>
    </row>
    <row r="23" spans="1:47">
      <c r="A23" s="2" t="s">
        <v>197</v>
      </c>
      <c r="B23" s="18" t="s">
        <v>180</v>
      </c>
      <c r="C23" s="21">
        <v>4.2037000000000004</v>
      </c>
      <c r="D23" s="21">
        <f>13+9.5/12</f>
        <v>13.791666666666666</v>
      </c>
      <c r="E23">
        <v>0</v>
      </c>
      <c r="F23">
        <v>33</v>
      </c>
      <c r="G23">
        <v>44</v>
      </c>
      <c r="H23">
        <v>23</v>
      </c>
      <c r="I23" s="8">
        <v>4.3999999999999997E-2</v>
      </c>
      <c r="J23" s="27">
        <f t="shared" si="0"/>
        <v>67</v>
      </c>
      <c r="L23" s="12">
        <v>0.7</v>
      </c>
      <c r="M23" s="22">
        <v>32.1</v>
      </c>
      <c r="N23" s="26">
        <v>42</v>
      </c>
      <c r="O23">
        <v>22</v>
      </c>
      <c r="P23">
        <v>20</v>
      </c>
      <c r="Q23" s="12">
        <v>0.50500000000000012</v>
      </c>
      <c r="R23" s="2" t="s">
        <v>49</v>
      </c>
      <c r="S23" t="s">
        <v>46</v>
      </c>
      <c r="AA23" s="2">
        <v>3</v>
      </c>
      <c r="AB23" s="30">
        <v>3.44</v>
      </c>
      <c r="AC23" s="20">
        <v>94</v>
      </c>
      <c r="AD23" s="2">
        <f t="shared" si="1"/>
        <v>67</v>
      </c>
      <c r="AE23" s="20"/>
      <c r="AF23" s="2">
        <f t="shared" si="2"/>
        <v>33</v>
      </c>
      <c r="AG23" s="2">
        <v>47.6</v>
      </c>
      <c r="AH23">
        <v>41</v>
      </c>
      <c r="AI23">
        <v>29.9</v>
      </c>
      <c r="AJ23">
        <v>10</v>
      </c>
      <c r="AK23" s="11">
        <f t="shared" si="3"/>
        <v>4.76</v>
      </c>
      <c r="AL23">
        <v>1.86</v>
      </c>
      <c r="AM23" s="29"/>
      <c r="AN23" s="2"/>
      <c r="AO23" s="2"/>
      <c r="AS23" s="12"/>
      <c r="AU23" s="8"/>
    </row>
    <row r="24" spans="1:47">
      <c r="A24" s="2" t="s">
        <v>198</v>
      </c>
      <c r="B24" s="18" t="s">
        <v>180</v>
      </c>
      <c r="C24" s="21">
        <v>4.3433999999999999</v>
      </c>
      <c r="D24" s="21">
        <v>14.25</v>
      </c>
      <c r="E24">
        <v>0</v>
      </c>
      <c r="F24">
        <v>42</v>
      </c>
      <c r="G24">
        <v>37</v>
      </c>
      <c r="H24">
        <v>21</v>
      </c>
      <c r="I24" s="8">
        <v>5.7000000000000002E-2</v>
      </c>
      <c r="J24" s="27">
        <f t="shared" si="0"/>
        <v>58</v>
      </c>
      <c r="L24" s="12">
        <v>0.6</v>
      </c>
      <c r="M24" s="22">
        <v>29</v>
      </c>
      <c r="N24" s="26">
        <v>41</v>
      </c>
      <c r="O24">
        <v>21</v>
      </c>
      <c r="P24">
        <v>20</v>
      </c>
      <c r="Q24" s="12">
        <v>0.4</v>
      </c>
      <c r="R24" s="2" t="s">
        <v>49</v>
      </c>
      <c r="S24" t="s">
        <v>46</v>
      </c>
      <c r="AA24" s="2">
        <v>3</v>
      </c>
      <c r="AB24" s="30">
        <v>3.52</v>
      </c>
      <c r="AC24" s="20">
        <v>101</v>
      </c>
      <c r="AD24" s="2">
        <f t="shared" si="1"/>
        <v>58</v>
      </c>
      <c r="AE24" s="20"/>
      <c r="AF24" s="2">
        <f t="shared" si="2"/>
        <v>42</v>
      </c>
      <c r="AG24" s="2">
        <v>60.9</v>
      </c>
      <c r="AH24">
        <v>33</v>
      </c>
      <c r="AI24">
        <v>44.3</v>
      </c>
      <c r="AJ24">
        <v>14.4</v>
      </c>
      <c r="AK24" s="11">
        <f t="shared" si="3"/>
        <v>4.2291666666666661</v>
      </c>
      <c r="AL24">
        <v>1.92</v>
      </c>
      <c r="AM24" s="29"/>
      <c r="AN24" s="2"/>
      <c r="AO24" s="2"/>
      <c r="AS24" s="12"/>
      <c r="AU24" s="8"/>
    </row>
    <row r="25" spans="1:47">
      <c r="A25" s="2" t="s">
        <v>199</v>
      </c>
      <c r="B25" s="18" t="s">
        <v>180</v>
      </c>
      <c r="C25" s="21">
        <v>4.4958</v>
      </c>
      <c r="D25" s="21">
        <v>14.75</v>
      </c>
      <c r="E25">
        <v>0</v>
      </c>
      <c r="F25">
        <v>33</v>
      </c>
      <c r="G25">
        <v>41</v>
      </c>
      <c r="H25">
        <v>26</v>
      </c>
      <c r="I25" s="8">
        <v>2.9000000000000001E-2</v>
      </c>
      <c r="J25" s="27">
        <f t="shared" si="0"/>
        <v>67</v>
      </c>
      <c r="L25" s="12">
        <v>0.6</v>
      </c>
      <c r="M25" s="22">
        <v>31.3</v>
      </c>
      <c r="N25" s="26">
        <v>43</v>
      </c>
      <c r="O25">
        <v>23</v>
      </c>
      <c r="P25">
        <v>20</v>
      </c>
      <c r="Q25" s="12">
        <v>0.41500000000000004</v>
      </c>
      <c r="R25" s="2" t="s">
        <v>49</v>
      </c>
      <c r="S25" t="s">
        <v>46</v>
      </c>
      <c r="AA25" s="2">
        <v>2.67</v>
      </c>
      <c r="AB25" s="30">
        <v>3.59</v>
      </c>
      <c r="AC25" s="20">
        <v>108</v>
      </c>
      <c r="AD25" s="2">
        <f t="shared" si="1"/>
        <v>67</v>
      </c>
      <c r="AE25" s="20"/>
      <c r="AF25" s="2">
        <f t="shared" si="2"/>
        <v>33</v>
      </c>
      <c r="AG25" s="2">
        <v>39.799999999999997</v>
      </c>
      <c r="AH25">
        <v>36</v>
      </c>
      <c r="AI25">
        <v>27.7</v>
      </c>
      <c r="AJ25">
        <v>10</v>
      </c>
      <c r="AK25" s="11">
        <f t="shared" si="3"/>
        <v>3.9799999999999995</v>
      </c>
      <c r="AL25">
        <v>1.92</v>
      </c>
      <c r="AM25" s="29"/>
      <c r="AN25" s="2"/>
      <c r="AO25" s="2"/>
      <c r="AS25" s="12"/>
      <c r="AU25" s="8"/>
    </row>
    <row r="26" spans="1:47">
      <c r="A26" s="2" t="s">
        <v>202</v>
      </c>
      <c r="B26" s="18" t="s">
        <v>200</v>
      </c>
      <c r="C26" s="21">
        <v>4.6863000000000001</v>
      </c>
      <c r="D26" s="21">
        <f>15+4.5/12</f>
        <v>15.375</v>
      </c>
      <c r="E26">
        <v>0</v>
      </c>
      <c r="F26">
        <v>30</v>
      </c>
      <c r="G26">
        <v>45</v>
      </c>
      <c r="H26">
        <v>25</v>
      </c>
      <c r="I26" s="8">
        <v>2.9000000000000001E-2</v>
      </c>
      <c r="J26" s="27">
        <f t="shared" si="0"/>
        <v>70</v>
      </c>
      <c r="L26" s="12">
        <v>0.65</v>
      </c>
      <c r="M26" s="22">
        <v>38.700000000000003</v>
      </c>
      <c r="N26" s="31">
        <v>44.7</v>
      </c>
      <c r="O26" s="27">
        <v>19.100000000000001</v>
      </c>
      <c r="P26">
        <v>25.6</v>
      </c>
      <c r="Q26" s="12">
        <v>0.765625</v>
      </c>
      <c r="R26" s="2" t="s">
        <v>49</v>
      </c>
      <c r="S26" t="s">
        <v>46</v>
      </c>
      <c r="AA26" s="2">
        <v>3</v>
      </c>
      <c r="AB26" s="30">
        <v>3.52</v>
      </c>
      <c r="AC26" s="20">
        <v>101</v>
      </c>
      <c r="AD26" s="2">
        <f t="shared" si="1"/>
        <v>70</v>
      </c>
      <c r="AE26" s="20"/>
      <c r="AF26" s="2">
        <f t="shared" si="2"/>
        <v>30</v>
      </c>
      <c r="AG26" s="2">
        <v>35.4</v>
      </c>
      <c r="AH26">
        <v>28</v>
      </c>
      <c r="AI26">
        <v>23.2</v>
      </c>
      <c r="AJ26">
        <v>6.6</v>
      </c>
      <c r="AK26" s="11">
        <f t="shared" si="3"/>
        <v>5.3636363636363633</v>
      </c>
      <c r="AL26">
        <v>1.93</v>
      </c>
      <c r="AM26" s="29"/>
      <c r="AN26" s="2"/>
      <c r="AO26" s="2"/>
      <c r="AS26" s="12"/>
      <c r="AU26" s="8"/>
    </row>
    <row r="27" spans="1:47">
      <c r="A27" s="2" t="s">
        <v>203</v>
      </c>
      <c r="B27" s="18" t="s">
        <v>200</v>
      </c>
      <c r="C27" s="21">
        <v>4.8132999999999999</v>
      </c>
      <c r="D27" s="21">
        <f>15+9.5/12</f>
        <v>15.791666666666666</v>
      </c>
      <c r="E27">
        <v>0</v>
      </c>
      <c r="F27">
        <v>23</v>
      </c>
      <c r="G27">
        <v>46</v>
      </c>
      <c r="H27">
        <v>31</v>
      </c>
      <c r="I27" s="8">
        <v>1.7999999999999999E-2</v>
      </c>
      <c r="J27" s="27">
        <f t="shared" si="0"/>
        <v>77</v>
      </c>
      <c r="L27" s="12">
        <v>0.5</v>
      </c>
      <c r="M27" s="22">
        <v>36.6</v>
      </c>
      <c r="N27" s="26">
        <v>48</v>
      </c>
      <c r="O27">
        <v>21</v>
      </c>
      <c r="P27">
        <v>27</v>
      </c>
      <c r="Q27" s="12">
        <v>0.57777777777777783</v>
      </c>
      <c r="R27" s="2" t="s">
        <v>45</v>
      </c>
      <c r="S27" t="s">
        <v>47</v>
      </c>
      <c r="AA27" s="2">
        <v>2.33</v>
      </c>
      <c r="AB27" s="30">
        <v>3.61</v>
      </c>
      <c r="AC27" s="20">
        <v>110</v>
      </c>
      <c r="AD27" s="2">
        <f t="shared" si="1"/>
        <v>77</v>
      </c>
      <c r="AE27" s="20"/>
      <c r="AF27" s="2">
        <f t="shared" si="2"/>
        <v>23</v>
      </c>
      <c r="AG27" s="2">
        <v>50.9</v>
      </c>
      <c r="AH27">
        <v>22</v>
      </c>
      <c r="AI27">
        <v>37.6</v>
      </c>
      <c r="AJ27">
        <v>11.1</v>
      </c>
      <c r="AK27" s="11">
        <f t="shared" si="3"/>
        <v>4.5855855855855854</v>
      </c>
      <c r="AL27">
        <v>1.97</v>
      </c>
      <c r="AM27" s="29"/>
      <c r="AN27" s="2"/>
      <c r="AO27" s="2"/>
      <c r="AS27" s="12"/>
      <c r="AU27" s="8"/>
    </row>
    <row r="28" spans="1:47">
      <c r="A28" s="2" t="s">
        <v>204</v>
      </c>
      <c r="B28" s="18" t="s">
        <v>200</v>
      </c>
      <c r="C28" s="21">
        <v>4.9530000000000003</v>
      </c>
      <c r="D28" s="21">
        <v>16.25</v>
      </c>
      <c r="E28">
        <v>0</v>
      </c>
      <c r="F28">
        <v>26</v>
      </c>
      <c r="G28">
        <v>50</v>
      </c>
      <c r="H28">
        <v>24</v>
      </c>
      <c r="I28" s="8">
        <v>0.02</v>
      </c>
      <c r="J28" s="27">
        <f t="shared" si="0"/>
        <v>74</v>
      </c>
      <c r="L28" s="12">
        <v>0.55000000000000004</v>
      </c>
      <c r="M28" s="22">
        <v>31.3</v>
      </c>
      <c r="N28" s="26">
        <v>47</v>
      </c>
      <c r="O28">
        <v>23</v>
      </c>
      <c r="P28">
        <v>24</v>
      </c>
      <c r="Q28" s="12">
        <v>0.34583333333333338</v>
      </c>
      <c r="R28" s="2" t="s">
        <v>45</v>
      </c>
      <c r="S28" t="s">
        <v>47</v>
      </c>
      <c r="AA28" s="2">
        <v>2</v>
      </c>
      <c r="AB28" s="30">
        <v>3.77</v>
      </c>
      <c r="AC28" s="20">
        <v>127</v>
      </c>
      <c r="AD28" s="2">
        <f t="shared" si="1"/>
        <v>74</v>
      </c>
      <c r="AE28" s="20"/>
      <c r="AF28" s="2">
        <f t="shared" si="2"/>
        <v>26</v>
      </c>
      <c r="AG28" s="2">
        <v>67.5</v>
      </c>
      <c r="AH28">
        <v>31</v>
      </c>
      <c r="AI28">
        <v>48.7</v>
      </c>
      <c r="AJ28">
        <v>16.600000000000001</v>
      </c>
      <c r="AK28" s="11">
        <f t="shared" si="3"/>
        <v>4.0662650602409638</v>
      </c>
      <c r="AL28">
        <v>1.97</v>
      </c>
      <c r="AM28" s="29"/>
      <c r="AN28" s="2"/>
      <c r="AO28" s="2"/>
      <c r="AS28" s="12"/>
      <c r="AU28" s="8"/>
    </row>
    <row r="29" spans="1:47">
      <c r="A29" s="2" t="s">
        <v>205</v>
      </c>
      <c r="B29" s="18" t="s">
        <v>200</v>
      </c>
      <c r="C29" s="21">
        <v>5.1054000000000004</v>
      </c>
      <c r="D29" s="21">
        <v>16.75</v>
      </c>
      <c r="E29">
        <v>0</v>
      </c>
      <c r="F29">
        <v>28</v>
      </c>
      <c r="G29">
        <v>44</v>
      </c>
      <c r="H29">
        <v>28</v>
      </c>
      <c r="I29" s="8">
        <v>3.7999999999999999E-2</v>
      </c>
      <c r="J29" s="27">
        <f t="shared" si="0"/>
        <v>72</v>
      </c>
      <c r="L29" s="12">
        <v>0.6</v>
      </c>
      <c r="M29" s="22">
        <v>30</v>
      </c>
      <c r="N29" s="26">
        <v>47</v>
      </c>
      <c r="O29">
        <v>21</v>
      </c>
      <c r="P29">
        <v>26</v>
      </c>
      <c r="Q29" s="12">
        <v>0.34615384615384615</v>
      </c>
      <c r="R29" s="2" t="s">
        <v>45</v>
      </c>
      <c r="S29" t="s">
        <v>47</v>
      </c>
      <c r="AA29" s="2">
        <v>3</v>
      </c>
      <c r="AB29" s="30">
        <v>3.34</v>
      </c>
      <c r="AC29" s="20">
        <v>84</v>
      </c>
      <c r="AD29" s="2">
        <f t="shared" si="1"/>
        <v>72</v>
      </c>
      <c r="AE29" s="20"/>
      <c r="AF29" s="2">
        <f t="shared" si="2"/>
        <v>28</v>
      </c>
      <c r="AG29" s="2">
        <v>66.400000000000006</v>
      </c>
      <c r="AH29">
        <v>35</v>
      </c>
      <c r="AI29">
        <v>46.5</v>
      </c>
      <c r="AJ29">
        <v>16.600000000000001</v>
      </c>
      <c r="AK29" s="11">
        <f t="shared" si="3"/>
        <v>4</v>
      </c>
      <c r="AL29">
        <v>1.95</v>
      </c>
      <c r="AM29" s="29"/>
      <c r="AN29" s="2"/>
      <c r="AO29" s="2"/>
      <c r="AS29" s="12"/>
      <c r="AU29" s="8"/>
    </row>
    <row r="30" spans="1:47">
      <c r="A30" s="2" t="s">
        <v>206</v>
      </c>
      <c r="B30" s="18" t="s">
        <v>201</v>
      </c>
      <c r="C30" s="21">
        <v>5.2959000000000005</v>
      </c>
      <c r="D30" s="21">
        <f>17+4.5/12</f>
        <v>17.375</v>
      </c>
      <c r="E30">
        <v>0</v>
      </c>
      <c r="F30">
        <v>29</v>
      </c>
      <c r="G30">
        <v>37</v>
      </c>
      <c r="H30">
        <v>34</v>
      </c>
      <c r="I30" s="8">
        <v>2.8000000000000001E-2</v>
      </c>
      <c r="J30" s="27">
        <f t="shared" si="0"/>
        <v>71</v>
      </c>
      <c r="L30" s="12">
        <v>0.5</v>
      </c>
      <c r="M30" s="35">
        <v>33.700000000000003</v>
      </c>
      <c r="N30" s="26">
        <v>48</v>
      </c>
      <c r="O30">
        <v>20</v>
      </c>
      <c r="P30">
        <v>28</v>
      </c>
      <c r="Q30" s="12">
        <v>0.48928571428571438</v>
      </c>
      <c r="R30" s="2" t="s">
        <v>45</v>
      </c>
      <c r="S30" t="s">
        <v>47</v>
      </c>
      <c r="AA30" s="2">
        <v>3</v>
      </c>
      <c r="AB30" s="30">
        <v>3.35</v>
      </c>
      <c r="AC30" s="20">
        <v>86</v>
      </c>
      <c r="AD30" s="2">
        <f t="shared" si="1"/>
        <v>71</v>
      </c>
      <c r="AE30" s="20"/>
      <c r="AF30" s="2">
        <f t="shared" si="2"/>
        <v>29</v>
      </c>
      <c r="AG30" s="13" t="s">
        <v>28</v>
      </c>
      <c r="AH30" s="13" t="s">
        <v>28</v>
      </c>
      <c r="AI30" s="13" t="s">
        <v>28</v>
      </c>
      <c r="AJ30" s="13" t="s">
        <v>28</v>
      </c>
      <c r="AK30" s="13" t="s">
        <v>28</v>
      </c>
      <c r="AL30" s="13" t="s">
        <v>28</v>
      </c>
      <c r="AM30" s="29"/>
      <c r="AN30" s="2"/>
      <c r="AO30" s="2"/>
      <c r="AS30" s="12"/>
      <c r="AU30" s="8"/>
    </row>
    <row r="31" spans="1:47">
      <c r="A31" s="2" t="s">
        <v>207</v>
      </c>
      <c r="B31" s="18" t="s">
        <v>201</v>
      </c>
      <c r="C31" s="21">
        <v>5.4229000000000003</v>
      </c>
      <c r="D31" s="21">
        <f>17+9.5/12</f>
        <v>17.791666666666668</v>
      </c>
      <c r="E31">
        <v>0</v>
      </c>
      <c r="F31">
        <v>33</v>
      </c>
      <c r="G31">
        <v>40</v>
      </c>
      <c r="H31">
        <v>27</v>
      </c>
      <c r="I31" s="8">
        <v>3.6999999999999998E-2</v>
      </c>
      <c r="J31" s="27">
        <f t="shared" si="0"/>
        <v>67</v>
      </c>
      <c r="L31" s="12">
        <v>0.6</v>
      </c>
      <c r="M31" s="22">
        <v>29</v>
      </c>
      <c r="N31" s="26">
        <v>44</v>
      </c>
      <c r="O31">
        <v>20</v>
      </c>
      <c r="P31">
        <v>24</v>
      </c>
      <c r="Q31" s="12">
        <v>0.375</v>
      </c>
      <c r="R31" s="2" t="s">
        <v>49</v>
      </c>
      <c r="S31" t="s">
        <v>46</v>
      </c>
      <c r="AA31" s="2">
        <v>3</v>
      </c>
      <c r="AB31" s="30">
        <v>3.26</v>
      </c>
      <c r="AC31" s="20">
        <v>78</v>
      </c>
      <c r="AD31" s="2">
        <f t="shared" si="1"/>
        <v>67</v>
      </c>
      <c r="AE31" s="20"/>
      <c r="AF31" s="2">
        <f t="shared" si="2"/>
        <v>33</v>
      </c>
      <c r="AG31" s="2">
        <v>91.9</v>
      </c>
      <c r="AH31">
        <v>38</v>
      </c>
      <c r="AI31">
        <v>60.9</v>
      </c>
      <c r="AJ31">
        <v>25.5</v>
      </c>
      <c r="AK31" s="11">
        <f t="shared" si="3"/>
        <v>3.6039215686274511</v>
      </c>
      <c r="AL31">
        <v>1.93</v>
      </c>
      <c r="AM31" s="29"/>
      <c r="AN31" s="2"/>
      <c r="AO31" s="2"/>
      <c r="AS31" s="12"/>
      <c r="AU31" s="8"/>
    </row>
    <row r="32" spans="1:47">
      <c r="A32" s="2" t="s">
        <v>208</v>
      </c>
      <c r="B32" s="18" t="s">
        <v>201</v>
      </c>
      <c r="C32" s="21">
        <v>5.5626000000000007</v>
      </c>
      <c r="D32" s="21">
        <v>18.25</v>
      </c>
      <c r="E32">
        <v>0</v>
      </c>
      <c r="F32">
        <v>38</v>
      </c>
      <c r="G32">
        <v>39</v>
      </c>
      <c r="H32">
        <v>23</v>
      </c>
      <c r="I32" s="8">
        <v>0.05</v>
      </c>
      <c r="J32" s="27">
        <f t="shared" si="0"/>
        <v>62</v>
      </c>
      <c r="L32" s="12">
        <v>0.7</v>
      </c>
      <c r="M32" s="22">
        <v>27.4</v>
      </c>
      <c r="N32" s="26">
        <v>41</v>
      </c>
      <c r="O32">
        <v>21</v>
      </c>
      <c r="P32">
        <v>20</v>
      </c>
      <c r="Q32" s="12">
        <v>0.31999999999999995</v>
      </c>
      <c r="R32" s="2" t="s">
        <v>49</v>
      </c>
      <c r="S32" t="s">
        <v>46</v>
      </c>
      <c r="AA32" s="2">
        <v>3</v>
      </c>
      <c r="AB32" s="30">
        <v>3.23</v>
      </c>
      <c r="AC32" s="20">
        <v>76</v>
      </c>
      <c r="AD32" s="2">
        <f t="shared" si="1"/>
        <v>62</v>
      </c>
      <c r="AE32" s="20"/>
      <c r="AF32" s="2">
        <f t="shared" si="2"/>
        <v>38</v>
      </c>
      <c r="AG32" s="2">
        <v>101.8</v>
      </c>
      <c r="AH32">
        <v>38</v>
      </c>
      <c r="AI32">
        <v>69.7</v>
      </c>
      <c r="AJ32">
        <v>31</v>
      </c>
      <c r="AK32" s="11">
        <f t="shared" si="3"/>
        <v>3.2838709677419353</v>
      </c>
      <c r="AL32">
        <v>1.95</v>
      </c>
      <c r="AM32" s="29"/>
      <c r="AN32" s="2"/>
      <c r="AO32" s="2"/>
      <c r="AS32" s="12"/>
      <c r="AU32" s="8"/>
    </row>
    <row r="33" spans="1:47">
      <c r="A33" s="2" t="s">
        <v>209</v>
      </c>
      <c r="B33" s="18" t="s">
        <v>201</v>
      </c>
      <c r="C33" s="21">
        <v>5.7149999999999999</v>
      </c>
      <c r="D33" s="21">
        <v>18.75</v>
      </c>
      <c r="E33">
        <v>0</v>
      </c>
      <c r="F33">
        <v>40</v>
      </c>
      <c r="G33">
        <v>41</v>
      </c>
      <c r="H33">
        <v>19</v>
      </c>
      <c r="I33" s="8">
        <v>0.05</v>
      </c>
      <c r="J33" s="27">
        <f t="shared" si="0"/>
        <v>60</v>
      </c>
      <c r="L33" s="12">
        <v>0.9</v>
      </c>
      <c r="M33" s="22">
        <v>26.9</v>
      </c>
      <c r="N33" s="26">
        <v>41</v>
      </c>
      <c r="O33">
        <v>20</v>
      </c>
      <c r="P33">
        <v>21</v>
      </c>
      <c r="Q33" s="12">
        <v>0.32857142857142851</v>
      </c>
      <c r="R33" s="2" t="s">
        <v>49</v>
      </c>
      <c r="S33" t="s">
        <v>46</v>
      </c>
      <c r="AA33" s="2">
        <v>3</v>
      </c>
      <c r="AB33" s="30">
        <v>3.17</v>
      </c>
      <c r="AC33" s="20">
        <v>71</v>
      </c>
      <c r="AD33" s="2">
        <f t="shared" si="1"/>
        <v>60</v>
      </c>
      <c r="AE33" s="20"/>
      <c r="AF33" s="2">
        <f t="shared" si="2"/>
        <v>40</v>
      </c>
      <c r="AG33" s="2">
        <v>74.2</v>
      </c>
      <c r="AH33">
        <v>34</v>
      </c>
      <c r="AI33">
        <v>53.1</v>
      </c>
      <c r="AJ33">
        <v>18.8</v>
      </c>
      <c r="AK33" s="11">
        <f t="shared" si="3"/>
        <v>3.9468085106382977</v>
      </c>
      <c r="AL33">
        <v>1.95</v>
      </c>
      <c r="AM33" s="29"/>
      <c r="AN33" s="2"/>
      <c r="AO33" s="2"/>
      <c r="AS33" s="12"/>
      <c r="AU33" s="8"/>
    </row>
    <row r="34" spans="1:47">
      <c r="A34" s="2" t="s">
        <v>211</v>
      </c>
      <c r="B34" s="2" t="s">
        <v>210</v>
      </c>
      <c r="C34" s="21">
        <v>5.9182000000000006</v>
      </c>
      <c r="D34" s="14">
        <f>19+0.416666666666667</f>
        <v>19.416666666666668</v>
      </c>
      <c r="E34">
        <v>0</v>
      </c>
      <c r="F34">
        <v>39</v>
      </c>
      <c r="G34">
        <v>40</v>
      </c>
      <c r="H34">
        <v>21</v>
      </c>
      <c r="I34" s="8">
        <v>4.4999999999999998E-2</v>
      </c>
      <c r="J34" s="27">
        <f t="shared" si="0"/>
        <v>61</v>
      </c>
      <c r="L34" s="12">
        <v>1.5</v>
      </c>
      <c r="M34" s="22">
        <v>34</v>
      </c>
      <c r="N34" s="26">
        <v>43</v>
      </c>
      <c r="O34">
        <v>19</v>
      </c>
      <c r="P34">
        <v>24</v>
      </c>
      <c r="Q34" s="12">
        <v>0.625</v>
      </c>
      <c r="R34" s="2" t="s">
        <v>49</v>
      </c>
      <c r="S34" t="s">
        <v>46</v>
      </c>
      <c r="AA34" s="2">
        <v>3</v>
      </c>
      <c r="AB34" s="30">
        <v>3.16</v>
      </c>
      <c r="AC34" s="20">
        <v>70</v>
      </c>
      <c r="AD34" s="2">
        <f t="shared" si="1"/>
        <v>61</v>
      </c>
      <c r="AE34" s="20"/>
      <c r="AF34" s="2">
        <f t="shared" si="2"/>
        <v>39</v>
      </c>
      <c r="AG34" s="13" t="s">
        <v>28</v>
      </c>
      <c r="AH34" s="13" t="s">
        <v>28</v>
      </c>
      <c r="AI34" s="13" t="s">
        <v>28</v>
      </c>
      <c r="AJ34" s="13" t="s">
        <v>28</v>
      </c>
      <c r="AK34" s="13" t="s">
        <v>28</v>
      </c>
      <c r="AL34" s="13" t="s">
        <v>28</v>
      </c>
      <c r="AM34" s="29"/>
      <c r="AN34" s="2"/>
      <c r="AO34" s="2"/>
      <c r="AS34" s="12"/>
      <c r="AU34" s="8"/>
    </row>
    <row r="35" spans="1:47">
      <c r="A35" s="2" t="s">
        <v>212</v>
      </c>
      <c r="B35" s="2" t="s">
        <v>210</v>
      </c>
      <c r="C35" s="21">
        <v>6.0325000000000006</v>
      </c>
      <c r="D35" s="14">
        <f>19+9.5/12</f>
        <v>19.791666666666668</v>
      </c>
      <c r="E35">
        <v>0</v>
      </c>
      <c r="F35">
        <v>29</v>
      </c>
      <c r="G35">
        <v>52</v>
      </c>
      <c r="H35">
        <v>19</v>
      </c>
      <c r="I35" s="8">
        <v>4.1000000000000002E-2</v>
      </c>
      <c r="J35" s="27">
        <f t="shared" si="0"/>
        <v>71</v>
      </c>
      <c r="L35" s="12">
        <v>0.62</v>
      </c>
      <c r="M35" s="22">
        <v>34.1</v>
      </c>
      <c r="N35" s="31">
        <v>39.4</v>
      </c>
      <c r="O35" s="27">
        <v>22.4</v>
      </c>
      <c r="P35">
        <v>17</v>
      </c>
      <c r="Q35" s="12">
        <v>0.68823529411764728</v>
      </c>
      <c r="R35" s="2" t="s">
        <v>45</v>
      </c>
      <c r="S35" t="s">
        <v>47</v>
      </c>
      <c r="AA35" s="2">
        <v>3</v>
      </c>
      <c r="AB35" s="30">
        <v>3.21</v>
      </c>
      <c r="AC35" s="20">
        <v>74</v>
      </c>
      <c r="AD35" s="2">
        <f t="shared" si="1"/>
        <v>71</v>
      </c>
      <c r="AE35" s="20"/>
      <c r="AF35" s="2">
        <f t="shared" si="2"/>
        <v>29</v>
      </c>
      <c r="AG35" s="2">
        <v>38.700000000000003</v>
      </c>
      <c r="AH35">
        <v>27</v>
      </c>
      <c r="AI35">
        <v>27.7</v>
      </c>
      <c r="AJ35">
        <v>4.4000000000000004</v>
      </c>
      <c r="AK35" s="11">
        <f t="shared" si="3"/>
        <v>8.795454545454545</v>
      </c>
      <c r="AL35" s="13" t="s">
        <v>28</v>
      </c>
      <c r="AM35" s="29"/>
      <c r="AN35" s="2"/>
      <c r="AO35" s="2"/>
      <c r="AS35" s="12"/>
      <c r="AU35" s="8"/>
    </row>
    <row r="36" spans="1:47">
      <c r="A36" s="2" t="s">
        <v>213</v>
      </c>
      <c r="B36" s="2" t="s">
        <v>210</v>
      </c>
      <c r="C36" s="21">
        <v>6.1722000000000001</v>
      </c>
      <c r="D36" s="14">
        <v>20.25</v>
      </c>
      <c r="E36">
        <v>0</v>
      </c>
      <c r="F36">
        <v>28</v>
      </c>
      <c r="G36">
        <v>46</v>
      </c>
      <c r="H36">
        <v>26</v>
      </c>
      <c r="I36" s="8">
        <v>3.5000000000000003E-2</v>
      </c>
      <c r="J36" s="27">
        <f t="shared" si="0"/>
        <v>72</v>
      </c>
      <c r="L36" s="12">
        <v>0.48</v>
      </c>
      <c r="M36" s="22">
        <v>30.8</v>
      </c>
      <c r="N36" s="26">
        <v>45</v>
      </c>
      <c r="O36">
        <v>17</v>
      </c>
      <c r="P36">
        <v>28</v>
      </c>
      <c r="Q36" s="12">
        <v>0.49285714285714288</v>
      </c>
      <c r="R36" s="2" t="s">
        <v>45</v>
      </c>
      <c r="S36" t="s">
        <v>47</v>
      </c>
      <c r="AA36" s="2">
        <v>3</v>
      </c>
      <c r="AB36" s="30">
        <v>3.24</v>
      </c>
      <c r="AC36" s="20">
        <v>77</v>
      </c>
      <c r="AD36" s="2">
        <f t="shared" si="1"/>
        <v>72</v>
      </c>
      <c r="AE36" s="20"/>
      <c r="AF36" s="2">
        <f t="shared" si="2"/>
        <v>28</v>
      </c>
      <c r="AG36" s="2">
        <v>78.599999999999994</v>
      </c>
      <c r="AH36">
        <v>30</v>
      </c>
      <c r="AI36">
        <v>56.4</v>
      </c>
      <c r="AJ36">
        <v>17.7</v>
      </c>
      <c r="AK36" s="11">
        <f t="shared" si="3"/>
        <v>4.4406779661016946</v>
      </c>
      <c r="AL36">
        <v>1.95</v>
      </c>
      <c r="AM36" s="29"/>
      <c r="AN36" s="2"/>
      <c r="AO36" s="2"/>
      <c r="AS36" s="12"/>
      <c r="AU36" s="8"/>
    </row>
    <row r="37" spans="1:47">
      <c r="A37" s="2" t="s">
        <v>214</v>
      </c>
      <c r="B37" s="2" t="s">
        <v>210</v>
      </c>
      <c r="C37" s="21">
        <v>6.3246000000000002</v>
      </c>
      <c r="D37" s="14">
        <v>20.75</v>
      </c>
      <c r="E37">
        <v>0</v>
      </c>
      <c r="F37">
        <v>30</v>
      </c>
      <c r="G37">
        <v>49</v>
      </c>
      <c r="H37">
        <v>21</v>
      </c>
      <c r="I37" s="8">
        <v>3.7999999999999999E-2</v>
      </c>
      <c r="J37" s="27">
        <f t="shared" si="0"/>
        <v>70</v>
      </c>
      <c r="L37" s="12">
        <v>0.49</v>
      </c>
      <c r="M37" s="22">
        <v>29.8</v>
      </c>
      <c r="N37" s="26">
        <v>44</v>
      </c>
      <c r="O37">
        <v>21</v>
      </c>
      <c r="P37">
        <v>23</v>
      </c>
      <c r="Q37" s="12">
        <v>0.38260869565217392</v>
      </c>
      <c r="R37" s="2" t="s">
        <v>49</v>
      </c>
      <c r="S37" t="s">
        <v>46</v>
      </c>
      <c r="AA37" s="2">
        <v>3</v>
      </c>
      <c r="AB37" s="30">
        <v>3.19</v>
      </c>
      <c r="AC37" s="2">
        <v>72</v>
      </c>
      <c r="AD37" s="2">
        <f t="shared" si="1"/>
        <v>70</v>
      </c>
      <c r="AF37" s="2">
        <f t="shared" si="2"/>
        <v>30</v>
      </c>
      <c r="AG37" s="2">
        <v>93</v>
      </c>
      <c r="AH37">
        <v>31</v>
      </c>
      <c r="AI37">
        <v>68.599999999999994</v>
      </c>
      <c r="AJ37" s="25">
        <v>22.1</v>
      </c>
      <c r="AK37" s="11">
        <f t="shared" si="3"/>
        <v>4.2081447963800906</v>
      </c>
      <c r="AL37">
        <v>1.91</v>
      </c>
      <c r="AM37" s="29"/>
      <c r="AN37" s="2"/>
      <c r="AO37" s="2"/>
      <c r="AS37" s="12"/>
      <c r="AU37" s="8"/>
    </row>
    <row r="38" spans="1:47">
      <c r="A38" s="2" t="s">
        <v>215</v>
      </c>
      <c r="B38" s="2" t="s">
        <v>223</v>
      </c>
      <c r="C38" s="21">
        <v>6.565900000000001</v>
      </c>
      <c r="D38" s="14">
        <f>21+6.5/12</f>
        <v>21.541666666666668</v>
      </c>
      <c r="E38">
        <v>0</v>
      </c>
      <c r="F38">
        <v>37</v>
      </c>
      <c r="G38">
        <v>40</v>
      </c>
      <c r="H38">
        <v>23</v>
      </c>
      <c r="I38" s="8">
        <v>2.3E-2</v>
      </c>
      <c r="J38" s="27">
        <f t="shared" si="0"/>
        <v>63</v>
      </c>
      <c r="L38" s="12">
        <v>0.54</v>
      </c>
      <c r="M38" s="22">
        <v>34.1</v>
      </c>
      <c r="N38" s="26">
        <v>41</v>
      </c>
      <c r="O38">
        <v>18</v>
      </c>
      <c r="P38">
        <v>23</v>
      </c>
      <c r="Q38" s="12">
        <v>0.70000000000000007</v>
      </c>
      <c r="R38" s="2" t="s">
        <v>49</v>
      </c>
      <c r="S38" t="s">
        <v>46</v>
      </c>
      <c r="AA38" s="2">
        <v>3</v>
      </c>
      <c r="AB38" s="30">
        <v>3.17</v>
      </c>
      <c r="AC38" s="2">
        <v>71</v>
      </c>
      <c r="AD38" s="2">
        <f t="shared" si="1"/>
        <v>63</v>
      </c>
      <c r="AF38" s="2">
        <f t="shared" si="2"/>
        <v>37</v>
      </c>
      <c r="AG38" s="13" t="s">
        <v>28</v>
      </c>
      <c r="AH38" s="13" t="s">
        <v>28</v>
      </c>
      <c r="AI38" s="13" t="s">
        <v>28</v>
      </c>
      <c r="AJ38" s="13" t="s">
        <v>28</v>
      </c>
      <c r="AK38" s="13" t="s">
        <v>28</v>
      </c>
      <c r="AL38" s="13" t="s">
        <v>28</v>
      </c>
      <c r="AM38" s="29"/>
      <c r="AN38" s="2"/>
      <c r="AO38" s="2"/>
      <c r="AS38" s="12"/>
      <c r="AU38" s="8"/>
    </row>
    <row r="39" spans="1:47">
      <c r="A39" s="2" t="s">
        <v>216</v>
      </c>
      <c r="B39" s="2" t="s">
        <v>223</v>
      </c>
      <c r="C39" s="21">
        <v>6.6928999999999998</v>
      </c>
      <c r="D39" s="14">
        <f>21+11.5/12</f>
        <v>21.958333333333332</v>
      </c>
      <c r="E39">
        <v>0</v>
      </c>
      <c r="F39">
        <v>22</v>
      </c>
      <c r="G39">
        <v>51</v>
      </c>
      <c r="H39">
        <v>27</v>
      </c>
      <c r="I39" s="8">
        <v>2.3E-2</v>
      </c>
      <c r="J39" s="27">
        <f t="shared" si="0"/>
        <v>78</v>
      </c>
      <c r="L39" s="12">
        <v>0.495</v>
      </c>
      <c r="M39" s="22">
        <v>30.5</v>
      </c>
      <c r="N39" s="26">
        <v>45</v>
      </c>
      <c r="O39">
        <v>21</v>
      </c>
      <c r="P39">
        <v>24</v>
      </c>
      <c r="Q39" s="12">
        <v>0.39583333333333331</v>
      </c>
      <c r="R39" s="2" t="s">
        <v>45</v>
      </c>
      <c r="S39" t="s">
        <v>47</v>
      </c>
      <c r="AA39" s="2">
        <v>3</v>
      </c>
      <c r="AB39" s="30">
        <v>3.2</v>
      </c>
      <c r="AC39" s="2">
        <v>73</v>
      </c>
      <c r="AD39" s="2">
        <f t="shared" si="1"/>
        <v>78</v>
      </c>
      <c r="AF39" s="2">
        <f t="shared" si="2"/>
        <v>22</v>
      </c>
      <c r="AG39" s="2">
        <v>60.9</v>
      </c>
      <c r="AH39">
        <v>30</v>
      </c>
      <c r="AI39">
        <v>44.3</v>
      </c>
      <c r="AJ39">
        <v>11.1</v>
      </c>
      <c r="AK39" s="11">
        <f t="shared" si="3"/>
        <v>5.4864864864864868</v>
      </c>
      <c r="AL39">
        <v>1.93</v>
      </c>
      <c r="AM39" s="29"/>
      <c r="AN39" s="2"/>
      <c r="AO39" s="2"/>
      <c r="AS39" s="12"/>
      <c r="AU39" s="8"/>
    </row>
    <row r="40" spans="1:47">
      <c r="A40" s="2" t="s">
        <v>217</v>
      </c>
      <c r="B40" s="2" t="s">
        <v>223</v>
      </c>
      <c r="C40" s="21">
        <v>6.8199000000000005</v>
      </c>
      <c r="D40" s="14">
        <f>22+4.5/12</f>
        <v>22.375</v>
      </c>
      <c r="E40">
        <v>0</v>
      </c>
      <c r="F40">
        <v>22</v>
      </c>
      <c r="G40">
        <v>44</v>
      </c>
      <c r="H40">
        <v>34</v>
      </c>
      <c r="I40" s="8">
        <v>1.4E-2</v>
      </c>
      <c r="J40" s="27">
        <f t="shared" si="0"/>
        <v>78</v>
      </c>
      <c r="L40" s="12">
        <v>0.48</v>
      </c>
      <c r="M40" s="22">
        <v>29.3</v>
      </c>
      <c r="N40" s="26">
        <v>47</v>
      </c>
      <c r="O40">
        <v>20</v>
      </c>
      <c r="P40">
        <v>27</v>
      </c>
      <c r="Q40" s="12">
        <v>0.3444444444444445</v>
      </c>
      <c r="R40" s="2" t="s">
        <v>45</v>
      </c>
      <c r="S40" t="s">
        <v>47</v>
      </c>
      <c r="AA40" s="2">
        <v>3</v>
      </c>
      <c r="AB40" s="30">
        <v>3.15</v>
      </c>
      <c r="AC40" s="2">
        <v>70</v>
      </c>
      <c r="AD40" s="2">
        <f t="shared" si="1"/>
        <v>78</v>
      </c>
      <c r="AF40" s="2">
        <f t="shared" si="2"/>
        <v>22</v>
      </c>
      <c r="AG40" s="2">
        <v>111.8</v>
      </c>
      <c r="AH40">
        <v>30</v>
      </c>
      <c r="AI40">
        <v>80.8</v>
      </c>
      <c r="AJ40">
        <v>24.3</v>
      </c>
      <c r="AK40" s="11">
        <f t="shared" si="3"/>
        <v>4.6008230452674894</v>
      </c>
      <c r="AL40">
        <v>1.9</v>
      </c>
      <c r="AM40" s="29"/>
      <c r="AN40" s="2"/>
      <c r="AO40" s="2"/>
      <c r="AS40" s="12"/>
      <c r="AU40" s="8"/>
    </row>
    <row r="41" spans="1:47">
      <c r="A41" s="2" t="s">
        <v>218</v>
      </c>
      <c r="B41" s="2" t="s">
        <v>223</v>
      </c>
      <c r="C41" s="21">
        <v>6.9469000000000003</v>
      </c>
      <c r="D41" s="14">
        <f>22+9.5/12</f>
        <v>22.791666666666668</v>
      </c>
      <c r="E41">
        <v>0</v>
      </c>
      <c r="F41">
        <v>23</v>
      </c>
      <c r="G41">
        <v>44</v>
      </c>
      <c r="H41">
        <v>33</v>
      </c>
      <c r="I41" s="8">
        <v>1.6E-2</v>
      </c>
      <c r="J41" s="27">
        <f t="shared" si="0"/>
        <v>77</v>
      </c>
      <c r="L41" s="12">
        <v>0.61</v>
      </c>
      <c r="M41" s="22">
        <v>29</v>
      </c>
      <c r="N41" s="26">
        <v>46</v>
      </c>
      <c r="O41">
        <v>22</v>
      </c>
      <c r="P41">
        <v>24</v>
      </c>
      <c r="Q41" s="12">
        <v>0.29166666666666669</v>
      </c>
      <c r="R41" s="2" t="s">
        <v>45</v>
      </c>
      <c r="S41" t="s">
        <v>47</v>
      </c>
      <c r="AA41" s="2">
        <v>3</v>
      </c>
      <c r="AB41" s="30">
        <v>3.17</v>
      </c>
      <c r="AC41" s="2">
        <v>71</v>
      </c>
      <c r="AD41" s="2">
        <f t="shared" si="1"/>
        <v>77</v>
      </c>
      <c r="AF41" s="2">
        <f t="shared" si="2"/>
        <v>23</v>
      </c>
      <c r="AG41" s="2">
        <v>78.599999999999994</v>
      </c>
      <c r="AH41">
        <v>30</v>
      </c>
      <c r="AI41">
        <v>60.9</v>
      </c>
      <c r="AJ41">
        <v>21</v>
      </c>
      <c r="AK41" s="11">
        <f t="shared" si="3"/>
        <v>3.7428571428571424</v>
      </c>
      <c r="AL41">
        <v>1.94</v>
      </c>
      <c r="AM41" s="29"/>
      <c r="AN41" s="2"/>
      <c r="AO41" s="2"/>
      <c r="AS41" s="12"/>
      <c r="AU41" s="8"/>
    </row>
    <row r="42" spans="1:47">
      <c r="A42" s="2" t="s">
        <v>219</v>
      </c>
      <c r="B42" s="2" t="s">
        <v>224</v>
      </c>
      <c r="C42" s="21">
        <v>7.1755000000000004</v>
      </c>
      <c r="D42" s="14">
        <f>23+6.5/12</f>
        <v>23.541666666666668</v>
      </c>
      <c r="E42">
        <v>0</v>
      </c>
      <c r="F42">
        <v>29</v>
      </c>
      <c r="G42">
        <v>44</v>
      </c>
      <c r="H42">
        <v>27</v>
      </c>
      <c r="I42" s="8">
        <v>2.5000000000000001E-2</v>
      </c>
      <c r="J42" s="27">
        <f t="shared" si="0"/>
        <v>71</v>
      </c>
      <c r="L42" s="12">
        <v>0.57999999999999996</v>
      </c>
      <c r="M42" s="22">
        <v>31.3</v>
      </c>
      <c r="N42" s="26">
        <v>42</v>
      </c>
      <c r="O42">
        <v>21</v>
      </c>
      <c r="P42">
        <v>21</v>
      </c>
      <c r="Q42" s="12">
        <v>0.49047619047619051</v>
      </c>
      <c r="R42" s="2" t="s">
        <v>45</v>
      </c>
      <c r="S42" t="s">
        <v>47</v>
      </c>
      <c r="AA42" s="2">
        <v>3</v>
      </c>
      <c r="AB42" s="30">
        <v>3.18</v>
      </c>
      <c r="AC42" s="2">
        <v>72</v>
      </c>
      <c r="AD42" s="2">
        <f t="shared" si="1"/>
        <v>71</v>
      </c>
      <c r="AF42" s="2">
        <f t="shared" si="2"/>
        <v>29</v>
      </c>
      <c r="AG42" s="2">
        <v>58.7</v>
      </c>
      <c r="AH42">
        <v>37</v>
      </c>
      <c r="AI42">
        <v>40.9</v>
      </c>
      <c r="AJ42">
        <v>11.1</v>
      </c>
      <c r="AK42" s="11">
        <f t="shared" si="3"/>
        <v>5.2882882882882889</v>
      </c>
      <c r="AL42">
        <v>1.87</v>
      </c>
      <c r="AM42" s="29"/>
      <c r="AN42" s="2"/>
      <c r="AO42" s="2"/>
      <c r="AS42" s="12"/>
      <c r="AU42" s="8"/>
    </row>
    <row r="43" spans="1:47">
      <c r="A43" s="2" t="s">
        <v>220</v>
      </c>
      <c r="B43" s="2" t="s">
        <v>224</v>
      </c>
      <c r="C43" s="21">
        <v>7.3025000000000002</v>
      </c>
      <c r="D43" s="14">
        <f>23+11.5/12</f>
        <v>23.958333333333332</v>
      </c>
      <c r="E43">
        <v>0</v>
      </c>
      <c r="F43">
        <v>25</v>
      </c>
      <c r="G43" s="26">
        <v>53</v>
      </c>
      <c r="H43" s="26">
        <v>22</v>
      </c>
      <c r="I43" s="28">
        <v>2.5999999999999999E-2</v>
      </c>
      <c r="J43" s="27">
        <f t="shared" si="0"/>
        <v>75</v>
      </c>
      <c r="L43" s="12">
        <v>0.56999999999999995</v>
      </c>
      <c r="M43" s="22">
        <v>33.4</v>
      </c>
      <c r="N43" s="26">
        <v>39</v>
      </c>
      <c r="O43">
        <v>20</v>
      </c>
      <c r="P43">
        <v>19</v>
      </c>
      <c r="Q43" s="12">
        <v>0.70526315789473681</v>
      </c>
      <c r="R43" s="2" t="s">
        <v>45</v>
      </c>
      <c r="S43" t="s">
        <v>47</v>
      </c>
      <c r="AA43" s="2">
        <v>3</v>
      </c>
      <c r="AB43" s="30">
        <v>3.24</v>
      </c>
      <c r="AC43" s="2">
        <v>76</v>
      </c>
      <c r="AD43" s="2">
        <f t="shared" si="1"/>
        <v>75</v>
      </c>
      <c r="AF43" s="2">
        <f t="shared" si="2"/>
        <v>25</v>
      </c>
      <c r="AG43" s="2">
        <v>42.1</v>
      </c>
      <c r="AH43">
        <v>28</v>
      </c>
      <c r="AI43">
        <v>29.9</v>
      </c>
      <c r="AJ43">
        <v>7.7</v>
      </c>
      <c r="AK43" s="11">
        <f t="shared" si="3"/>
        <v>5.4675324675324672</v>
      </c>
      <c r="AL43">
        <v>1.87</v>
      </c>
      <c r="AM43" s="29"/>
      <c r="AN43" s="2"/>
      <c r="AO43" s="2"/>
      <c r="AS43" s="12"/>
      <c r="AU43" s="8"/>
    </row>
    <row r="44" spans="1:47">
      <c r="A44" s="2" t="s">
        <v>221</v>
      </c>
      <c r="B44" s="2" t="s">
        <v>224</v>
      </c>
      <c r="C44" s="21">
        <v>7.4295</v>
      </c>
      <c r="D44" s="14">
        <f>24+4.5/12</f>
        <v>24.375</v>
      </c>
      <c r="E44">
        <v>0</v>
      </c>
      <c r="F44">
        <v>31</v>
      </c>
      <c r="G44">
        <v>48</v>
      </c>
      <c r="H44">
        <v>21</v>
      </c>
      <c r="I44" s="8">
        <v>0.04</v>
      </c>
      <c r="J44" s="27">
        <f t="shared" si="0"/>
        <v>69</v>
      </c>
      <c r="L44" s="12">
        <v>0.51</v>
      </c>
      <c r="M44" s="22">
        <v>33.700000000000003</v>
      </c>
      <c r="N44" s="26">
        <v>39</v>
      </c>
      <c r="O44">
        <v>22</v>
      </c>
      <c r="P44">
        <v>17</v>
      </c>
      <c r="Q44" s="12">
        <v>0.68823529411764728</v>
      </c>
      <c r="R44" s="2" t="s">
        <v>49</v>
      </c>
      <c r="S44" t="s">
        <v>46</v>
      </c>
      <c r="AA44" s="2">
        <v>3</v>
      </c>
      <c r="AB44" s="30">
        <v>3.34</v>
      </c>
      <c r="AC44" s="2">
        <v>85</v>
      </c>
      <c r="AD44" s="2">
        <f t="shared" si="1"/>
        <v>69</v>
      </c>
      <c r="AF44" s="2">
        <f t="shared" si="2"/>
        <v>31</v>
      </c>
      <c r="AG44" s="2">
        <v>60.9</v>
      </c>
      <c r="AH44">
        <v>42</v>
      </c>
      <c r="AI44">
        <v>36.5</v>
      </c>
      <c r="AJ44">
        <v>11.1</v>
      </c>
      <c r="AK44" s="11">
        <f t="shared" si="3"/>
        <v>5.4864864864864868</v>
      </c>
      <c r="AL44">
        <v>1.9</v>
      </c>
      <c r="AM44" s="29"/>
      <c r="AN44" s="2"/>
      <c r="AO44" s="2"/>
      <c r="AS44" s="12"/>
      <c r="AU44" s="8"/>
    </row>
    <row r="45" spans="1:47">
      <c r="A45" s="2" t="s">
        <v>222</v>
      </c>
      <c r="B45" s="2" t="s">
        <v>224</v>
      </c>
      <c r="C45" s="21">
        <v>7.5565000000000007</v>
      </c>
      <c r="D45" s="14">
        <f>24+9.5/12</f>
        <v>24.791666666666668</v>
      </c>
      <c r="E45">
        <v>0</v>
      </c>
      <c r="F45">
        <v>59</v>
      </c>
      <c r="G45">
        <v>22</v>
      </c>
      <c r="H45">
        <v>19</v>
      </c>
      <c r="I45" s="8">
        <v>0.12</v>
      </c>
      <c r="J45" s="27">
        <f t="shared" si="0"/>
        <v>41</v>
      </c>
      <c r="L45" s="12">
        <v>2.7</v>
      </c>
      <c r="M45" s="22">
        <v>29.4</v>
      </c>
      <c r="N45" s="26">
        <v>33</v>
      </c>
      <c r="O45">
        <v>19</v>
      </c>
      <c r="P45">
        <v>14</v>
      </c>
      <c r="Q45" s="12">
        <v>0.74285714285714277</v>
      </c>
      <c r="R45" s="2" t="s">
        <v>54</v>
      </c>
      <c r="S45" t="s">
        <v>55</v>
      </c>
      <c r="AA45" s="2">
        <v>3</v>
      </c>
      <c r="AB45" s="30">
        <v>3.37</v>
      </c>
      <c r="AC45" s="2">
        <v>87</v>
      </c>
      <c r="AD45" s="2">
        <f t="shared" si="1"/>
        <v>41</v>
      </c>
      <c r="AF45" s="2">
        <f t="shared" si="2"/>
        <v>59</v>
      </c>
      <c r="AG45" s="2">
        <v>36.5</v>
      </c>
      <c r="AH45">
        <v>33</v>
      </c>
      <c r="AI45">
        <v>25.5</v>
      </c>
      <c r="AJ45">
        <v>5.5</v>
      </c>
      <c r="AK45" s="11">
        <f t="shared" si="3"/>
        <v>6.6363636363636367</v>
      </c>
      <c r="AL45">
        <v>1.94</v>
      </c>
      <c r="AM45" s="29"/>
      <c r="AN45" s="2"/>
      <c r="AO45" s="2"/>
      <c r="AS45" s="12"/>
      <c r="AU45" s="8"/>
    </row>
    <row r="46" spans="1:47">
      <c r="A46" s="2" t="s">
        <v>225</v>
      </c>
      <c r="B46" s="2" t="s">
        <v>228</v>
      </c>
      <c r="C46" s="21">
        <v>7.7343000000000002</v>
      </c>
      <c r="D46" s="14">
        <f>25+4.5/12</f>
        <v>25.375</v>
      </c>
      <c r="E46">
        <v>0</v>
      </c>
      <c r="F46">
        <v>35</v>
      </c>
      <c r="G46">
        <v>45</v>
      </c>
      <c r="H46">
        <v>20</v>
      </c>
      <c r="I46" s="8">
        <v>4.4999999999999998E-2</v>
      </c>
      <c r="J46" s="27">
        <f t="shared" si="0"/>
        <v>65</v>
      </c>
      <c r="L46" s="12">
        <v>0.3</v>
      </c>
      <c r="M46" s="22">
        <v>34.4</v>
      </c>
      <c r="N46" s="26">
        <v>38</v>
      </c>
      <c r="O46">
        <v>21</v>
      </c>
      <c r="P46">
        <v>17</v>
      </c>
      <c r="Q46" s="12">
        <v>0.78823529411764692</v>
      </c>
      <c r="R46" s="2" t="s">
        <v>49</v>
      </c>
      <c r="S46" t="s">
        <v>46</v>
      </c>
      <c r="AA46" s="2">
        <v>3</v>
      </c>
      <c r="AB46" s="30">
        <v>3.35</v>
      </c>
      <c r="AC46" s="2">
        <v>86</v>
      </c>
      <c r="AD46" s="2">
        <f t="shared" si="1"/>
        <v>65</v>
      </c>
      <c r="AF46" s="2">
        <f t="shared" si="2"/>
        <v>35</v>
      </c>
      <c r="AG46" s="2">
        <v>27.7</v>
      </c>
      <c r="AH46">
        <v>35</v>
      </c>
      <c r="AI46">
        <v>16.600000000000001</v>
      </c>
      <c r="AJ46">
        <v>3.3</v>
      </c>
      <c r="AK46" s="11">
        <f t="shared" si="3"/>
        <v>8.3939393939393945</v>
      </c>
      <c r="AL46">
        <v>1.95</v>
      </c>
      <c r="AM46" s="29"/>
      <c r="AN46" s="2"/>
      <c r="AO46" s="2"/>
      <c r="AS46" s="12"/>
      <c r="AU46" s="8"/>
    </row>
    <row r="47" spans="1:47">
      <c r="A47" s="2" t="s">
        <v>226</v>
      </c>
      <c r="B47" s="2" t="s">
        <v>228</v>
      </c>
      <c r="C47" s="21">
        <v>8</v>
      </c>
      <c r="D47" s="14">
        <f>25+9.5/12</f>
        <v>25.791666666666668</v>
      </c>
      <c r="E47">
        <v>0</v>
      </c>
      <c r="F47">
        <v>22</v>
      </c>
      <c r="G47">
        <v>56</v>
      </c>
      <c r="H47">
        <v>22</v>
      </c>
      <c r="I47" s="8">
        <v>3.5999999999999997E-2</v>
      </c>
      <c r="J47" s="27">
        <f t="shared" si="0"/>
        <v>78</v>
      </c>
      <c r="L47" s="12">
        <v>0.28999999999999998</v>
      </c>
      <c r="M47" s="22">
        <v>33.6</v>
      </c>
      <c r="N47" s="26">
        <v>42</v>
      </c>
      <c r="O47">
        <v>20</v>
      </c>
      <c r="P47">
        <v>22</v>
      </c>
      <c r="Q47" s="12">
        <v>0.61818181818181828</v>
      </c>
      <c r="R47" s="2" t="s">
        <v>45</v>
      </c>
      <c r="S47" t="s">
        <v>47</v>
      </c>
      <c r="AA47" s="2">
        <v>3</v>
      </c>
      <c r="AB47" s="30">
        <v>3.33</v>
      </c>
      <c r="AC47" s="2">
        <v>85</v>
      </c>
      <c r="AD47" s="2">
        <f t="shared" si="1"/>
        <v>78</v>
      </c>
      <c r="AF47" s="2">
        <f t="shared" si="2"/>
        <v>22</v>
      </c>
      <c r="AG47" s="2">
        <v>25.5</v>
      </c>
      <c r="AH47">
        <v>28</v>
      </c>
      <c r="AI47">
        <v>16.600000000000001</v>
      </c>
      <c r="AJ47">
        <v>3.3</v>
      </c>
      <c r="AK47" s="11">
        <f t="shared" si="3"/>
        <v>7.7272727272727275</v>
      </c>
      <c r="AL47">
        <v>1.91</v>
      </c>
      <c r="AM47" s="29"/>
      <c r="AN47" s="2"/>
      <c r="AO47" s="2"/>
      <c r="AS47" s="12"/>
      <c r="AU47" s="8"/>
    </row>
    <row r="48" spans="1:47">
      <c r="A48" s="2" t="s">
        <v>238</v>
      </c>
      <c r="B48" s="2" t="s">
        <v>228</v>
      </c>
      <c r="C48" s="21">
        <v>8.2100000000000009</v>
      </c>
      <c r="D48" s="14">
        <f>26+2.5/12</f>
        <v>26.208333333333332</v>
      </c>
      <c r="E48">
        <v>0</v>
      </c>
      <c r="F48">
        <v>59</v>
      </c>
      <c r="G48">
        <v>24</v>
      </c>
      <c r="H48">
        <v>17</v>
      </c>
      <c r="I48">
        <v>9.2999999999999999E-2</v>
      </c>
      <c r="J48" s="27">
        <f t="shared" si="0"/>
        <v>41</v>
      </c>
      <c r="L48" s="12">
        <v>0.51</v>
      </c>
      <c r="M48" s="22">
        <v>33.6</v>
      </c>
      <c r="N48" s="26">
        <v>32</v>
      </c>
      <c r="O48">
        <v>25</v>
      </c>
      <c r="P48">
        <v>7</v>
      </c>
      <c r="Q48" s="12">
        <v>1.2285714285714289</v>
      </c>
      <c r="R48" s="2" t="s">
        <v>50</v>
      </c>
      <c r="S48" t="s">
        <v>53</v>
      </c>
      <c r="AA48" s="2">
        <v>3</v>
      </c>
      <c r="AB48" s="30">
        <v>3.39</v>
      </c>
      <c r="AC48" s="2">
        <v>89</v>
      </c>
      <c r="AD48" s="2">
        <f t="shared" si="1"/>
        <v>41</v>
      </c>
      <c r="AF48" s="2">
        <f t="shared" si="2"/>
        <v>59</v>
      </c>
      <c r="AG48" s="2">
        <v>26.6</v>
      </c>
      <c r="AH48">
        <v>28</v>
      </c>
      <c r="AI48">
        <v>18.8</v>
      </c>
      <c r="AJ48">
        <v>4.4000000000000004</v>
      </c>
      <c r="AK48" s="11">
        <f t="shared" si="3"/>
        <v>6.045454545454545</v>
      </c>
      <c r="AL48">
        <v>1.9</v>
      </c>
      <c r="AM48" s="29"/>
      <c r="AN48" s="2"/>
      <c r="AO48" s="2"/>
      <c r="AS48" s="12"/>
    </row>
    <row r="49" spans="1:47">
      <c r="A49" s="2" t="s">
        <v>239</v>
      </c>
      <c r="B49" s="2" t="s">
        <v>228</v>
      </c>
      <c r="C49" s="21">
        <v>8.2899999999999991</v>
      </c>
      <c r="D49" s="14">
        <f>26+7/12</f>
        <v>26.583333333333332</v>
      </c>
      <c r="E49">
        <v>0</v>
      </c>
      <c r="F49">
        <v>75</v>
      </c>
      <c r="G49">
        <v>12</v>
      </c>
      <c r="H49">
        <v>13</v>
      </c>
      <c r="I49">
        <v>0.17199999999999999</v>
      </c>
      <c r="J49" s="27">
        <f t="shared" si="0"/>
        <v>25</v>
      </c>
      <c r="L49" s="12">
        <v>1</v>
      </c>
      <c r="M49" s="22">
        <v>29</v>
      </c>
      <c r="N49" s="26">
        <v>28</v>
      </c>
      <c r="O49">
        <v>24</v>
      </c>
      <c r="P49">
        <v>4</v>
      </c>
      <c r="Q49" s="12">
        <v>1.25</v>
      </c>
      <c r="R49" s="2" t="s">
        <v>50</v>
      </c>
      <c r="S49" t="s">
        <v>53</v>
      </c>
      <c r="AA49" s="2">
        <v>3</v>
      </c>
      <c r="AB49" s="30">
        <v>3.32</v>
      </c>
      <c r="AC49" s="2">
        <v>83</v>
      </c>
      <c r="AD49" s="2">
        <f t="shared" si="1"/>
        <v>25</v>
      </c>
      <c r="AF49" s="2">
        <f t="shared" si="2"/>
        <v>75</v>
      </c>
      <c r="AG49" s="13" t="s">
        <v>28</v>
      </c>
      <c r="AH49" s="13" t="s">
        <v>28</v>
      </c>
      <c r="AI49" s="13" t="s">
        <v>28</v>
      </c>
      <c r="AJ49" s="13" t="s">
        <v>28</v>
      </c>
      <c r="AK49" s="13" t="s">
        <v>28</v>
      </c>
      <c r="AL49">
        <v>1.93</v>
      </c>
      <c r="AM49" s="29"/>
      <c r="AN49" s="2"/>
      <c r="AO49" s="2"/>
      <c r="AS49" s="12"/>
    </row>
    <row r="50" spans="1:47">
      <c r="A50" s="2" t="s">
        <v>227</v>
      </c>
      <c r="B50" s="2" t="s">
        <v>228</v>
      </c>
      <c r="C50" s="21">
        <v>8.3699999999999992</v>
      </c>
      <c r="D50" s="14">
        <f>26+10.5/12</f>
        <v>26.875</v>
      </c>
      <c r="E50">
        <v>0</v>
      </c>
      <c r="F50">
        <v>64</v>
      </c>
      <c r="G50">
        <v>24</v>
      </c>
      <c r="H50">
        <v>12</v>
      </c>
      <c r="I50">
        <v>0.104</v>
      </c>
      <c r="J50" s="27">
        <f t="shared" si="0"/>
        <v>36</v>
      </c>
      <c r="L50" s="12">
        <v>0.6</v>
      </c>
      <c r="N50" s="26">
        <v>28</v>
      </c>
      <c r="O50">
        <v>25</v>
      </c>
      <c r="P50">
        <v>3</v>
      </c>
      <c r="R50" s="2" t="s">
        <v>50</v>
      </c>
      <c r="S50" t="s">
        <v>53</v>
      </c>
      <c r="AA50" s="2">
        <v>3</v>
      </c>
      <c r="AB50" s="30">
        <v>3.31</v>
      </c>
      <c r="AC50" s="2">
        <v>83</v>
      </c>
      <c r="AD50" s="2">
        <f t="shared" si="1"/>
        <v>36</v>
      </c>
      <c r="AF50" s="2">
        <f t="shared" si="2"/>
        <v>64</v>
      </c>
      <c r="AG50" s="13" t="s">
        <v>28</v>
      </c>
      <c r="AH50" s="13" t="s">
        <v>28</v>
      </c>
      <c r="AI50" s="13" t="s">
        <v>28</v>
      </c>
      <c r="AJ50" s="13" t="s">
        <v>28</v>
      </c>
      <c r="AK50" s="13" t="s">
        <v>28</v>
      </c>
      <c r="AL50">
        <v>1.93</v>
      </c>
      <c r="AM50" s="29"/>
      <c r="AN50" s="2"/>
      <c r="AO50" s="2"/>
      <c r="AS50" s="12"/>
    </row>
    <row r="51" spans="1:47">
      <c r="A51" s="2" t="s">
        <v>232</v>
      </c>
      <c r="B51" s="2" t="s">
        <v>229</v>
      </c>
      <c r="C51" s="21">
        <v>8.4499999999999993</v>
      </c>
      <c r="D51" s="14">
        <f>27+4.5/12</f>
        <v>27.375</v>
      </c>
      <c r="E51">
        <v>0</v>
      </c>
      <c r="F51">
        <v>73</v>
      </c>
      <c r="G51">
        <v>15</v>
      </c>
      <c r="H51">
        <v>12</v>
      </c>
      <c r="I51" s="8">
        <v>0.17</v>
      </c>
      <c r="J51" s="27">
        <f t="shared" si="0"/>
        <v>27</v>
      </c>
      <c r="L51" s="12">
        <v>1.8</v>
      </c>
      <c r="M51" s="22">
        <v>32</v>
      </c>
      <c r="N51" s="26">
        <v>28</v>
      </c>
      <c r="O51">
        <v>24</v>
      </c>
      <c r="P51">
        <v>4</v>
      </c>
      <c r="Q51" s="12">
        <v>2</v>
      </c>
      <c r="R51" s="2" t="s">
        <v>50</v>
      </c>
      <c r="S51" t="s">
        <v>53</v>
      </c>
      <c r="AA51" s="2">
        <v>4</v>
      </c>
      <c r="AB51" s="30">
        <v>2.77</v>
      </c>
      <c r="AC51" s="2">
        <v>44</v>
      </c>
      <c r="AD51" s="2">
        <f t="shared" si="1"/>
        <v>27</v>
      </c>
      <c r="AF51" s="2">
        <f t="shared" si="2"/>
        <v>73</v>
      </c>
      <c r="AG51" s="13" t="s">
        <v>28</v>
      </c>
      <c r="AH51" s="13" t="s">
        <v>28</v>
      </c>
      <c r="AI51" s="13" t="s">
        <v>28</v>
      </c>
      <c r="AJ51" s="13" t="s">
        <v>28</v>
      </c>
      <c r="AK51" s="13" t="s">
        <v>28</v>
      </c>
      <c r="AL51" s="13" t="s">
        <v>28</v>
      </c>
      <c r="AM51" s="29"/>
      <c r="AN51" s="2"/>
      <c r="AO51" s="2"/>
      <c r="AS51" s="12"/>
      <c r="AU51" s="8"/>
    </row>
    <row r="52" spans="1:47">
      <c r="A52" s="2" t="s">
        <v>240</v>
      </c>
      <c r="B52" s="2" t="s">
        <v>229</v>
      </c>
      <c r="C52" s="21">
        <v>8.5299999999999994</v>
      </c>
      <c r="D52" s="14">
        <f>27+0.583333333333333</f>
        <v>27.583333333333332</v>
      </c>
      <c r="E52">
        <v>0</v>
      </c>
      <c r="F52">
        <v>72</v>
      </c>
      <c r="G52" s="26">
        <v>21</v>
      </c>
      <c r="H52" s="26">
        <v>7</v>
      </c>
      <c r="I52" s="8">
        <v>0.15</v>
      </c>
      <c r="J52" s="27">
        <f t="shared" si="0"/>
        <v>28</v>
      </c>
      <c r="K52">
        <f>0.19/0.011</f>
        <v>17.272727272727273</v>
      </c>
      <c r="L52" s="12">
        <v>2.5</v>
      </c>
      <c r="M52" s="22">
        <v>32</v>
      </c>
      <c r="N52" s="37"/>
      <c r="R52" s="2" t="s">
        <v>50</v>
      </c>
      <c r="S52" t="s">
        <v>53</v>
      </c>
      <c r="AA52" s="2">
        <v>4</v>
      </c>
      <c r="AB52" s="30">
        <v>2.79</v>
      </c>
      <c r="AC52" s="2">
        <v>45</v>
      </c>
      <c r="AD52" s="2">
        <f t="shared" si="1"/>
        <v>28</v>
      </c>
      <c r="AF52" s="2">
        <f t="shared" si="2"/>
        <v>72</v>
      </c>
      <c r="AG52" s="2">
        <v>25.5</v>
      </c>
      <c r="AH52">
        <v>24</v>
      </c>
      <c r="AI52" s="25">
        <v>19.899999999999999</v>
      </c>
      <c r="AJ52" s="25">
        <v>2.2000000000000002</v>
      </c>
      <c r="AK52" s="11">
        <f>+AG52/AJ52</f>
        <v>11.59090909090909</v>
      </c>
      <c r="AL52">
        <v>1.94</v>
      </c>
      <c r="AM52" s="29"/>
      <c r="AN52" s="2"/>
      <c r="AO52" s="2"/>
      <c r="AS52" s="12"/>
      <c r="AU52" s="8"/>
    </row>
    <row r="53" spans="1:47">
      <c r="A53" s="2" t="s">
        <v>241</v>
      </c>
      <c r="B53" s="2" t="s">
        <v>229</v>
      </c>
      <c r="C53" s="21">
        <v>8.61</v>
      </c>
      <c r="D53" s="14">
        <f>27+0.916666666666667</f>
        <v>27.916666666666668</v>
      </c>
      <c r="E53">
        <v>0</v>
      </c>
      <c r="F53">
        <v>37</v>
      </c>
      <c r="G53">
        <v>46</v>
      </c>
      <c r="H53">
        <v>17</v>
      </c>
      <c r="I53">
        <v>5.3999999999999999E-2</v>
      </c>
      <c r="J53" s="27">
        <f t="shared" si="0"/>
        <v>63</v>
      </c>
      <c r="L53" s="12">
        <v>1.6</v>
      </c>
      <c r="M53" s="22">
        <v>33.5</v>
      </c>
      <c r="N53" s="26">
        <v>33</v>
      </c>
      <c r="O53">
        <v>22</v>
      </c>
      <c r="P53">
        <v>11</v>
      </c>
      <c r="Q53" s="12">
        <v>1.0454545454545454</v>
      </c>
      <c r="R53" s="2" t="s">
        <v>49</v>
      </c>
      <c r="S53" t="s">
        <v>46</v>
      </c>
      <c r="AA53" s="2">
        <v>3.67</v>
      </c>
      <c r="AB53" s="30">
        <v>2.93</v>
      </c>
      <c r="AC53" s="2">
        <v>54</v>
      </c>
      <c r="AD53" s="2">
        <f t="shared" si="1"/>
        <v>63</v>
      </c>
      <c r="AF53" s="2">
        <f t="shared" si="2"/>
        <v>37</v>
      </c>
      <c r="AG53" s="2">
        <v>43.2</v>
      </c>
      <c r="AH53">
        <v>23</v>
      </c>
      <c r="AI53" s="25">
        <v>28.8</v>
      </c>
      <c r="AJ53" s="25">
        <v>5.5</v>
      </c>
      <c r="AK53" s="11">
        <f>+AG53/AJ53</f>
        <v>7.8545454545454554</v>
      </c>
      <c r="AL53">
        <v>1.94</v>
      </c>
      <c r="AM53" s="29"/>
      <c r="AN53" s="2"/>
      <c r="AO53" s="2"/>
      <c r="AS53" s="12"/>
    </row>
    <row r="54" spans="1:47">
      <c r="A54" s="2" t="s">
        <v>242</v>
      </c>
      <c r="B54" s="2" t="s">
        <v>229</v>
      </c>
      <c r="C54" s="21">
        <v>8.69</v>
      </c>
      <c r="D54" s="14">
        <f>28+3.25/12</f>
        <v>28.270833333333332</v>
      </c>
      <c r="E54">
        <v>0</v>
      </c>
      <c r="F54">
        <v>43</v>
      </c>
      <c r="G54" s="26">
        <v>41</v>
      </c>
      <c r="H54" s="26">
        <v>16</v>
      </c>
      <c r="I54">
        <v>5.8000000000000003E-2</v>
      </c>
      <c r="J54" s="27">
        <f t="shared" si="0"/>
        <v>57</v>
      </c>
      <c r="L54" s="12">
        <v>0.9</v>
      </c>
      <c r="N54" s="37"/>
      <c r="R54" s="2" t="s">
        <v>50</v>
      </c>
      <c r="S54" t="s">
        <v>53</v>
      </c>
      <c r="AA54" s="2">
        <v>4.33</v>
      </c>
      <c r="AB54" s="30">
        <v>2.66</v>
      </c>
      <c r="AC54" s="2">
        <v>41</v>
      </c>
      <c r="AD54" s="2">
        <f t="shared" si="1"/>
        <v>57</v>
      </c>
      <c r="AF54" s="2">
        <f t="shared" si="2"/>
        <v>43</v>
      </c>
      <c r="AG54" s="13" t="s">
        <v>28</v>
      </c>
      <c r="AH54" s="13" t="s">
        <v>28</v>
      </c>
      <c r="AI54" s="13" t="s">
        <v>28</v>
      </c>
      <c r="AJ54" s="13" t="s">
        <v>28</v>
      </c>
      <c r="AK54" s="13" t="s">
        <v>28</v>
      </c>
      <c r="AL54">
        <v>1.85</v>
      </c>
      <c r="AM54" s="29"/>
      <c r="AN54" s="2"/>
      <c r="AO54" s="2"/>
      <c r="AS54" s="12"/>
    </row>
    <row r="55" spans="1:47">
      <c r="A55" s="2" t="s">
        <v>243</v>
      </c>
      <c r="B55" s="2" t="s">
        <v>229</v>
      </c>
      <c r="C55" s="21">
        <v>8.77</v>
      </c>
      <c r="D55" s="14">
        <f>28+5.75/12</f>
        <v>28.479166666666668</v>
      </c>
      <c r="E55">
        <v>0</v>
      </c>
      <c r="F55" s="26">
        <v>60</v>
      </c>
      <c r="G55" s="26">
        <v>29</v>
      </c>
      <c r="H55" s="26">
        <v>11</v>
      </c>
      <c r="I55" s="8">
        <v>0.11</v>
      </c>
      <c r="J55" s="27">
        <f t="shared" si="0"/>
        <v>40</v>
      </c>
      <c r="L55" s="12">
        <v>1.1000000000000001</v>
      </c>
      <c r="M55" s="22">
        <v>37.799999999999997</v>
      </c>
      <c r="N55" s="37"/>
      <c r="R55" s="2" t="s">
        <v>50</v>
      </c>
      <c r="S55" t="s">
        <v>53</v>
      </c>
      <c r="AA55" s="2">
        <v>4.33</v>
      </c>
      <c r="AB55" s="30">
        <v>2.64</v>
      </c>
      <c r="AC55" s="2">
        <v>39</v>
      </c>
      <c r="AD55" s="2">
        <f t="shared" si="1"/>
        <v>40</v>
      </c>
      <c r="AF55" s="2">
        <f t="shared" si="2"/>
        <v>60</v>
      </c>
      <c r="AG55" s="2">
        <v>33.200000000000003</v>
      </c>
      <c r="AH55">
        <v>26</v>
      </c>
      <c r="AI55" s="13" t="s">
        <v>28</v>
      </c>
      <c r="AJ55" s="25">
        <v>4.4000000000000004</v>
      </c>
      <c r="AK55" s="11">
        <f>+AG55/AJ55</f>
        <v>7.5454545454545459</v>
      </c>
      <c r="AL55">
        <v>1.85</v>
      </c>
      <c r="AM55" s="29"/>
      <c r="AN55" s="2"/>
      <c r="AO55" s="2"/>
      <c r="AS55" s="12"/>
      <c r="AU55" s="8"/>
    </row>
    <row r="56" spans="1:47">
      <c r="A56" s="2" t="s">
        <v>244</v>
      </c>
      <c r="B56" s="2" t="s">
        <v>229</v>
      </c>
      <c r="C56" s="21">
        <v>8.85</v>
      </c>
      <c r="D56" s="14">
        <f>28+8.5/12</f>
        <v>28.708333333333332</v>
      </c>
      <c r="E56">
        <v>0</v>
      </c>
      <c r="F56">
        <v>64</v>
      </c>
      <c r="G56">
        <v>24</v>
      </c>
      <c r="H56">
        <v>12</v>
      </c>
      <c r="I56">
        <v>0.104</v>
      </c>
      <c r="J56" s="27">
        <f t="shared" si="0"/>
        <v>36</v>
      </c>
      <c r="L56" s="12">
        <v>0.87</v>
      </c>
      <c r="N56">
        <v>28</v>
      </c>
      <c r="O56">
        <v>23</v>
      </c>
      <c r="P56">
        <v>5</v>
      </c>
      <c r="R56" s="2" t="s">
        <v>50</v>
      </c>
      <c r="S56" t="s">
        <v>53</v>
      </c>
      <c r="AA56" s="2">
        <v>3.67</v>
      </c>
      <c r="AB56" s="30">
        <v>2.88</v>
      </c>
      <c r="AC56" s="2">
        <v>52</v>
      </c>
      <c r="AD56" s="2">
        <f t="shared" si="1"/>
        <v>36</v>
      </c>
      <c r="AF56" s="2">
        <f t="shared" si="2"/>
        <v>64</v>
      </c>
      <c r="AG56" s="13" t="s">
        <v>28</v>
      </c>
      <c r="AH56" s="13" t="s">
        <v>28</v>
      </c>
      <c r="AI56" s="13" t="s">
        <v>28</v>
      </c>
      <c r="AJ56" s="13" t="s">
        <v>28</v>
      </c>
      <c r="AK56" s="13" t="s">
        <v>28</v>
      </c>
      <c r="AL56">
        <v>1.92</v>
      </c>
      <c r="AM56" s="29"/>
      <c r="AN56" s="2"/>
      <c r="AO56" s="2"/>
      <c r="AS56" s="12"/>
    </row>
    <row r="57" spans="1:47">
      <c r="A57" s="2" t="s">
        <v>245</v>
      </c>
      <c r="B57" s="2" t="s">
        <v>229</v>
      </c>
      <c r="C57" s="21">
        <v>8.93</v>
      </c>
      <c r="D57" s="14">
        <f>28+0.916666666666667</f>
        <v>28.916666666666668</v>
      </c>
      <c r="E57">
        <v>0</v>
      </c>
      <c r="F57">
        <v>43</v>
      </c>
      <c r="G57">
        <v>40</v>
      </c>
      <c r="H57">
        <v>17</v>
      </c>
      <c r="I57">
        <v>5.8999999999999997E-2</v>
      </c>
      <c r="J57" s="27">
        <f t="shared" si="0"/>
        <v>57</v>
      </c>
      <c r="L57" s="12">
        <v>0.8</v>
      </c>
      <c r="N57" s="26">
        <v>34</v>
      </c>
      <c r="O57">
        <v>22</v>
      </c>
      <c r="P57">
        <v>12</v>
      </c>
      <c r="R57" s="2" t="s">
        <v>49</v>
      </c>
      <c r="S57" t="s">
        <v>46</v>
      </c>
      <c r="AA57" s="2">
        <v>3.33</v>
      </c>
      <c r="AB57" s="30">
        <v>3.13</v>
      </c>
      <c r="AC57" s="2">
        <v>69</v>
      </c>
      <c r="AD57" s="2">
        <f t="shared" si="1"/>
        <v>57</v>
      </c>
      <c r="AF57" s="2">
        <f t="shared" si="2"/>
        <v>43</v>
      </c>
      <c r="AG57" s="13" t="s">
        <v>28</v>
      </c>
      <c r="AH57" s="13" t="s">
        <v>28</v>
      </c>
      <c r="AI57" s="13" t="s">
        <v>28</v>
      </c>
      <c r="AJ57" s="13" t="s">
        <v>28</v>
      </c>
      <c r="AK57" s="13" t="s">
        <v>28</v>
      </c>
      <c r="AL57">
        <v>1.92</v>
      </c>
      <c r="AM57" s="29"/>
      <c r="AN57" s="2"/>
      <c r="AO57" s="2"/>
      <c r="AS57" s="12"/>
    </row>
    <row r="58" spans="1:47">
      <c r="A58" s="2" t="s">
        <v>248</v>
      </c>
      <c r="B58" s="2" t="s">
        <v>230</v>
      </c>
      <c r="C58" s="21">
        <v>9.01</v>
      </c>
      <c r="D58" s="14">
        <f>29+0.166666666666667</f>
        <v>29.166666666666668</v>
      </c>
      <c r="E58">
        <v>0</v>
      </c>
      <c r="F58">
        <v>57</v>
      </c>
      <c r="G58">
        <v>31</v>
      </c>
      <c r="H58">
        <v>12</v>
      </c>
      <c r="I58">
        <v>8.8999999999999996E-2</v>
      </c>
      <c r="J58" s="27">
        <f t="shared" si="0"/>
        <v>43</v>
      </c>
      <c r="L58" s="12">
        <v>1</v>
      </c>
      <c r="M58" s="22">
        <v>35.6</v>
      </c>
      <c r="N58" s="26">
        <v>34</v>
      </c>
      <c r="O58" s="27">
        <v>24.9</v>
      </c>
      <c r="P58" s="27">
        <v>9.1000000000000014</v>
      </c>
      <c r="Q58" s="12">
        <v>1.1758241758241759</v>
      </c>
      <c r="R58" s="2" t="s">
        <v>50</v>
      </c>
      <c r="S58" t="s">
        <v>53</v>
      </c>
      <c r="AA58" s="2">
        <v>3</v>
      </c>
      <c r="AB58" s="30">
        <v>3.26</v>
      </c>
      <c r="AC58" s="2">
        <v>78</v>
      </c>
      <c r="AD58" s="2">
        <f t="shared" si="1"/>
        <v>43</v>
      </c>
      <c r="AF58" s="2">
        <f t="shared" si="2"/>
        <v>57</v>
      </c>
      <c r="AG58" s="2">
        <v>16.600000000000001</v>
      </c>
      <c r="AH58">
        <v>24</v>
      </c>
      <c r="AI58" s="25">
        <v>10</v>
      </c>
      <c r="AJ58" s="25">
        <v>2.2000000000000002</v>
      </c>
      <c r="AK58" s="11">
        <f t="shared" ref="AK58:AK82" si="4">+AG58/AJ58</f>
        <v>7.5454545454545459</v>
      </c>
      <c r="AL58">
        <v>1.9</v>
      </c>
      <c r="AM58" s="29"/>
      <c r="AN58" s="2"/>
      <c r="AO58" s="2"/>
      <c r="AS58" s="12"/>
    </row>
    <row r="59" spans="1:47">
      <c r="A59" s="2" t="s">
        <v>249</v>
      </c>
      <c r="B59" s="2" t="s">
        <v>230</v>
      </c>
      <c r="C59" s="21">
        <v>9.09</v>
      </c>
      <c r="D59" s="14">
        <f>29+6.5/12</f>
        <v>29.541666666666668</v>
      </c>
      <c r="E59">
        <v>3</v>
      </c>
      <c r="F59">
        <v>62</v>
      </c>
      <c r="G59" s="26">
        <v>25</v>
      </c>
      <c r="H59" s="26">
        <v>10</v>
      </c>
      <c r="I59">
        <v>0.13300000000000001</v>
      </c>
      <c r="J59" s="27">
        <f t="shared" si="0"/>
        <v>35</v>
      </c>
      <c r="K59">
        <f>0.2/0.005</f>
        <v>40</v>
      </c>
      <c r="L59" s="12">
        <v>8.1</v>
      </c>
      <c r="M59" s="22">
        <v>30.2</v>
      </c>
      <c r="N59" s="37"/>
      <c r="R59" s="2" t="s">
        <v>50</v>
      </c>
      <c r="S59" t="s">
        <v>53</v>
      </c>
      <c r="AA59" s="2">
        <v>3</v>
      </c>
      <c r="AB59" s="30">
        <v>3.18</v>
      </c>
      <c r="AC59" s="2">
        <v>72</v>
      </c>
      <c r="AD59" s="2">
        <f t="shared" si="1"/>
        <v>35</v>
      </c>
      <c r="AF59" s="2">
        <f t="shared" si="2"/>
        <v>65</v>
      </c>
      <c r="AG59" s="2">
        <v>27.7</v>
      </c>
      <c r="AH59">
        <v>21</v>
      </c>
      <c r="AI59" s="25">
        <v>15.5</v>
      </c>
      <c r="AJ59" s="25">
        <v>3.3</v>
      </c>
      <c r="AK59" s="11">
        <f t="shared" si="4"/>
        <v>8.3939393939393945</v>
      </c>
      <c r="AL59">
        <v>1.92</v>
      </c>
      <c r="AM59" s="29"/>
      <c r="AN59" s="2"/>
      <c r="AO59" s="2"/>
      <c r="AS59" s="12"/>
    </row>
    <row r="60" spans="1:47">
      <c r="A60" s="2" t="s">
        <v>233</v>
      </c>
      <c r="B60" s="2" t="s">
        <v>230</v>
      </c>
      <c r="C60" s="21">
        <v>9.17</v>
      </c>
      <c r="D60" s="14">
        <f>29+10.5/12</f>
        <v>29.875</v>
      </c>
      <c r="E60">
        <v>0</v>
      </c>
      <c r="F60">
        <v>54</v>
      </c>
      <c r="G60" s="26">
        <v>31</v>
      </c>
      <c r="H60" s="26">
        <v>15</v>
      </c>
      <c r="I60">
        <v>8.3000000000000004E-2</v>
      </c>
      <c r="J60" s="27">
        <f t="shared" si="0"/>
        <v>46</v>
      </c>
      <c r="L60" s="12">
        <v>0.4</v>
      </c>
      <c r="N60" s="26">
        <v>34</v>
      </c>
      <c r="O60">
        <v>23</v>
      </c>
      <c r="P60">
        <v>11</v>
      </c>
      <c r="R60" s="2" t="s">
        <v>54</v>
      </c>
      <c r="S60" t="s">
        <v>55</v>
      </c>
      <c r="AA60" s="2">
        <v>3</v>
      </c>
      <c r="AB60" s="30">
        <v>3.24</v>
      </c>
      <c r="AC60" s="2">
        <v>76</v>
      </c>
      <c r="AD60" s="2">
        <f t="shared" si="1"/>
        <v>46</v>
      </c>
      <c r="AF60" s="2">
        <f t="shared" si="2"/>
        <v>54</v>
      </c>
      <c r="AG60" s="13" t="s">
        <v>28</v>
      </c>
      <c r="AH60" s="13" t="s">
        <v>28</v>
      </c>
      <c r="AI60" s="13" t="s">
        <v>28</v>
      </c>
      <c r="AJ60" s="13" t="s">
        <v>28</v>
      </c>
      <c r="AK60" s="13" t="s">
        <v>28</v>
      </c>
      <c r="AL60" s="13" t="s">
        <v>28</v>
      </c>
      <c r="AM60" s="29"/>
      <c r="AN60" s="2"/>
      <c r="AO60" s="2"/>
      <c r="AS60" s="12"/>
    </row>
    <row r="61" spans="1:47">
      <c r="A61" s="2" t="s">
        <v>234</v>
      </c>
      <c r="B61" s="2" t="s">
        <v>230</v>
      </c>
      <c r="C61" s="21">
        <v>9.25</v>
      </c>
      <c r="D61" s="14">
        <v>30.25</v>
      </c>
      <c r="E61">
        <v>0</v>
      </c>
      <c r="F61">
        <v>58</v>
      </c>
      <c r="G61" s="26">
        <v>30</v>
      </c>
      <c r="H61" s="26">
        <v>12</v>
      </c>
      <c r="I61">
        <v>9.1999999999999998E-2</v>
      </c>
      <c r="J61" s="27">
        <f t="shared" si="0"/>
        <v>42</v>
      </c>
      <c r="L61" s="12">
        <v>0.41</v>
      </c>
      <c r="M61" s="22">
        <v>29.5</v>
      </c>
      <c r="N61">
        <v>29</v>
      </c>
      <c r="O61">
        <v>21</v>
      </c>
      <c r="P61">
        <v>8</v>
      </c>
      <c r="Q61" s="12">
        <v>1.0625</v>
      </c>
      <c r="R61" s="2" t="s">
        <v>54</v>
      </c>
      <c r="S61" t="s">
        <v>55</v>
      </c>
      <c r="AA61" s="2">
        <v>3.67</v>
      </c>
      <c r="AB61" s="30">
        <v>2.88</v>
      </c>
      <c r="AC61" s="2">
        <v>51</v>
      </c>
      <c r="AD61" s="2">
        <f t="shared" si="1"/>
        <v>42</v>
      </c>
      <c r="AF61" s="2">
        <f t="shared" si="2"/>
        <v>58</v>
      </c>
      <c r="AG61" s="2">
        <v>21</v>
      </c>
      <c r="AH61">
        <v>35</v>
      </c>
      <c r="AI61" s="25">
        <v>13.3</v>
      </c>
      <c r="AJ61" s="25">
        <v>4.4000000000000004</v>
      </c>
      <c r="AK61" s="11">
        <f t="shared" si="4"/>
        <v>4.7727272727272725</v>
      </c>
      <c r="AL61">
        <v>1.94</v>
      </c>
      <c r="AM61" s="29"/>
      <c r="AN61" s="2"/>
      <c r="AO61" s="2"/>
      <c r="AS61" s="12"/>
    </row>
    <row r="62" spans="1:47">
      <c r="A62" s="2" t="s">
        <v>246</v>
      </c>
      <c r="B62" s="2" t="s">
        <v>230</v>
      </c>
      <c r="C62" s="21">
        <v>9.35</v>
      </c>
      <c r="D62" s="14">
        <f>30+7.5/12</f>
        <v>30.625</v>
      </c>
      <c r="E62">
        <v>0</v>
      </c>
      <c r="F62">
        <v>60</v>
      </c>
      <c r="G62" s="26">
        <v>28</v>
      </c>
      <c r="H62" s="26">
        <v>12</v>
      </c>
      <c r="I62">
        <v>9.8000000000000004E-2</v>
      </c>
      <c r="J62" s="27">
        <f t="shared" si="0"/>
        <v>40</v>
      </c>
      <c r="L62" s="12">
        <v>0.47</v>
      </c>
      <c r="M62" s="22">
        <v>29.6</v>
      </c>
      <c r="N62" s="26">
        <v>31</v>
      </c>
      <c r="O62">
        <v>24</v>
      </c>
      <c r="P62">
        <v>7</v>
      </c>
      <c r="Q62" s="12">
        <v>0.80000000000000016</v>
      </c>
      <c r="R62" s="2" t="s">
        <v>50</v>
      </c>
      <c r="S62" t="s">
        <v>53</v>
      </c>
      <c r="AA62" s="2">
        <v>3.5</v>
      </c>
      <c r="AB62" s="30">
        <v>3.05</v>
      </c>
      <c r="AC62" s="2">
        <v>63</v>
      </c>
      <c r="AD62" s="2">
        <f t="shared" si="1"/>
        <v>40</v>
      </c>
      <c r="AF62" s="2">
        <f t="shared" si="2"/>
        <v>60</v>
      </c>
      <c r="AG62" s="2">
        <v>56.4</v>
      </c>
      <c r="AH62">
        <v>36</v>
      </c>
      <c r="AI62" s="25">
        <v>33.200000000000003</v>
      </c>
      <c r="AJ62" s="25">
        <v>6.6</v>
      </c>
      <c r="AK62" s="11">
        <f t="shared" si="4"/>
        <v>8.545454545454545</v>
      </c>
      <c r="AL62">
        <v>1.95</v>
      </c>
      <c r="AM62" s="29"/>
      <c r="AN62" s="2"/>
      <c r="AO62" s="2"/>
      <c r="AS62" s="12"/>
    </row>
    <row r="63" spans="1:47">
      <c r="A63" s="2" t="s">
        <v>247</v>
      </c>
      <c r="B63" s="2" t="s">
        <v>230</v>
      </c>
      <c r="C63" s="21">
        <v>9.4499999999999993</v>
      </c>
      <c r="D63" s="14">
        <f>30+10.5/12</f>
        <v>30.875</v>
      </c>
      <c r="E63">
        <v>0</v>
      </c>
      <c r="F63">
        <v>48</v>
      </c>
      <c r="G63" s="26">
        <v>34</v>
      </c>
      <c r="H63" s="26">
        <v>18</v>
      </c>
      <c r="I63" s="8">
        <v>7.0000000000000007E-2</v>
      </c>
      <c r="J63" s="27">
        <f t="shared" si="0"/>
        <v>52</v>
      </c>
      <c r="L63" s="12">
        <v>0.4</v>
      </c>
      <c r="N63" s="26">
        <v>35</v>
      </c>
      <c r="O63">
        <v>21</v>
      </c>
      <c r="P63">
        <v>14</v>
      </c>
      <c r="R63" s="2" t="s">
        <v>49</v>
      </c>
      <c r="S63" t="s">
        <v>46</v>
      </c>
      <c r="AA63" s="2">
        <v>3.5</v>
      </c>
      <c r="AB63" s="30">
        <v>3.18</v>
      </c>
      <c r="AC63" s="2">
        <v>73</v>
      </c>
      <c r="AD63" s="2">
        <f t="shared" si="1"/>
        <v>52</v>
      </c>
      <c r="AF63" s="2">
        <f t="shared" si="2"/>
        <v>48</v>
      </c>
      <c r="AG63" s="13" t="s">
        <v>28</v>
      </c>
      <c r="AH63" s="13" t="s">
        <v>28</v>
      </c>
      <c r="AI63" s="13" t="s">
        <v>28</v>
      </c>
      <c r="AJ63" s="13" t="s">
        <v>28</v>
      </c>
      <c r="AK63" s="13" t="s">
        <v>28</v>
      </c>
      <c r="AL63" s="13" t="s">
        <v>28</v>
      </c>
      <c r="AM63" s="29"/>
      <c r="AN63" s="2"/>
      <c r="AO63" s="2"/>
      <c r="AS63" s="12"/>
      <c r="AU63" s="8"/>
    </row>
    <row r="64" spans="1:47">
      <c r="A64" s="2" t="s">
        <v>235</v>
      </c>
      <c r="B64" s="2" t="s">
        <v>231</v>
      </c>
      <c r="C64" s="21">
        <v>9.6</v>
      </c>
      <c r="D64" s="14">
        <f>31+0.333333333333333</f>
        <v>31.333333333333332</v>
      </c>
      <c r="E64">
        <v>0</v>
      </c>
      <c r="F64">
        <v>52</v>
      </c>
      <c r="G64" s="26">
        <v>30</v>
      </c>
      <c r="H64" s="26">
        <v>18</v>
      </c>
      <c r="I64">
        <v>7.8E-2</v>
      </c>
      <c r="J64" s="27">
        <f t="shared" si="0"/>
        <v>48</v>
      </c>
      <c r="L64" s="12">
        <v>0.41</v>
      </c>
      <c r="M64" s="22">
        <v>26.7</v>
      </c>
      <c r="N64" s="26">
        <v>33</v>
      </c>
      <c r="O64">
        <v>20</v>
      </c>
      <c r="P64">
        <v>13</v>
      </c>
      <c r="Q64" s="12">
        <v>0.51538461538461533</v>
      </c>
      <c r="R64" s="2" t="s">
        <v>54</v>
      </c>
      <c r="S64" t="s">
        <v>55</v>
      </c>
      <c r="AA64" s="2">
        <v>2.33</v>
      </c>
      <c r="AB64" s="30">
        <v>3.62</v>
      </c>
      <c r="AC64" s="2">
        <v>114</v>
      </c>
      <c r="AD64" s="2">
        <f t="shared" si="1"/>
        <v>48</v>
      </c>
      <c r="AF64" s="2">
        <f t="shared" si="2"/>
        <v>52</v>
      </c>
      <c r="AG64" s="2">
        <v>33.200000000000003</v>
      </c>
      <c r="AH64">
        <v>31</v>
      </c>
      <c r="AI64" s="25">
        <v>19.899999999999999</v>
      </c>
      <c r="AJ64" s="25">
        <v>6.6</v>
      </c>
      <c r="AK64" s="11">
        <f t="shared" si="4"/>
        <v>5.0303030303030312</v>
      </c>
      <c r="AL64">
        <v>1.89</v>
      </c>
      <c r="AM64" s="29"/>
      <c r="AN64" s="2"/>
      <c r="AO64" s="2"/>
      <c r="AS64" s="12"/>
    </row>
    <row r="65" spans="1:47">
      <c r="A65" s="2" t="s">
        <v>236</v>
      </c>
      <c r="B65" s="2" t="s">
        <v>231</v>
      </c>
      <c r="C65" s="21">
        <v>9.6774000000000004</v>
      </c>
      <c r="D65" s="14">
        <v>31.75</v>
      </c>
      <c r="E65">
        <v>0</v>
      </c>
      <c r="F65">
        <v>45</v>
      </c>
      <c r="G65" s="26">
        <v>35</v>
      </c>
      <c r="H65" s="26">
        <v>20</v>
      </c>
      <c r="I65" s="8">
        <v>0.06</v>
      </c>
      <c r="J65" s="27">
        <f t="shared" si="0"/>
        <v>55</v>
      </c>
      <c r="L65" s="12">
        <v>0.41</v>
      </c>
      <c r="M65" s="22">
        <v>26</v>
      </c>
      <c r="N65" s="26">
        <v>34</v>
      </c>
      <c r="O65">
        <v>20</v>
      </c>
      <c r="P65">
        <v>14</v>
      </c>
      <c r="Q65" s="12">
        <v>0.42857142857142855</v>
      </c>
      <c r="R65" s="2" t="s">
        <v>49</v>
      </c>
      <c r="S65" t="s">
        <v>46</v>
      </c>
      <c r="AA65" s="2">
        <v>2.5</v>
      </c>
      <c r="AB65" s="30">
        <v>3.65</v>
      </c>
      <c r="AC65" s="2">
        <v>114</v>
      </c>
      <c r="AD65" s="2">
        <f t="shared" si="1"/>
        <v>55</v>
      </c>
      <c r="AF65" s="2">
        <f t="shared" si="2"/>
        <v>45</v>
      </c>
      <c r="AG65" s="2">
        <v>43.2</v>
      </c>
      <c r="AH65">
        <v>29</v>
      </c>
      <c r="AI65" s="25">
        <v>33.200000000000003</v>
      </c>
      <c r="AJ65" s="25">
        <v>8.9</v>
      </c>
      <c r="AK65" s="11">
        <f t="shared" si="4"/>
        <v>4.8539325842696632</v>
      </c>
      <c r="AL65">
        <v>1.91</v>
      </c>
      <c r="AM65" s="29"/>
      <c r="AN65" s="2"/>
      <c r="AO65" s="2"/>
      <c r="AS65" s="12"/>
      <c r="AU65" s="8"/>
    </row>
    <row r="66" spans="1:47">
      <c r="A66" s="2" t="s">
        <v>237</v>
      </c>
      <c r="B66" s="2" t="s">
        <v>231</v>
      </c>
      <c r="C66" s="21">
        <v>9.8298000000000005</v>
      </c>
      <c r="D66" s="14">
        <v>32.25</v>
      </c>
      <c r="E66">
        <v>0</v>
      </c>
      <c r="F66">
        <v>48</v>
      </c>
      <c r="G66" s="26">
        <v>37</v>
      </c>
      <c r="H66" s="26">
        <v>15</v>
      </c>
      <c r="I66">
        <v>6.9000000000000006E-2</v>
      </c>
      <c r="J66" s="27">
        <f t="shared" si="0"/>
        <v>52</v>
      </c>
      <c r="L66" s="12">
        <v>0.35</v>
      </c>
      <c r="M66" s="22">
        <v>30.1</v>
      </c>
      <c r="N66" s="26">
        <v>33</v>
      </c>
      <c r="O66">
        <v>21</v>
      </c>
      <c r="P66">
        <v>12</v>
      </c>
      <c r="Q66" s="12">
        <v>0.75833333333333341</v>
      </c>
      <c r="R66" s="2" t="s">
        <v>49</v>
      </c>
      <c r="S66" t="s">
        <v>46</v>
      </c>
      <c r="AA66" s="2">
        <v>2.5</v>
      </c>
      <c r="AB66" s="30">
        <v>3.58</v>
      </c>
      <c r="AC66" s="2">
        <v>107</v>
      </c>
      <c r="AD66" s="2">
        <f t="shared" si="1"/>
        <v>52</v>
      </c>
      <c r="AF66" s="2">
        <f t="shared" si="2"/>
        <v>48</v>
      </c>
      <c r="AG66" s="2">
        <v>43.2</v>
      </c>
      <c r="AH66">
        <v>32</v>
      </c>
      <c r="AI66" s="25">
        <v>31</v>
      </c>
      <c r="AJ66" s="25">
        <v>7.7</v>
      </c>
      <c r="AK66" s="11">
        <f t="shared" si="4"/>
        <v>5.6103896103896105</v>
      </c>
      <c r="AL66">
        <v>1.9</v>
      </c>
      <c r="AM66" s="29"/>
      <c r="AN66" s="2"/>
      <c r="AO66" s="2"/>
      <c r="AS66" s="12"/>
    </row>
    <row r="67" spans="1:47">
      <c r="A67" s="2" t="s">
        <v>250</v>
      </c>
      <c r="B67" s="2" t="s">
        <v>231</v>
      </c>
      <c r="C67" s="21">
        <v>9.9441000000000006</v>
      </c>
      <c r="D67" s="14">
        <f>32+7.5/12</f>
        <v>32.625</v>
      </c>
      <c r="E67">
        <v>0</v>
      </c>
      <c r="F67">
        <v>43</v>
      </c>
      <c r="G67" s="26">
        <v>41</v>
      </c>
      <c r="H67" s="26">
        <v>16</v>
      </c>
      <c r="I67">
        <v>6.2E-2</v>
      </c>
      <c r="J67" s="27">
        <f t="shared" si="0"/>
        <v>57</v>
      </c>
      <c r="L67" s="12">
        <v>0.23</v>
      </c>
      <c r="M67" s="22">
        <v>36.200000000000003</v>
      </c>
      <c r="N67" s="26">
        <v>38</v>
      </c>
      <c r="O67">
        <v>22</v>
      </c>
      <c r="P67">
        <v>16</v>
      </c>
      <c r="Q67" s="12">
        <v>0.88750000000000018</v>
      </c>
      <c r="R67" s="2" t="s">
        <v>49</v>
      </c>
      <c r="S67" t="s">
        <v>46</v>
      </c>
      <c r="AA67" s="2">
        <v>2.5</v>
      </c>
      <c r="AB67" s="30">
        <v>3.71</v>
      </c>
      <c r="AC67" s="2">
        <v>121</v>
      </c>
      <c r="AD67" s="2">
        <f t="shared" si="1"/>
        <v>57</v>
      </c>
      <c r="AF67" s="2">
        <f t="shared" si="2"/>
        <v>43</v>
      </c>
      <c r="AG67" s="2">
        <v>28.8</v>
      </c>
      <c r="AH67">
        <v>22</v>
      </c>
      <c r="AI67" s="25">
        <v>21</v>
      </c>
      <c r="AJ67" s="25">
        <v>6.6</v>
      </c>
      <c r="AK67" s="11">
        <f t="shared" si="4"/>
        <v>4.3636363636363642</v>
      </c>
      <c r="AL67">
        <v>1.88</v>
      </c>
      <c r="AM67" s="29"/>
      <c r="AN67" s="2"/>
      <c r="AO67" s="2"/>
      <c r="AS67" s="12"/>
    </row>
    <row r="68" spans="1:47">
      <c r="A68" s="2" t="s">
        <v>251</v>
      </c>
      <c r="B68" s="2" t="s">
        <v>231</v>
      </c>
      <c r="C68" s="21">
        <v>10.020300000000001</v>
      </c>
      <c r="D68" s="14">
        <f>32+10.5/12</f>
        <v>32.875</v>
      </c>
      <c r="E68">
        <v>0</v>
      </c>
      <c r="F68">
        <v>18</v>
      </c>
      <c r="G68" s="26">
        <v>59</v>
      </c>
      <c r="H68" s="26">
        <v>23</v>
      </c>
      <c r="I68" s="28">
        <v>0.03</v>
      </c>
      <c r="J68" s="27">
        <f t="shared" si="0"/>
        <v>82</v>
      </c>
      <c r="L68" s="12">
        <v>0.19</v>
      </c>
      <c r="N68" s="26">
        <v>42</v>
      </c>
      <c r="O68">
        <v>23</v>
      </c>
      <c r="P68">
        <v>19</v>
      </c>
      <c r="R68" s="2" t="s">
        <v>45</v>
      </c>
      <c r="S68" t="s">
        <v>47</v>
      </c>
      <c r="AA68" s="2">
        <v>2</v>
      </c>
      <c r="AB68" s="30">
        <v>3.69</v>
      </c>
      <c r="AC68" s="2">
        <v>119</v>
      </c>
      <c r="AD68" s="2">
        <f t="shared" si="1"/>
        <v>82</v>
      </c>
      <c r="AF68" s="2">
        <f t="shared" si="2"/>
        <v>18</v>
      </c>
      <c r="AG68" s="13" t="s">
        <v>28</v>
      </c>
      <c r="AH68" s="13" t="s">
        <v>28</v>
      </c>
      <c r="AI68" s="13" t="s">
        <v>28</v>
      </c>
      <c r="AJ68" s="13" t="s">
        <v>28</v>
      </c>
      <c r="AK68" s="13" t="s">
        <v>28</v>
      </c>
      <c r="AL68" s="13" t="s">
        <v>28</v>
      </c>
      <c r="AM68" s="29"/>
      <c r="AN68" s="2"/>
      <c r="AO68" s="2"/>
      <c r="AS68" s="12"/>
      <c r="AU68" s="28"/>
    </row>
    <row r="69" spans="1:47">
      <c r="A69" s="2" t="s">
        <v>30</v>
      </c>
      <c r="B69" s="2" t="s">
        <v>252</v>
      </c>
      <c r="C69" s="21">
        <v>10.1473</v>
      </c>
      <c r="D69" s="14">
        <f>33+3.5/12</f>
        <v>33.291666666666664</v>
      </c>
      <c r="E69">
        <v>0</v>
      </c>
      <c r="F69">
        <v>27</v>
      </c>
      <c r="G69" s="26">
        <v>49</v>
      </c>
      <c r="H69" s="26">
        <v>24</v>
      </c>
      <c r="I69" s="26">
        <v>3.5999999999999997E-2</v>
      </c>
      <c r="J69" s="27">
        <f t="shared" ref="J69:J84" si="5">100-(+E69+F69)</f>
        <v>73</v>
      </c>
      <c r="L69" s="12">
        <v>0.18</v>
      </c>
      <c r="M69" s="22">
        <v>31.2</v>
      </c>
      <c r="N69" s="26">
        <v>42</v>
      </c>
      <c r="O69">
        <v>21</v>
      </c>
      <c r="P69">
        <v>21</v>
      </c>
      <c r="Q69" s="12">
        <v>0.48571428571428565</v>
      </c>
      <c r="R69" s="2" t="s">
        <v>45</v>
      </c>
      <c r="S69" t="s">
        <v>47</v>
      </c>
      <c r="AA69" s="2">
        <v>3</v>
      </c>
      <c r="AB69" s="30">
        <v>3.43</v>
      </c>
      <c r="AC69" s="2">
        <v>93</v>
      </c>
      <c r="AD69" s="2">
        <f t="shared" ref="AD69:AD84" si="6">100-F69-E69</f>
        <v>73</v>
      </c>
      <c r="AF69" s="2">
        <f t="shared" ref="AF69:AF84" si="7">+E69+F69</f>
        <v>27</v>
      </c>
      <c r="AG69" s="2">
        <v>48.7</v>
      </c>
      <c r="AH69">
        <v>28</v>
      </c>
      <c r="AI69" s="25">
        <v>37.6</v>
      </c>
      <c r="AJ69" s="25">
        <v>11.1</v>
      </c>
      <c r="AK69" s="11">
        <f t="shared" si="4"/>
        <v>4.3873873873873874</v>
      </c>
      <c r="AL69">
        <v>1.85</v>
      </c>
      <c r="AM69" s="29"/>
      <c r="AN69" s="2"/>
      <c r="AO69" s="2"/>
      <c r="AS69" s="12"/>
      <c r="AU69" s="26"/>
    </row>
    <row r="70" spans="1:47">
      <c r="A70" s="2" t="s">
        <v>31</v>
      </c>
      <c r="B70" s="2" t="s">
        <v>252</v>
      </c>
      <c r="C70" s="21">
        <v>10.287000000000001</v>
      </c>
      <c r="D70" s="14">
        <f>33+0.75</f>
        <v>33.75</v>
      </c>
      <c r="E70">
        <v>0</v>
      </c>
      <c r="F70">
        <v>43</v>
      </c>
      <c r="G70" s="26">
        <v>37</v>
      </c>
      <c r="H70" s="26">
        <v>20</v>
      </c>
      <c r="I70">
        <v>6.3E-2</v>
      </c>
      <c r="J70" s="27">
        <f t="shared" si="5"/>
        <v>57</v>
      </c>
      <c r="L70" s="12">
        <v>0.22</v>
      </c>
      <c r="M70" s="22">
        <v>33.1</v>
      </c>
      <c r="N70" s="26">
        <v>36</v>
      </c>
      <c r="O70">
        <v>21</v>
      </c>
      <c r="P70">
        <v>15</v>
      </c>
      <c r="Q70" s="12">
        <v>0.80666666666666675</v>
      </c>
      <c r="R70" s="2" t="s">
        <v>49</v>
      </c>
      <c r="S70" t="s">
        <v>46</v>
      </c>
      <c r="AA70" s="2">
        <v>3</v>
      </c>
      <c r="AB70" s="30">
        <v>3.39</v>
      </c>
      <c r="AC70" s="2">
        <v>89</v>
      </c>
      <c r="AD70" s="2">
        <f t="shared" si="6"/>
        <v>57</v>
      </c>
      <c r="AF70" s="2">
        <f t="shared" si="7"/>
        <v>43</v>
      </c>
      <c r="AG70" s="2">
        <v>62</v>
      </c>
      <c r="AH70">
        <v>28</v>
      </c>
      <c r="AI70" s="25">
        <v>43.2</v>
      </c>
      <c r="AJ70" s="25">
        <v>12.2</v>
      </c>
      <c r="AK70" s="11">
        <f t="shared" si="4"/>
        <v>5.081967213114754</v>
      </c>
      <c r="AL70">
        <v>1.93</v>
      </c>
      <c r="AM70" s="29"/>
      <c r="AN70" s="2"/>
      <c r="AO70" s="2"/>
      <c r="AS70" s="12"/>
    </row>
    <row r="71" spans="1:47">
      <c r="A71" s="2" t="s">
        <v>32</v>
      </c>
      <c r="B71" s="2" t="s">
        <v>252</v>
      </c>
      <c r="C71" s="21">
        <v>10.439400000000001</v>
      </c>
      <c r="D71" s="14">
        <f>34+0.25</f>
        <v>34.25</v>
      </c>
      <c r="E71">
        <v>0</v>
      </c>
      <c r="F71">
        <v>49</v>
      </c>
      <c r="G71" s="26">
        <v>36</v>
      </c>
      <c r="H71" s="26">
        <v>15</v>
      </c>
      <c r="I71">
        <v>7.1999999999999995E-2</v>
      </c>
      <c r="J71" s="27">
        <f t="shared" si="5"/>
        <v>51</v>
      </c>
      <c r="L71" s="12">
        <v>0.27500000000000002</v>
      </c>
      <c r="M71" s="22">
        <v>28.7</v>
      </c>
      <c r="N71" s="26">
        <v>31</v>
      </c>
      <c r="O71">
        <v>23</v>
      </c>
      <c r="P71">
        <v>8</v>
      </c>
      <c r="Q71" s="12">
        <v>0.71249999999999991</v>
      </c>
      <c r="R71" s="2" t="s">
        <v>49</v>
      </c>
      <c r="S71" t="s">
        <v>46</v>
      </c>
      <c r="AA71" s="2">
        <v>3</v>
      </c>
      <c r="AB71" s="30">
        <v>3.48</v>
      </c>
      <c r="AC71" s="2">
        <v>97</v>
      </c>
      <c r="AD71" s="2">
        <f t="shared" si="6"/>
        <v>51</v>
      </c>
      <c r="AF71" s="2">
        <f t="shared" si="7"/>
        <v>49</v>
      </c>
      <c r="AG71" s="2">
        <v>55.3</v>
      </c>
      <c r="AH71">
        <v>32</v>
      </c>
      <c r="AI71" s="25">
        <v>40.9</v>
      </c>
      <c r="AJ71">
        <v>10</v>
      </c>
      <c r="AK71" s="11">
        <f t="shared" si="4"/>
        <v>5.5299999999999994</v>
      </c>
      <c r="AL71">
        <v>1.9</v>
      </c>
      <c r="AM71" s="29"/>
      <c r="AN71" s="2"/>
      <c r="AO71" s="2"/>
      <c r="AS71" s="12"/>
    </row>
    <row r="72" spans="1:47">
      <c r="A72" s="2" t="s">
        <v>33</v>
      </c>
      <c r="B72" s="2" t="s">
        <v>252</v>
      </c>
      <c r="C72" s="21">
        <v>10.6</v>
      </c>
      <c r="D72" s="14">
        <f>34+0.75</f>
        <v>34.75</v>
      </c>
      <c r="E72">
        <v>0</v>
      </c>
      <c r="F72">
        <v>53</v>
      </c>
      <c r="G72" s="26">
        <v>32</v>
      </c>
      <c r="H72" s="26">
        <v>15</v>
      </c>
      <c r="I72">
        <v>7.9000000000000001E-2</v>
      </c>
      <c r="J72" s="27">
        <f t="shared" si="5"/>
        <v>47</v>
      </c>
      <c r="L72" s="12">
        <v>0.28999999999999998</v>
      </c>
      <c r="M72" s="22">
        <v>26.4</v>
      </c>
      <c r="N72" s="26">
        <v>32</v>
      </c>
      <c r="O72">
        <v>24</v>
      </c>
      <c r="P72">
        <v>8</v>
      </c>
      <c r="Q72" s="12">
        <v>0.29999999999999982</v>
      </c>
      <c r="R72" s="2" t="s">
        <v>50</v>
      </c>
      <c r="S72" t="s">
        <v>53</v>
      </c>
      <c r="AA72" s="2">
        <v>3.67</v>
      </c>
      <c r="AB72" s="30">
        <v>3.04</v>
      </c>
      <c r="AC72" s="2">
        <v>62</v>
      </c>
      <c r="AD72" s="2">
        <f t="shared" si="6"/>
        <v>47</v>
      </c>
      <c r="AF72" s="2">
        <f t="shared" si="7"/>
        <v>53</v>
      </c>
      <c r="AG72" s="2">
        <v>69.7</v>
      </c>
      <c r="AH72">
        <v>34</v>
      </c>
      <c r="AI72" s="25">
        <v>44.3</v>
      </c>
      <c r="AJ72" s="25">
        <v>14.4</v>
      </c>
      <c r="AK72" s="11">
        <f t="shared" si="4"/>
        <v>4.8402777777777777</v>
      </c>
      <c r="AL72">
        <v>2.0099999999999998</v>
      </c>
      <c r="AM72" s="29"/>
      <c r="AN72" s="2"/>
      <c r="AO72" s="2"/>
      <c r="AS72" s="12"/>
    </row>
    <row r="73" spans="1:47">
      <c r="A73" s="2" t="s">
        <v>34</v>
      </c>
      <c r="B73" s="2" t="s">
        <v>253</v>
      </c>
      <c r="C73" s="21">
        <v>10.75</v>
      </c>
      <c r="D73" s="14">
        <f>35+8.5/12</f>
        <v>35.708333333333336</v>
      </c>
      <c r="E73">
        <v>0</v>
      </c>
      <c r="F73">
        <v>49</v>
      </c>
      <c r="G73" s="26">
        <v>35</v>
      </c>
      <c r="H73" s="26">
        <v>16</v>
      </c>
      <c r="I73">
        <v>7.0999999999999994E-2</v>
      </c>
      <c r="J73" s="27">
        <f t="shared" si="5"/>
        <v>51</v>
      </c>
      <c r="L73" s="12">
        <v>0.42</v>
      </c>
      <c r="M73" s="22">
        <v>32.4</v>
      </c>
      <c r="N73" s="26">
        <v>35</v>
      </c>
      <c r="O73">
        <v>21</v>
      </c>
      <c r="P73">
        <v>14</v>
      </c>
      <c r="Q73" s="12">
        <v>0.81428571428571417</v>
      </c>
      <c r="R73" s="2" t="s">
        <v>49</v>
      </c>
      <c r="S73" t="s">
        <v>46</v>
      </c>
      <c r="AA73" s="2">
        <v>4.67</v>
      </c>
      <c r="AB73" s="30">
        <v>2.58</v>
      </c>
      <c r="AC73" s="2">
        <v>37</v>
      </c>
      <c r="AD73" s="2">
        <f t="shared" si="6"/>
        <v>51</v>
      </c>
      <c r="AF73" s="2">
        <f t="shared" si="7"/>
        <v>49</v>
      </c>
      <c r="AG73" s="2">
        <v>28.8</v>
      </c>
      <c r="AH73">
        <v>35</v>
      </c>
      <c r="AI73" s="25">
        <v>19.899999999999999</v>
      </c>
      <c r="AJ73" s="25">
        <v>6.6</v>
      </c>
      <c r="AK73" s="11">
        <f t="shared" si="4"/>
        <v>4.3636363636363642</v>
      </c>
      <c r="AL73" s="13" t="s">
        <v>28</v>
      </c>
      <c r="AM73" s="29"/>
      <c r="AN73" s="2"/>
      <c r="AO73" s="2"/>
      <c r="AS73" s="12"/>
    </row>
    <row r="74" spans="1:47">
      <c r="A74" s="2" t="s">
        <v>35</v>
      </c>
      <c r="B74" s="2" t="s">
        <v>253</v>
      </c>
      <c r="C74" s="21">
        <v>10.9</v>
      </c>
      <c r="D74" s="14">
        <f>36+0.75/12</f>
        <v>36.0625</v>
      </c>
      <c r="E74">
        <v>0</v>
      </c>
      <c r="F74">
        <v>62</v>
      </c>
      <c r="G74" s="26">
        <v>24</v>
      </c>
      <c r="H74" s="26">
        <v>14</v>
      </c>
      <c r="I74">
        <v>0.11600000000000001</v>
      </c>
      <c r="J74" s="27">
        <f t="shared" si="5"/>
        <v>38</v>
      </c>
      <c r="L74" s="12">
        <v>0.7</v>
      </c>
      <c r="M74" s="22">
        <v>31.6</v>
      </c>
      <c r="N74" s="37"/>
      <c r="R74" s="2" t="s">
        <v>50</v>
      </c>
      <c r="S74" t="s">
        <v>53</v>
      </c>
      <c r="AA74" s="2">
        <v>5</v>
      </c>
      <c r="AB74" s="30">
        <v>2.4300000000000002</v>
      </c>
      <c r="AC74" s="2">
        <v>30</v>
      </c>
      <c r="AD74" s="2">
        <f t="shared" si="6"/>
        <v>38</v>
      </c>
      <c r="AF74" s="2">
        <f t="shared" si="7"/>
        <v>62</v>
      </c>
      <c r="AG74" s="2">
        <v>29.9</v>
      </c>
      <c r="AH74">
        <v>40</v>
      </c>
      <c r="AI74" s="25">
        <v>23.2</v>
      </c>
      <c r="AJ74" s="25">
        <v>5.5</v>
      </c>
      <c r="AK74" s="11">
        <f t="shared" si="4"/>
        <v>5.4363636363636365</v>
      </c>
      <c r="AL74" s="13" t="s">
        <v>28</v>
      </c>
      <c r="AM74" s="29"/>
      <c r="AN74" s="2"/>
      <c r="AO74" s="2"/>
      <c r="AS74" s="12"/>
      <c r="AU74" s="26"/>
    </row>
    <row r="75" spans="1:47">
      <c r="A75" s="2" t="s">
        <v>36</v>
      </c>
      <c r="B75" s="2" t="s">
        <v>253</v>
      </c>
      <c r="C75" s="21">
        <v>11.02</v>
      </c>
      <c r="D75" s="14">
        <f>36+3.25/12</f>
        <v>36.270833333333336</v>
      </c>
      <c r="E75">
        <v>0</v>
      </c>
      <c r="F75">
        <v>59</v>
      </c>
      <c r="G75" s="26">
        <v>21</v>
      </c>
      <c r="H75" s="26">
        <v>20</v>
      </c>
      <c r="I75">
        <v>0.106</v>
      </c>
      <c r="J75" s="27">
        <f t="shared" si="5"/>
        <v>41</v>
      </c>
      <c r="L75" s="12">
        <v>1.3</v>
      </c>
      <c r="M75" s="22">
        <v>30.7</v>
      </c>
      <c r="N75">
        <v>34</v>
      </c>
      <c r="O75">
        <v>21</v>
      </c>
      <c r="P75">
        <v>13</v>
      </c>
      <c r="Q75" s="12">
        <v>0.74615384615384606</v>
      </c>
      <c r="R75" s="2" t="s">
        <v>54</v>
      </c>
      <c r="S75" t="s">
        <v>55</v>
      </c>
      <c r="AB75" s="30"/>
      <c r="AD75" s="2">
        <f t="shared" si="6"/>
        <v>41</v>
      </c>
      <c r="AF75" s="2">
        <f t="shared" si="7"/>
        <v>59</v>
      </c>
      <c r="AG75" s="2">
        <v>36.5</v>
      </c>
      <c r="AH75">
        <v>40</v>
      </c>
      <c r="AI75" s="25">
        <v>25.5</v>
      </c>
      <c r="AJ75" s="25">
        <v>4.4000000000000004</v>
      </c>
      <c r="AK75" s="11">
        <f t="shared" si="4"/>
        <v>8.295454545454545</v>
      </c>
      <c r="AL75" s="13" t="s">
        <v>28</v>
      </c>
      <c r="AM75" s="29"/>
      <c r="AN75" s="2"/>
      <c r="AO75" s="2"/>
      <c r="AS75" s="12"/>
      <c r="AU75" s="26"/>
    </row>
    <row r="76" spans="1:47">
      <c r="A76" s="2" t="s">
        <v>37</v>
      </c>
      <c r="B76" s="2" t="s">
        <v>253</v>
      </c>
      <c r="C76" s="21">
        <v>11.25</v>
      </c>
      <c r="D76" s="14">
        <f>36+4.75/12</f>
        <v>36.395833333333336</v>
      </c>
      <c r="E76" s="32">
        <v>5</v>
      </c>
      <c r="F76" s="32">
        <v>66</v>
      </c>
      <c r="G76" s="32">
        <v>16</v>
      </c>
      <c r="H76" s="32">
        <v>13</v>
      </c>
      <c r="I76" s="32">
        <v>0.182</v>
      </c>
      <c r="J76" s="33">
        <f t="shared" si="5"/>
        <v>29</v>
      </c>
      <c r="L76" s="12">
        <v>8.1</v>
      </c>
      <c r="N76" s="36"/>
      <c r="R76" s="2" t="s">
        <v>50</v>
      </c>
      <c r="S76" t="s">
        <v>53</v>
      </c>
      <c r="AA76" s="2">
        <v>5</v>
      </c>
      <c r="AB76" s="30">
        <v>2.37</v>
      </c>
      <c r="AC76" s="2">
        <v>28</v>
      </c>
      <c r="AD76" s="2">
        <f t="shared" si="6"/>
        <v>29</v>
      </c>
      <c r="AF76" s="2">
        <f t="shared" si="7"/>
        <v>71</v>
      </c>
      <c r="AG76" s="13" t="s">
        <v>28</v>
      </c>
      <c r="AH76" s="13" t="s">
        <v>28</v>
      </c>
      <c r="AI76" s="13" t="s">
        <v>28</v>
      </c>
      <c r="AJ76" s="13" t="s">
        <v>28</v>
      </c>
      <c r="AK76" s="13" t="s">
        <v>28</v>
      </c>
      <c r="AL76" s="13" t="s">
        <v>28</v>
      </c>
      <c r="AM76" s="29"/>
      <c r="AN76" s="2"/>
      <c r="AO76" s="2"/>
      <c r="AS76" s="12"/>
      <c r="AU76" s="26"/>
    </row>
    <row r="77" spans="1:47">
      <c r="A77" s="2" t="s">
        <v>38</v>
      </c>
      <c r="B77" s="2" t="s">
        <v>253</v>
      </c>
      <c r="C77" s="21">
        <v>11.35</v>
      </c>
      <c r="D77" s="14">
        <f>36+8.75/12</f>
        <v>36.729166666666664</v>
      </c>
      <c r="E77" s="32">
        <v>22</v>
      </c>
      <c r="F77" s="32">
        <v>53</v>
      </c>
      <c r="G77" s="32">
        <v>14</v>
      </c>
      <c r="H77" s="32">
        <v>11</v>
      </c>
      <c r="I77" s="32">
        <v>0.33500000000000002</v>
      </c>
      <c r="J77" s="33">
        <f t="shared" si="5"/>
        <v>25</v>
      </c>
      <c r="L77" s="27">
        <v>20</v>
      </c>
      <c r="N77" s="36"/>
      <c r="R77" s="2" t="s">
        <v>50</v>
      </c>
      <c r="S77" t="s">
        <v>51</v>
      </c>
      <c r="AA77" s="2">
        <v>4.67</v>
      </c>
      <c r="AB77" s="30">
        <v>2.73</v>
      </c>
      <c r="AC77" s="2">
        <v>42</v>
      </c>
      <c r="AD77" s="2">
        <f t="shared" si="6"/>
        <v>25</v>
      </c>
      <c r="AF77" s="2">
        <f t="shared" si="7"/>
        <v>75</v>
      </c>
      <c r="AG77" s="13" t="s">
        <v>28</v>
      </c>
      <c r="AH77" s="13" t="s">
        <v>28</v>
      </c>
      <c r="AI77" s="13" t="s">
        <v>28</v>
      </c>
      <c r="AJ77" s="13" t="s">
        <v>28</v>
      </c>
      <c r="AK77" s="13" t="s">
        <v>28</v>
      </c>
      <c r="AL77" s="13" t="s">
        <v>28</v>
      </c>
      <c r="AM77" s="29"/>
      <c r="AN77" s="2"/>
      <c r="AO77" s="2"/>
      <c r="AS77" s="12"/>
      <c r="AU77" s="26"/>
    </row>
    <row r="78" spans="1:47">
      <c r="A78" s="2" t="s">
        <v>255</v>
      </c>
      <c r="B78" s="2" t="s">
        <v>254</v>
      </c>
      <c r="C78" s="21">
        <v>11.5</v>
      </c>
      <c r="D78" s="14">
        <f>37+0.333333333333333</f>
        <v>37.333333333333336</v>
      </c>
      <c r="E78" s="32">
        <v>18</v>
      </c>
      <c r="F78" s="32">
        <v>66</v>
      </c>
      <c r="G78" s="32">
        <v>7</v>
      </c>
      <c r="H78" s="32">
        <v>9</v>
      </c>
      <c r="I78" s="34">
        <v>0.48</v>
      </c>
      <c r="J78" s="33">
        <f t="shared" si="5"/>
        <v>16</v>
      </c>
      <c r="K78">
        <f>0.82/0.008</f>
        <v>102.49999999999999</v>
      </c>
      <c r="L78" s="27">
        <v>30</v>
      </c>
      <c r="N78" s="36"/>
      <c r="R78" s="2" t="s">
        <v>50</v>
      </c>
      <c r="S78" t="s">
        <v>51</v>
      </c>
      <c r="AA78" s="2">
        <v>5</v>
      </c>
      <c r="AB78" s="30">
        <v>2.63</v>
      </c>
      <c r="AC78" s="2">
        <v>37</v>
      </c>
      <c r="AD78" s="2">
        <f t="shared" si="6"/>
        <v>16</v>
      </c>
      <c r="AF78" s="2">
        <f t="shared" si="7"/>
        <v>84</v>
      </c>
      <c r="AG78" s="13" t="s">
        <v>28</v>
      </c>
      <c r="AH78" s="13" t="s">
        <v>28</v>
      </c>
      <c r="AI78" s="13" t="s">
        <v>28</v>
      </c>
      <c r="AJ78" s="13" t="s">
        <v>28</v>
      </c>
      <c r="AK78" s="13" t="s">
        <v>28</v>
      </c>
      <c r="AL78" s="13" t="s">
        <v>28</v>
      </c>
      <c r="AM78" s="29"/>
      <c r="AN78" s="2"/>
      <c r="AO78" s="2"/>
      <c r="AS78" s="12"/>
      <c r="AU78" s="28"/>
    </row>
    <row r="79" spans="1:47">
      <c r="A79" s="2" t="s">
        <v>256</v>
      </c>
      <c r="B79" s="2" t="s">
        <v>254</v>
      </c>
      <c r="C79" s="21">
        <v>11.6</v>
      </c>
      <c r="D79" s="14">
        <f>37+8.25/12</f>
        <v>37.6875</v>
      </c>
      <c r="E79" s="32">
        <v>13</v>
      </c>
      <c r="F79" s="32">
        <v>73</v>
      </c>
      <c r="G79" s="32"/>
      <c r="H79" s="32"/>
      <c r="I79" s="34">
        <v>0.57999999999999996</v>
      </c>
      <c r="J79" s="33">
        <f t="shared" si="5"/>
        <v>14</v>
      </c>
      <c r="K79" s="27">
        <f>0.95/0.045</f>
        <v>21.111111111111111</v>
      </c>
      <c r="L79" s="27">
        <v>10</v>
      </c>
      <c r="M79" s="22">
        <v>26.8</v>
      </c>
      <c r="N79" s="36"/>
      <c r="R79" s="2" t="s">
        <v>62</v>
      </c>
      <c r="S79" t="s">
        <v>63</v>
      </c>
      <c r="AA79" s="2">
        <v>5</v>
      </c>
      <c r="AB79" s="30">
        <v>2.3199999999999998</v>
      </c>
      <c r="AC79" s="2">
        <v>25</v>
      </c>
      <c r="AD79" s="2">
        <f t="shared" si="6"/>
        <v>14</v>
      </c>
      <c r="AF79" s="2">
        <f t="shared" si="7"/>
        <v>86</v>
      </c>
      <c r="AG79" s="13" t="s">
        <v>28</v>
      </c>
      <c r="AH79" s="13" t="s">
        <v>28</v>
      </c>
      <c r="AI79" s="13" t="s">
        <v>28</v>
      </c>
      <c r="AJ79" s="13" t="s">
        <v>28</v>
      </c>
      <c r="AK79" s="13" t="s">
        <v>28</v>
      </c>
      <c r="AL79">
        <v>1.95</v>
      </c>
      <c r="AM79" s="29"/>
      <c r="AN79" s="2"/>
      <c r="AO79" s="2"/>
      <c r="AS79" s="12"/>
      <c r="AU79" s="28"/>
    </row>
    <row r="80" spans="1:47">
      <c r="A80" s="2" t="s">
        <v>257</v>
      </c>
      <c r="B80" s="2" t="s">
        <v>254</v>
      </c>
      <c r="C80" s="21">
        <v>11.72</v>
      </c>
      <c r="D80" s="14">
        <f>37+11.75/12</f>
        <v>37.979166666666664</v>
      </c>
      <c r="E80">
        <v>0</v>
      </c>
      <c r="F80">
        <v>41</v>
      </c>
      <c r="G80">
        <v>48</v>
      </c>
      <c r="H80">
        <v>11</v>
      </c>
      <c r="I80">
        <v>6.4000000000000001E-2</v>
      </c>
      <c r="J80" s="27">
        <f t="shared" si="5"/>
        <v>59</v>
      </c>
      <c r="K80" s="27">
        <f>0.076/0.0045</f>
        <v>16.888888888888889</v>
      </c>
      <c r="L80" s="12">
        <v>0.8</v>
      </c>
      <c r="N80" s="26">
        <v>36</v>
      </c>
      <c r="O80">
        <v>19</v>
      </c>
      <c r="P80">
        <v>17</v>
      </c>
      <c r="R80" s="2" t="s">
        <v>49</v>
      </c>
      <c r="S80" t="s">
        <v>46</v>
      </c>
      <c r="AA80" s="2">
        <v>5.5</v>
      </c>
      <c r="AB80" s="30">
        <v>2.1</v>
      </c>
      <c r="AC80" s="2">
        <v>18</v>
      </c>
      <c r="AD80" s="2">
        <f t="shared" si="6"/>
        <v>59</v>
      </c>
      <c r="AF80" s="2">
        <f t="shared" si="7"/>
        <v>41</v>
      </c>
      <c r="AG80" s="2">
        <v>150.5</v>
      </c>
      <c r="AH80">
        <v>25</v>
      </c>
      <c r="AI80">
        <v>62</v>
      </c>
      <c r="AJ80">
        <v>19.899999999999999</v>
      </c>
      <c r="AK80" s="11">
        <f t="shared" si="4"/>
        <v>7.5628140703517595</v>
      </c>
      <c r="AM80" s="29"/>
      <c r="AN80" s="2"/>
      <c r="AO80" s="2"/>
      <c r="AS80" s="12"/>
      <c r="AU80" s="26"/>
    </row>
    <row r="81" spans="1:45">
      <c r="A81" s="2" t="s">
        <v>258</v>
      </c>
      <c r="B81" s="2" t="s">
        <v>254</v>
      </c>
      <c r="C81" s="21">
        <v>11.8</v>
      </c>
      <c r="D81" s="14">
        <f>38+3.5/12</f>
        <v>38.291666666666664</v>
      </c>
      <c r="E81">
        <v>0</v>
      </c>
      <c r="F81">
        <v>29</v>
      </c>
      <c r="G81">
        <v>45</v>
      </c>
      <c r="H81">
        <v>26</v>
      </c>
      <c r="I81">
        <v>2.5000000000000001E-2</v>
      </c>
      <c r="J81" s="27">
        <f t="shared" si="5"/>
        <v>71</v>
      </c>
      <c r="L81" s="12">
        <v>0.6</v>
      </c>
      <c r="M81" s="22">
        <v>26.6</v>
      </c>
      <c r="N81">
        <v>39</v>
      </c>
      <c r="O81">
        <v>24</v>
      </c>
      <c r="P81">
        <v>15</v>
      </c>
      <c r="Q81" s="12">
        <v>0.17333333333333342</v>
      </c>
      <c r="R81" s="2" t="s">
        <v>45</v>
      </c>
      <c r="S81" t="s">
        <v>47</v>
      </c>
      <c r="AA81" s="2">
        <v>4.5</v>
      </c>
      <c r="AB81" s="30">
        <v>2.76</v>
      </c>
      <c r="AC81" s="2">
        <v>44</v>
      </c>
      <c r="AD81" s="2">
        <f t="shared" si="6"/>
        <v>71</v>
      </c>
      <c r="AF81" s="2">
        <f t="shared" si="7"/>
        <v>29</v>
      </c>
      <c r="AG81" s="2">
        <v>167.1</v>
      </c>
      <c r="AH81">
        <v>25</v>
      </c>
      <c r="AI81">
        <v>59.8</v>
      </c>
      <c r="AJ81">
        <v>32.1</v>
      </c>
      <c r="AK81" s="11">
        <f t="shared" si="4"/>
        <v>5.2056074766355138</v>
      </c>
      <c r="AL81" s="12">
        <v>2</v>
      </c>
      <c r="AM81" s="29"/>
      <c r="AN81" s="2"/>
      <c r="AO81" s="2"/>
      <c r="AS81" s="12"/>
    </row>
    <row r="82" spans="1:45">
      <c r="A82" s="2" t="s">
        <v>259</v>
      </c>
      <c r="B82" s="2" t="s">
        <v>254</v>
      </c>
      <c r="C82" s="21">
        <v>11.9</v>
      </c>
      <c r="D82" s="14">
        <f>38+0.75</f>
        <v>38.75</v>
      </c>
      <c r="E82">
        <v>0</v>
      </c>
      <c r="F82">
        <v>34</v>
      </c>
      <c r="G82">
        <v>44</v>
      </c>
      <c r="H82">
        <v>22</v>
      </c>
      <c r="I82">
        <v>3.6999999999999998E-2</v>
      </c>
      <c r="J82" s="27">
        <f t="shared" si="5"/>
        <v>66</v>
      </c>
      <c r="L82" s="12">
        <v>0.6</v>
      </c>
      <c r="M82" s="22">
        <v>27.8</v>
      </c>
      <c r="N82" s="26">
        <v>38</v>
      </c>
      <c r="O82">
        <v>21</v>
      </c>
      <c r="P82">
        <v>17</v>
      </c>
      <c r="Q82" s="12">
        <v>0.4</v>
      </c>
      <c r="R82" s="2" t="s">
        <v>49</v>
      </c>
      <c r="S82" t="s">
        <v>46</v>
      </c>
      <c r="AA82" s="2">
        <v>3.67</v>
      </c>
      <c r="AB82" s="30">
        <v>2.95</v>
      </c>
      <c r="AC82" s="2">
        <v>55</v>
      </c>
      <c r="AD82" s="2">
        <f t="shared" si="6"/>
        <v>66</v>
      </c>
      <c r="AF82" s="2">
        <f t="shared" si="7"/>
        <v>34</v>
      </c>
      <c r="AG82" s="2">
        <v>170.4</v>
      </c>
      <c r="AH82">
        <v>30</v>
      </c>
      <c r="AI82">
        <v>88.5</v>
      </c>
      <c r="AJ82">
        <v>42.1</v>
      </c>
      <c r="AK82" s="11">
        <f t="shared" si="4"/>
        <v>4.0475059382422804</v>
      </c>
      <c r="AL82">
        <v>2.0299999999999998</v>
      </c>
      <c r="AM82" s="29"/>
      <c r="AN82" s="2"/>
      <c r="AO82" s="2"/>
      <c r="AS82" s="12"/>
    </row>
    <row r="83" spans="1:45">
      <c r="A83" s="2" t="s">
        <v>260</v>
      </c>
      <c r="B83" s="2" t="s">
        <v>39</v>
      </c>
      <c r="C83" s="21">
        <v>12</v>
      </c>
      <c r="D83" s="14">
        <f>39+3.5/12</f>
        <v>39.291666666666664</v>
      </c>
      <c r="E83">
        <v>0</v>
      </c>
      <c r="F83">
        <v>37</v>
      </c>
      <c r="G83">
        <v>41</v>
      </c>
      <c r="H83">
        <v>22</v>
      </c>
      <c r="I83">
        <v>4.2999999999999997E-2</v>
      </c>
      <c r="J83" s="27">
        <f t="shared" si="5"/>
        <v>63</v>
      </c>
      <c r="L83" s="12">
        <v>1.4</v>
      </c>
      <c r="M83" s="22">
        <v>24.6</v>
      </c>
      <c r="N83">
        <v>35</v>
      </c>
      <c r="O83">
        <v>19</v>
      </c>
      <c r="P83">
        <v>16</v>
      </c>
      <c r="Q83" s="12">
        <v>0.35000000000000009</v>
      </c>
      <c r="R83" s="2" t="s">
        <v>49</v>
      </c>
      <c r="S83" t="s">
        <v>46</v>
      </c>
      <c r="AA83" s="2">
        <v>4</v>
      </c>
      <c r="AB83" s="30">
        <v>2.87</v>
      </c>
      <c r="AC83" s="2">
        <v>50</v>
      </c>
      <c r="AD83" s="2">
        <f t="shared" si="6"/>
        <v>63</v>
      </c>
      <c r="AF83" s="2">
        <f t="shared" si="7"/>
        <v>37</v>
      </c>
      <c r="AG83" s="2">
        <v>277</v>
      </c>
      <c r="AI83" s="13" t="s">
        <v>28</v>
      </c>
      <c r="AJ83" s="13" t="s">
        <v>28</v>
      </c>
      <c r="AK83" s="13" t="s">
        <v>28</v>
      </c>
      <c r="AL83">
        <v>2.2000000000000002</v>
      </c>
      <c r="AM83" s="29"/>
      <c r="AN83" s="2"/>
      <c r="AO83" s="2"/>
      <c r="AS83" s="12"/>
    </row>
    <row r="84" spans="1:45">
      <c r="A84" s="2" t="s">
        <v>29</v>
      </c>
      <c r="B84" s="2" t="s">
        <v>39</v>
      </c>
      <c r="C84" s="21">
        <v>12.1158</v>
      </c>
      <c r="D84" s="14">
        <f>39+0.75</f>
        <v>39.75</v>
      </c>
      <c r="E84">
        <v>2</v>
      </c>
      <c r="F84">
        <v>41</v>
      </c>
      <c r="G84">
        <v>37</v>
      </c>
      <c r="H84">
        <v>20</v>
      </c>
      <c r="I84">
        <v>5.0999999999999997E-2</v>
      </c>
      <c r="J84" s="27">
        <f t="shared" si="5"/>
        <v>57</v>
      </c>
      <c r="L84" s="12">
        <v>6</v>
      </c>
      <c r="M84" s="22">
        <v>20.5</v>
      </c>
      <c r="N84" s="26">
        <v>36</v>
      </c>
      <c r="O84">
        <v>19</v>
      </c>
      <c r="P84">
        <v>17</v>
      </c>
      <c r="Q84" s="12">
        <v>8.8235294117647065E-2</v>
      </c>
      <c r="R84" s="2" t="s">
        <v>49</v>
      </c>
      <c r="S84" t="s">
        <v>46</v>
      </c>
      <c r="AA84" s="2">
        <v>4</v>
      </c>
      <c r="AB84" s="30">
        <v>2.86</v>
      </c>
      <c r="AC84" s="2">
        <v>50</v>
      </c>
      <c r="AD84" s="2">
        <f t="shared" si="6"/>
        <v>57</v>
      </c>
      <c r="AF84" s="2">
        <f t="shared" si="7"/>
        <v>43</v>
      </c>
      <c r="AG84" s="2">
        <v>258</v>
      </c>
      <c r="AI84" s="13" t="s">
        <v>28</v>
      </c>
      <c r="AJ84" s="13" t="s">
        <v>28</v>
      </c>
      <c r="AK84" s="13" t="s">
        <v>28</v>
      </c>
      <c r="AL84">
        <v>2.0699999999999998</v>
      </c>
      <c r="AM84" s="29"/>
      <c r="AN84" s="2"/>
      <c r="AO84" s="2"/>
      <c r="AS84" s="12"/>
    </row>
    <row r="85" spans="1:45">
      <c r="A85" s="2"/>
      <c r="B85" s="2"/>
      <c r="C85" s="21"/>
      <c r="AK85" s="11"/>
      <c r="AS85" s="12"/>
    </row>
    <row r="86" spans="1:45">
      <c r="A86" s="40" t="s">
        <v>69</v>
      </c>
      <c r="B86" s="2"/>
      <c r="C86" s="21"/>
      <c r="N86" s="2">
        <f>COUNT(N4:N84)</f>
        <v>72</v>
      </c>
      <c r="O86" t="s">
        <v>65</v>
      </c>
      <c r="AK86" s="11"/>
      <c r="AS86" s="12"/>
    </row>
    <row r="87" spans="1:45">
      <c r="A87" t="s">
        <v>81</v>
      </c>
      <c r="B87" s="18" t="s">
        <v>67</v>
      </c>
      <c r="C87" s="21">
        <f>+D87*0.3048</f>
        <v>0.68580000000000008</v>
      </c>
      <c r="D87" s="14">
        <v>2.25</v>
      </c>
      <c r="R87" s="2" t="s">
        <v>50</v>
      </c>
      <c r="S87" t="s">
        <v>75</v>
      </c>
      <c r="AG87" s="2">
        <v>56.4</v>
      </c>
      <c r="AI87">
        <v>46.5</v>
      </c>
      <c r="AJ87">
        <v>17.7</v>
      </c>
      <c r="AK87" s="11">
        <f t="shared" ref="AK87:AK119" si="8">+AG87/AJ87</f>
        <v>3.1864406779661016</v>
      </c>
      <c r="AL87">
        <v>1.61</v>
      </c>
      <c r="AS87" s="12"/>
    </row>
    <row r="88" spans="1:45">
      <c r="A88" t="s">
        <v>82</v>
      </c>
      <c r="B88" s="18" t="s">
        <v>67</v>
      </c>
      <c r="C88" s="21">
        <f t="shared" ref="C88:C107" si="9">+D88*0.3048</f>
        <v>0.83820000000000006</v>
      </c>
      <c r="D88" s="14">
        <v>2.75</v>
      </c>
      <c r="R88" s="2" t="s">
        <v>49</v>
      </c>
      <c r="S88" t="s">
        <v>76</v>
      </c>
      <c r="AG88" s="2">
        <v>132.80000000000001</v>
      </c>
      <c r="AI88">
        <v>94.1</v>
      </c>
      <c r="AJ88">
        <v>25.5</v>
      </c>
      <c r="AK88" s="11">
        <f t="shared" si="8"/>
        <v>5.2078431372549021</v>
      </c>
      <c r="AL88">
        <v>1.63</v>
      </c>
      <c r="AS88" s="12"/>
    </row>
    <row r="89" spans="1:45">
      <c r="A89" t="s">
        <v>83</v>
      </c>
      <c r="B89" s="18" t="s">
        <v>67</v>
      </c>
      <c r="C89" s="21">
        <f t="shared" si="9"/>
        <v>0.99060000000000004</v>
      </c>
      <c r="D89" s="14">
        <v>3.25</v>
      </c>
      <c r="R89" s="2" t="s">
        <v>49</v>
      </c>
      <c r="S89" t="s">
        <v>76</v>
      </c>
      <c r="AG89" s="2">
        <v>168.2</v>
      </c>
      <c r="AI89">
        <v>104</v>
      </c>
      <c r="AJ89">
        <v>28.8</v>
      </c>
      <c r="AK89" s="11">
        <f t="shared" si="8"/>
        <v>5.8402777777777777</v>
      </c>
      <c r="AL89">
        <v>1.69</v>
      </c>
      <c r="AS89" s="12"/>
    </row>
    <row r="90" spans="1:45">
      <c r="A90" t="s">
        <v>84</v>
      </c>
      <c r="B90" s="18" t="s">
        <v>67</v>
      </c>
      <c r="C90" s="21">
        <f t="shared" si="9"/>
        <v>1.143</v>
      </c>
      <c r="D90" s="14">
        <v>3.75</v>
      </c>
      <c r="P90">
        <v>24</v>
      </c>
      <c r="Q90" s="12">
        <v>-0.16249999999999995</v>
      </c>
      <c r="R90" s="2" t="s">
        <v>77</v>
      </c>
      <c r="S90" t="s">
        <v>78</v>
      </c>
      <c r="AG90" s="2">
        <v>153.80000000000001</v>
      </c>
      <c r="AI90">
        <v>110.7</v>
      </c>
      <c r="AJ90">
        <v>38.700000000000003</v>
      </c>
      <c r="AK90" s="11">
        <f t="shared" si="8"/>
        <v>3.9741602067183464</v>
      </c>
      <c r="AL90">
        <v>1.75</v>
      </c>
      <c r="AS90" s="12"/>
    </row>
    <row r="91" spans="1:45">
      <c r="A91" t="s">
        <v>85</v>
      </c>
      <c r="B91" s="18" t="s">
        <v>68</v>
      </c>
      <c r="C91" s="21">
        <f t="shared" si="9"/>
        <v>1.2954000000000001</v>
      </c>
      <c r="D91" s="14">
        <v>4.25</v>
      </c>
      <c r="P91">
        <v>28</v>
      </c>
      <c r="Q91" s="12">
        <v>4.6428571428571451E-2</v>
      </c>
      <c r="R91" s="2" t="s">
        <v>57</v>
      </c>
      <c r="S91" t="s">
        <v>74</v>
      </c>
      <c r="AG91" s="2">
        <v>143.9</v>
      </c>
      <c r="AI91">
        <v>102.9</v>
      </c>
      <c r="AJ91">
        <v>39.799999999999997</v>
      </c>
      <c r="AK91" s="11">
        <f t="shared" si="8"/>
        <v>3.6155778894472368</v>
      </c>
      <c r="AL91">
        <v>1.88</v>
      </c>
      <c r="AS91" s="12"/>
    </row>
    <row r="92" spans="1:45">
      <c r="A92" t="s">
        <v>86</v>
      </c>
      <c r="B92" s="18" t="s">
        <v>68</v>
      </c>
      <c r="C92" s="21">
        <f t="shared" si="9"/>
        <v>1.4478</v>
      </c>
      <c r="D92" s="14">
        <v>4.75</v>
      </c>
      <c r="R92" s="2" t="s">
        <v>57</v>
      </c>
      <c r="S92" t="s">
        <v>74</v>
      </c>
      <c r="AG92" s="2">
        <v>169.3</v>
      </c>
      <c r="AI92">
        <v>95.2</v>
      </c>
      <c r="AJ92">
        <v>39.799999999999997</v>
      </c>
      <c r="AK92" s="11">
        <f t="shared" si="8"/>
        <v>4.2537688442211063</v>
      </c>
      <c r="AL92">
        <v>1.97</v>
      </c>
      <c r="AS92" s="12"/>
    </row>
    <row r="93" spans="1:45">
      <c r="A93" t="s">
        <v>87</v>
      </c>
      <c r="B93" s="18" t="s">
        <v>68</v>
      </c>
      <c r="C93" s="21">
        <f t="shared" si="9"/>
        <v>1.6002000000000001</v>
      </c>
      <c r="D93" s="14">
        <v>5.25</v>
      </c>
      <c r="R93" s="2" t="s">
        <v>57</v>
      </c>
      <c r="S93" t="s">
        <v>74</v>
      </c>
      <c r="AG93" s="2">
        <v>140.6</v>
      </c>
      <c r="AI93">
        <v>94.1</v>
      </c>
      <c r="AJ93">
        <v>44.3</v>
      </c>
      <c r="AK93" s="11">
        <f t="shared" si="8"/>
        <v>3.1738148984198644</v>
      </c>
      <c r="AL93">
        <v>2.0499999999999998</v>
      </c>
      <c r="AS93" s="12"/>
    </row>
    <row r="94" spans="1:45">
      <c r="A94" t="s">
        <v>88</v>
      </c>
      <c r="B94" s="18" t="s">
        <v>68</v>
      </c>
      <c r="C94" s="21">
        <f t="shared" si="9"/>
        <v>1.7526000000000002</v>
      </c>
      <c r="D94" s="14">
        <v>5.75</v>
      </c>
      <c r="P94">
        <v>39</v>
      </c>
      <c r="Q94" s="12">
        <v>7.1794871794871817E-2</v>
      </c>
      <c r="R94" s="2" t="s">
        <v>57</v>
      </c>
      <c r="S94" t="s">
        <v>74</v>
      </c>
      <c r="AG94" s="2">
        <v>161.6</v>
      </c>
      <c r="AI94">
        <v>100.7</v>
      </c>
      <c r="AJ94">
        <v>43.2</v>
      </c>
      <c r="AK94" s="11">
        <f t="shared" si="8"/>
        <v>3.7407407407407405</v>
      </c>
      <c r="AL94">
        <v>1.94</v>
      </c>
      <c r="AS94" s="12"/>
    </row>
    <row r="95" spans="1:45">
      <c r="A95" t="s">
        <v>89</v>
      </c>
      <c r="B95" s="18" t="s">
        <v>70</v>
      </c>
      <c r="C95" s="21">
        <f t="shared" si="9"/>
        <v>1.9293840000000002</v>
      </c>
      <c r="D95" s="14">
        <v>6.33</v>
      </c>
      <c r="R95" s="2" t="s">
        <v>57</v>
      </c>
      <c r="S95" t="s">
        <v>74</v>
      </c>
      <c r="AG95" s="2">
        <v>212.5</v>
      </c>
      <c r="AI95">
        <v>107.4</v>
      </c>
      <c r="AJ95">
        <v>54.2</v>
      </c>
      <c r="AK95" s="11">
        <f t="shared" si="8"/>
        <v>3.9206642066420661</v>
      </c>
      <c r="AL95">
        <v>2.0299999999999998</v>
      </c>
      <c r="AS95" s="12"/>
    </row>
    <row r="96" spans="1:45">
      <c r="A96" t="s">
        <v>90</v>
      </c>
      <c r="B96" s="18" t="s">
        <v>70</v>
      </c>
      <c r="C96" s="21">
        <f t="shared" si="9"/>
        <v>2.1335999999999999</v>
      </c>
      <c r="D96" s="14">
        <v>7</v>
      </c>
      <c r="R96" s="2" t="s">
        <v>57</v>
      </c>
      <c r="S96" t="s">
        <v>74</v>
      </c>
      <c r="AG96" s="2">
        <v>191.5</v>
      </c>
      <c r="AI96">
        <v>98.5</v>
      </c>
      <c r="AJ96">
        <v>43.2</v>
      </c>
      <c r="AK96" s="11">
        <f t="shared" si="8"/>
        <v>4.4328703703703702</v>
      </c>
      <c r="AL96">
        <v>2.0699999999999998</v>
      </c>
      <c r="AS96" s="12"/>
    </row>
    <row r="97" spans="1:45">
      <c r="A97" t="s">
        <v>91</v>
      </c>
      <c r="B97" s="18" t="s">
        <v>70</v>
      </c>
      <c r="C97" s="21">
        <f t="shared" si="9"/>
        <v>2.334768</v>
      </c>
      <c r="D97" s="14">
        <v>7.66</v>
      </c>
      <c r="R97" s="2" t="s">
        <v>57</v>
      </c>
      <c r="S97" t="s">
        <v>74</v>
      </c>
      <c r="AG97" s="2">
        <v>176</v>
      </c>
      <c r="AI97">
        <v>120.6</v>
      </c>
      <c r="AJ97">
        <v>70.8</v>
      </c>
      <c r="AK97" s="11">
        <f t="shared" si="8"/>
        <v>2.4858757062146895</v>
      </c>
      <c r="AL97">
        <v>2.06</v>
      </c>
      <c r="AS97" s="12"/>
    </row>
    <row r="98" spans="1:45">
      <c r="A98" t="s">
        <v>92</v>
      </c>
      <c r="B98" s="18" t="s">
        <v>71</v>
      </c>
      <c r="C98" s="21">
        <f t="shared" si="9"/>
        <v>2.5146000000000002</v>
      </c>
      <c r="D98" s="14">
        <v>8.25</v>
      </c>
      <c r="R98" s="2" t="s">
        <v>57</v>
      </c>
      <c r="S98" t="s">
        <v>74</v>
      </c>
      <c r="AG98" s="2">
        <v>128.4</v>
      </c>
      <c r="AI98">
        <v>94.1</v>
      </c>
      <c r="AJ98">
        <v>53.1</v>
      </c>
      <c r="AK98" s="11">
        <f t="shared" si="8"/>
        <v>2.4180790960451977</v>
      </c>
      <c r="AL98">
        <v>2.02</v>
      </c>
      <c r="AS98" s="12"/>
    </row>
    <row r="99" spans="1:45">
      <c r="A99" t="s">
        <v>93</v>
      </c>
      <c r="B99" s="18" t="s">
        <v>71</v>
      </c>
      <c r="C99" s="21">
        <f t="shared" si="9"/>
        <v>2.6670000000000003</v>
      </c>
      <c r="D99" s="14">
        <v>8.75</v>
      </c>
      <c r="P99">
        <v>36</v>
      </c>
      <c r="Q99" s="12">
        <v>0.10000000000000003</v>
      </c>
      <c r="R99" s="2" t="s">
        <v>57</v>
      </c>
      <c r="S99" t="s">
        <v>74</v>
      </c>
      <c r="AG99" s="2">
        <v>153.80000000000001</v>
      </c>
      <c r="AI99">
        <v>107.4</v>
      </c>
      <c r="AJ99">
        <v>54.2</v>
      </c>
      <c r="AK99" s="11">
        <f t="shared" si="8"/>
        <v>2.8376383763837638</v>
      </c>
      <c r="AL99">
        <v>2.04</v>
      </c>
      <c r="AS99" s="12"/>
    </row>
    <row r="100" spans="1:45">
      <c r="A100" t="s">
        <v>94</v>
      </c>
      <c r="B100" s="18" t="s">
        <v>71</v>
      </c>
      <c r="C100" s="21">
        <f t="shared" si="9"/>
        <v>2.8194000000000004</v>
      </c>
      <c r="D100" s="14">
        <v>9.25</v>
      </c>
      <c r="R100" s="2" t="s">
        <v>57</v>
      </c>
      <c r="S100" t="s">
        <v>74</v>
      </c>
      <c r="AG100" s="2">
        <v>152.69999999999999</v>
      </c>
      <c r="AI100">
        <v>93</v>
      </c>
      <c r="AJ100">
        <v>58.7</v>
      </c>
      <c r="AK100" s="11">
        <f t="shared" si="8"/>
        <v>2.6013628620102209</v>
      </c>
      <c r="AL100">
        <v>1.98</v>
      </c>
      <c r="AS100" s="12"/>
    </row>
    <row r="101" spans="1:45">
      <c r="A101" t="s">
        <v>95</v>
      </c>
      <c r="B101" s="18" t="s">
        <v>71</v>
      </c>
      <c r="C101" s="21">
        <f t="shared" si="9"/>
        <v>2.9718</v>
      </c>
      <c r="D101" s="14">
        <v>9.75</v>
      </c>
      <c r="R101" s="2" t="s">
        <v>57</v>
      </c>
      <c r="S101" t="s">
        <v>79</v>
      </c>
      <c r="AG101" s="2">
        <v>142.80000000000001</v>
      </c>
      <c r="AI101">
        <v>93</v>
      </c>
      <c r="AJ101">
        <v>53.1</v>
      </c>
      <c r="AK101" s="11">
        <f t="shared" si="8"/>
        <v>2.6892655367231639</v>
      </c>
      <c r="AL101">
        <v>1.96</v>
      </c>
      <c r="AS101" s="12"/>
    </row>
    <row r="102" spans="1:45">
      <c r="A102" t="s">
        <v>96</v>
      </c>
      <c r="B102" s="18" t="s">
        <v>72</v>
      </c>
      <c r="C102" s="21">
        <f t="shared" si="9"/>
        <v>3.2004000000000001</v>
      </c>
      <c r="D102" s="14">
        <v>10.5</v>
      </c>
      <c r="R102" s="2" t="s">
        <v>57</v>
      </c>
      <c r="S102" t="s">
        <v>79</v>
      </c>
      <c r="AG102" s="2">
        <v>121.7</v>
      </c>
      <c r="AI102">
        <v>81.900000000000006</v>
      </c>
      <c r="AJ102">
        <v>43.2</v>
      </c>
      <c r="AK102" s="11">
        <f t="shared" si="8"/>
        <v>2.8171296296296293</v>
      </c>
      <c r="AL102">
        <v>1.91</v>
      </c>
      <c r="AS102" s="12"/>
    </row>
    <row r="103" spans="1:45">
      <c r="A103" t="s">
        <v>97</v>
      </c>
      <c r="B103" s="18" t="s">
        <v>72</v>
      </c>
      <c r="C103" s="21">
        <f t="shared" si="9"/>
        <v>3.5052000000000003</v>
      </c>
      <c r="D103" s="14">
        <v>11.5</v>
      </c>
      <c r="P103">
        <v>33</v>
      </c>
      <c r="Q103" s="12">
        <v>0.13939393939393943</v>
      </c>
      <c r="R103" s="2" t="s">
        <v>57</v>
      </c>
      <c r="S103" t="s">
        <v>80</v>
      </c>
      <c r="AG103" s="2">
        <v>190.4</v>
      </c>
      <c r="AI103">
        <v>118.4</v>
      </c>
      <c r="AJ103">
        <v>75.3</v>
      </c>
      <c r="AK103" s="11">
        <f t="shared" si="8"/>
        <v>2.5285524568393094</v>
      </c>
      <c r="AL103">
        <v>2</v>
      </c>
      <c r="AS103" s="12"/>
    </row>
    <row r="104" spans="1:45">
      <c r="A104" t="s">
        <v>98</v>
      </c>
      <c r="B104" s="18" t="s">
        <v>73</v>
      </c>
      <c r="C104" s="21">
        <f t="shared" si="9"/>
        <v>3.7338</v>
      </c>
      <c r="D104" s="14">
        <v>12.25</v>
      </c>
      <c r="P104">
        <v>26</v>
      </c>
      <c r="Q104" s="12">
        <v>0.17307692307692307</v>
      </c>
      <c r="R104" s="2" t="s">
        <v>57</v>
      </c>
      <c r="S104" t="s">
        <v>80</v>
      </c>
      <c r="AG104" s="2">
        <v>138.30000000000001</v>
      </c>
      <c r="AI104">
        <v>101.8</v>
      </c>
      <c r="AJ104">
        <v>54.2</v>
      </c>
      <c r="AK104" s="11">
        <f t="shared" si="8"/>
        <v>2.5516605166051662</v>
      </c>
      <c r="AL104">
        <v>2.0499999999999998</v>
      </c>
      <c r="AS104" s="12"/>
    </row>
    <row r="105" spans="1:45">
      <c r="A105" t="s">
        <v>99</v>
      </c>
      <c r="B105" s="18" t="s">
        <v>73</v>
      </c>
      <c r="C105" s="21">
        <f t="shared" si="9"/>
        <v>3.8862000000000001</v>
      </c>
      <c r="D105" s="14">
        <v>12.75</v>
      </c>
      <c r="P105">
        <v>23</v>
      </c>
      <c r="Q105" s="12">
        <v>0.43478260869565216</v>
      </c>
      <c r="R105" s="2" t="s">
        <v>49</v>
      </c>
      <c r="S105" t="s">
        <v>76</v>
      </c>
      <c r="AG105" s="2">
        <v>107.4</v>
      </c>
      <c r="AI105">
        <v>74.2</v>
      </c>
      <c r="AJ105">
        <v>31</v>
      </c>
      <c r="AK105" s="11">
        <f t="shared" si="8"/>
        <v>3.4645161290322584</v>
      </c>
      <c r="AL105">
        <v>1.95</v>
      </c>
      <c r="AS105" s="12"/>
    </row>
    <row r="106" spans="1:45">
      <c r="A106" t="s">
        <v>100</v>
      </c>
      <c r="B106" s="18" t="s">
        <v>73</v>
      </c>
      <c r="C106" s="21">
        <f t="shared" si="9"/>
        <v>3.99288</v>
      </c>
      <c r="D106" s="14">
        <v>13.1</v>
      </c>
      <c r="R106" s="2" t="s">
        <v>49</v>
      </c>
      <c r="S106" t="s">
        <v>76</v>
      </c>
      <c r="AG106" s="2">
        <v>75.3</v>
      </c>
      <c r="AI106">
        <v>59.8</v>
      </c>
      <c r="AJ106">
        <v>19.899999999999999</v>
      </c>
      <c r="AK106" s="11">
        <f t="shared" si="8"/>
        <v>3.78391959798995</v>
      </c>
      <c r="AL106">
        <v>2.0099999999999998</v>
      </c>
      <c r="AS106" s="12"/>
    </row>
    <row r="107" spans="1:45">
      <c r="A107" t="s">
        <v>101</v>
      </c>
      <c r="B107" s="18" t="s">
        <v>73</v>
      </c>
      <c r="C107" s="21">
        <f t="shared" si="9"/>
        <v>4.0721280000000002</v>
      </c>
      <c r="D107" s="14">
        <v>13.36</v>
      </c>
      <c r="P107">
        <v>23</v>
      </c>
      <c r="Q107" s="12">
        <v>0.34782608695652173</v>
      </c>
      <c r="R107" s="2" t="s">
        <v>45</v>
      </c>
      <c r="S107" t="s">
        <v>78</v>
      </c>
      <c r="AG107" s="13" t="s">
        <v>28</v>
      </c>
      <c r="AH107" s="13" t="s">
        <v>28</v>
      </c>
      <c r="AI107" s="13" t="s">
        <v>28</v>
      </c>
      <c r="AJ107" s="13" t="s">
        <v>28</v>
      </c>
      <c r="AK107" s="13" t="s">
        <v>28</v>
      </c>
      <c r="AL107" s="13" t="s">
        <v>28</v>
      </c>
      <c r="AS107" s="12"/>
    </row>
    <row r="108" spans="1:45">
      <c r="A108" t="s">
        <v>102</v>
      </c>
      <c r="B108" s="18" t="s">
        <v>73</v>
      </c>
      <c r="C108" s="21">
        <f>+D108*0.3048</f>
        <v>4.1909999999999998</v>
      </c>
      <c r="D108" s="14">
        <v>13.75</v>
      </c>
      <c r="R108" s="2" t="s">
        <v>49</v>
      </c>
      <c r="S108" t="s">
        <v>76</v>
      </c>
      <c r="AG108" s="2">
        <v>127.3</v>
      </c>
      <c r="AI108">
        <v>88.5</v>
      </c>
      <c r="AJ108">
        <v>40.9</v>
      </c>
      <c r="AK108" s="11">
        <f t="shared" si="8"/>
        <v>3.1124694376528117</v>
      </c>
      <c r="AL108">
        <v>2.04</v>
      </c>
      <c r="AS108" s="12"/>
    </row>
    <row r="109" spans="1:45">
      <c r="A109" t="s">
        <v>103</v>
      </c>
      <c r="B109" s="18" t="s">
        <v>200</v>
      </c>
      <c r="C109" s="21">
        <f t="shared" ref="C109:C166" si="10">+D109*0.3048</f>
        <v>4.6482000000000001</v>
      </c>
      <c r="D109" s="14">
        <v>15.25</v>
      </c>
      <c r="R109" s="2" t="s">
        <v>49</v>
      </c>
      <c r="S109" t="s">
        <v>76</v>
      </c>
      <c r="AG109" s="2">
        <v>120.6</v>
      </c>
      <c r="AI109">
        <v>68.599999999999994</v>
      </c>
      <c r="AJ109">
        <v>36.5</v>
      </c>
      <c r="AK109" s="11">
        <f t="shared" si="8"/>
        <v>3.3041095890410959</v>
      </c>
      <c r="AL109">
        <v>1.76</v>
      </c>
      <c r="AS109" s="12"/>
    </row>
    <row r="110" spans="1:45">
      <c r="A110" t="s">
        <v>104</v>
      </c>
      <c r="B110" s="18" t="s">
        <v>200</v>
      </c>
      <c r="C110" s="21">
        <f t="shared" si="10"/>
        <v>4.8006000000000002</v>
      </c>
      <c r="D110" s="14">
        <v>15.75</v>
      </c>
      <c r="R110" s="2" t="s">
        <v>49</v>
      </c>
      <c r="S110" t="s">
        <v>76</v>
      </c>
      <c r="AG110" s="2">
        <v>139.4</v>
      </c>
      <c r="AI110">
        <v>45.4</v>
      </c>
      <c r="AJ110">
        <v>32.1</v>
      </c>
      <c r="AK110" s="11">
        <f t="shared" si="8"/>
        <v>4.342679127725857</v>
      </c>
      <c r="AL110">
        <v>1.91</v>
      </c>
      <c r="AS110" s="12"/>
    </row>
    <row r="111" spans="1:45">
      <c r="A111" t="s">
        <v>105</v>
      </c>
      <c r="B111" s="18" t="s">
        <v>200</v>
      </c>
      <c r="C111" s="21">
        <f t="shared" si="10"/>
        <v>4.9530000000000003</v>
      </c>
      <c r="D111" s="14">
        <v>16.25</v>
      </c>
      <c r="R111" s="2" t="s">
        <v>45</v>
      </c>
      <c r="S111" t="s">
        <v>78</v>
      </c>
      <c r="AG111" s="2">
        <v>104</v>
      </c>
      <c r="AI111">
        <v>68.599999999999994</v>
      </c>
      <c r="AJ111">
        <v>33.200000000000003</v>
      </c>
      <c r="AK111" s="11">
        <f t="shared" si="8"/>
        <v>3.1325301204819276</v>
      </c>
      <c r="AL111">
        <v>1.88</v>
      </c>
      <c r="AS111" s="12"/>
    </row>
    <row r="112" spans="1:45">
      <c r="A112" t="s">
        <v>106</v>
      </c>
      <c r="B112" s="18" t="s">
        <v>200</v>
      </c>
      <c r="C112" s="21">
        <f t="shared" si="10"/>
        <v>5.1054000000000004</v>
      </c>
      <c r="D112" s="14">
        <v>16.75</v>
      </c>
      <c r="R112" s="2" t="s">
        <v>45</v>
      </c>
      <c r="S112" t="s">
        <v>78</v>
      </c>
      <c r="AG112" s="2">
        <v>75.3</v>
      </c>
      <c r="AI112">
        <v>60.9</v>
      </c>
      <c r="AJ112">
        <v>17.7</v>
      </c>
      <c r="AK112" s="11">
        <f t="shared" si="8"/>
        <v>4.2542372881355934</v>
      </c>
      <c r="AL112">
        <v>1.93</v>
      </c>
      <c r="AS112" s="12"/>
    </row>
    <row r="113" spans="1:45">
      <c r="A113" t="s">
        <v>107</v>
      </c>
      <c r="B113" s="18" t="s">
        <v>200</v>
      </c>
      <c r="C113" s="21">
        <f t="shared" si="10"/>
        <v>5.1694080000000007</v>
      </c>
      <c r="D113" s="14">
        <v>16.96</v>
      </c>
      <c r="R113" s="2" t="s">
        <v>45</v>
      </c>
      <c r="S113" t="s">
        <v>78</v>
      </c>
      <c r="AG113" s="13" t="s">
        <v>28</v>
      </c>
      <c r="AH113" s="13" t="s">
        <v>28</v>
      </c>
      <c r="AI113" s="13" t="s">
        <v>28</v>
      </c>
      <c r="AJ113" s="13" t="s">
        <v>28</v>
      </c>
      <c r="AK113" s="13" t="s">
        <v>28</v>
      </c>
      <c r="AL113" s="13" t="s">
        <v>28</v>
      </c>
      <c r="AS113" s="12"/>
    </row>
    <row r="114" spans="1:45">
      <c r="A114" t="s">
        <v>108</v>
      </c>
      <c r="B114" s="18" t="s">
        <v>201</v>
      </c>
      <c r="C114" s="21">
        <f t="shared" si="10"/>
        <v>5.2578000000000005</v>
      </c>
      <c r="D114" s="14">
        <v>17.25</v>
      </c>
      <c r="R114" s="2" t="s">
        <v>49</v>
      </c>
      <c r="S114" t="s">
        <v>76</v>
      </c>
      <c r="AG114" s="2">
        <v>78.599999999999994</v>
      </c>
      <c r="AI114">
        <v>58.7</v>
      </c>
      <c r="AJ114">
        <v>29.9</v>
      </c>
      <c r="AK114" s="11">
        <f t="shared" si="8"/>
        <v>2.6287625418060201</v>
      </c>
      <c r="AL114">
        <v>1.85</v>
      </c>
      <c r="AS114" s="12"/>
    </row>
    <row r="115" spans="1:45">
      <c r="A115" t="s">
        <v>109</v>
      </c>
      <c r="B115" s="18" t="s">
        <v>201</v>
      </c>
      <c r="C115" s="21">
        <f t="shared" si="10"/>
        <v>5.4102000000000006</v>
      </c>
      <c r="D115" s="14">
        <v>17.75</v>
      </c>
      <c r="R115" s="2" t="s">
        <v>49</v>
      </c>
      <c r="S115" t="s">
        <v>76</v>
      </c>
      <c r="AG115" s="2">
        <v>74.2</v>
      </c>
      <c r="AI115">
        <v>55.3</v>
      </c>
      <c r="AJ115">
        <v>24.3</v>
      </c>
      <c r="AK115" s="11">
        <f t="shared" si="8"/>
        <v>3.0534979423868314</v>
      </c>
      <c r="AL115">
        <v>1.9</v>
      </c>
    </row>
    <row r="116" spans="1:45">
      <c r="A116" t="s">
        <v>110</v>
      </c>
      <c r="B116" s="18" t="s">
        <v>201</v>
      </c>
      <c r="C116" s="21">
        <f t="shared" si="10"/>
        <v>5.5626000000000007</v>
      </c>
      <c r="D116" s="14">
        <v>18.25</v>
      </c>
      <c r="R116" s="2" t="s">
        <v>49</v>
      </c>
      <c r="S116" t="s">
        <v>76</v>
      </c>
      <c r="AG116" s="2">
        <v>63.1</v>
      </c>
      <c r="AI116">
        <v>48.7</v>
      </c>
      <c r="AJ116">
        <v>19.899999999999999</v>
      </c>
      <c r="AK116" s="11">
        <f t="shared" si="8"/>
        <v>3.1708542713567844</v>
      </c>
      <c r="AL116">
        <v>1.94</v>
      </c>
    </row>
    <row r="117" spans="1:45">
      <c r="A117" t="s">
        <v>111</v>
      </c>
      <c r="B117" s="18" t="s">
        <v>201</v>
      </c>
      <c r="C117" s="21">
        <f t="shared" si="10"/>
        <v>5.7149999999999999</v>
      </c>
      <c r="D117" s="14">
        <v>18.75</v>
      </c>
      <c r="R117" s="2" t="s">
        <v>49</v>
      </c>
      <c r="S117" t="s">
        <v>76</v>
      </c>
      <c r="AG117" s="2">
        <v>44.3</v>
      </c>
      <c r="AI117">
        <v>32.1</v>
      </c>
      <c r="AJ117">
        <v>12.2</v>
      </c>
      <c r="AK117" s="11">
        <f t="shared" si="8"/>
        <v>3.6311475409836067</v>
      </c>
      <c r="AL117">
        <v>1.93</v>
      </c>
    </row>
    <row r="118" spans="1:45">
      <c r="A118" t="s">
        <v>112</v>
      </c>
      <c r="B118" s="18" t="s">
        <v>210</v>
      </c>
      <c r="C118" s="21">
        <f t="shared" si="10"/>
        <v>5.8673999999999999</v>
      </c>
      <c r="D118" s="14">
        <v>19.25</v>
      </c>
      <c r="R118" s="2" t="s">
        <v>54</v>
      </c>
      <c r="S118" t="s">
        <v>20</v>
      </c>
      <c r="AG118" s="2">
        <v>33.200000000000003</v>
      </c>
      <c r="AI118">
        <v>27.7</v>
      </c>
      <c r="AJ118">
        <v>1.1000000000000001</v>
      </c>
      <c r="AK118" s="11">
        <f t="shared" si="8"/>
        <v>30.181818181818183</v>
      </c>
      <c r="AL118">
        <v>1.92</v>
      </c>
    </row>
    <row r="119" spans="1:45">
      <c r="A119" t="s">
        <v>113</v>
      </c>
      <c r="B119" s="18" t="s">
        <v>210</v>
      </c>
      <c r="C119" s="21">
        <f t="shared" si="10"/>
        <v>5.9679839999999995</v>
      </c>
      <c r="D119" s="14">
        <v>19.579999999999998</v>
      </c>
      <c r="R119" s="2" t="s">
        <v>49</v>
      </c>
      <c r="S119" t="s">
        <v>76</v>
      </c>
      <c r="AG119" s="2">
        <v>23.2</v>
      </c>
      <c r="AI119">
        <v>18.8</v>
      </c>
      <c r="AJ119">
        <v>2.2000000000000002</v>
      </c>
      <c r="AK119" s="11">
        <f t="shared" si="8"/>
        <v>10.545454545454545</v>
      </c>
      <c r="AL119">
        <v>1.89</v>
      </c>
    </row>
    <row r="120" spans="1:45">
      <c r="A120" t="s">
        <v>114</v>
      </c>
      <c r="B120" s="18" t="s">
        <v>210</v>
      </c>
      <c r="C120" s="21">
        <f t="shared" si="10"/>
        <v>6.0563760000000002</v>
      </c>
      <c r="D120" s="14">
        <v>19.87</v>
      </c>
      <c r="R120" s="2" t="s">
        <v>49</v>
      </c>
      <c r="S120" t="s">
        <v>76</v>
      </c>
      <c r="AG120" s="2">
        <v>23.2</v>
      </c>
      <c r="AI120">
        <v>18.8</v>
      </c>
      <c r="AJ120">
        <v>2.2000000000000002</v>
      </c>
      <c r="AK120" s="11">
        <f>+AG120/AJ120</f>
        <v>10.545454545454545</v>
      </c>
      <c r="AL120">
        <v>1.89</v>
      </c>
    </row>
    <row r="121" spans="1:45">
      <c r="A121" t="s">
        <v>115</v>
      </c>
      <c r="B121" s="18" t="s">
        <v>210</v>
      </c>
      <c r="C121" s="21">
        <f t="shared" si="10"/>
        <v>6.1843919999999999</v>
      </c>
      <c r="D121" s="14">
        <v>20.29</v>
      </c>
      <c r="R121" s="2" t="s">
        <v>45</v>
      </c>
      <c r="S121" t="s">
        <v>78</v>
      </c>
      <c r="AG121" s="2">
        <v>29.9</v>
      </c>
      <c r="AI121">
        <v>22.1</v>
      </c>
      <c r="AJ121">
        <v>3.3</v>
      </c>
      <c r="AK121" s="11">
        <f t="shared" ref="AK121:AK162" si="11">+AG121/AJ121</f>
        <v>9.0606060606060606</v>
      </c>
      <c r="AL121">
        <v>1.9</v>
      </c>
    </row>
    <row r="122" spans="1:45">
      <c r="A122" t="s">
        <v>116</v>
      </c>
      <c r="B122" s="18" t="s">
        <v>210</v>
      </c>
      <c r="C122" s="21">
        <f t="shared" si="10"/>
        <v>6.2788800000000009</v>
      </c>
      <c r="D122" s="14">
        <v>20.6</v>
      </c>
      <c r="R122" s="2" t="s">
        <v>45</v>
      </c>
      <c r="S122" t="s">
        <v>78</v>
      </c>
      <c r="AG122" s="13" t="s">
        <v>28</v>
      </c>
      <c r="AH122" s="13" t="s">
        <v>28</v>
      </c>
      <c r="AI122" s="13" t="s">
        <v>28</v>
      </c>
      <c r="AJ122" s="13" t="s">
        <v>28</v>
      </c>
      <c r="AK122" s="13" t="s">
        <v>28</v>
      </c>
      <c r="AL122" s="13" t="s">
        <v>28</v>
      </c>
    </row>
    <row r="123" spans="1:45">
      <c r="A123" t="s">
        <v>117</v>
      </c>
      <c r="B123" s="18" t="s">
        <v>223</v>
      </c>
      <c r="C123" s="21">
        <f t="shared" si="10"/>
        <v>6.4770000000000003</v>
      </c>
      <c r="D123" s="14">
        <v>21.25</v>
      </c>
      <c r="R123" s="2" t="s">
        <v>21</v>
      </c>
      <c r="S123" t="s">
        <v>22</v>
      </c>
      <c r="AG123" s="2">
        <v>58.7</v>
      </c>
      <c r="AI123">
        <v>42.1</v>
      </c>
      <c r="AJ123">
        <v>4.4000000000000004</v>
      </c>
      <c r="AK123" s="11">
        <f t="shared" si="11"/>
        <v>13.34090909090909</v>
      </c>
      <c r="AL123">
        <v>1.86</v>
      </c>
    </row>
    <row r="124" spans="1:45">
      <c r="A124" t="s">
        <v>118</v>
      </c>
      <c r="B124" s="18" t="s">
        <v>223</v>
      </c>
      <c r="C124" s="21">
        <f t="shared" si="10"/>
        <v>6.5913000000000004</v>
      </c>
      <c r="D124" s="14">
        <v>21.625</v>
      </c>
      <c r="R124" s="2" t="s">
        <v>45</v>
      </c>
      <c r="S124" t="s">
        <v>78</v>
      </c>
      <c r="AG124" s="2">
        <v>39.799999999999997</v>
      </c>
      <c r="AI124">
        <v>29.9</v>
      </c>
      <c r="AJ124">
        <v>3.3</v>
      </c>
      <c r="AK124" s="11">
        <f t="shared" si="11"/>
        <v>12.060606060606061</v>
      </c>
      <c r="AL124">
        <v>1.84</v>
      </c>
    </row>
    <row r="125" spans="1:45">
      <c r="A125" t="s">
        <v>119</v>
      </c>
      <c r="B125" s="18" t="s">
        <v>223</v>
      </c>
      <c r="C125" s="21">
        <f t="shared" si="10"/>
        <v>6.6675000000000004</v>
      </c>
      <c r="D125" s="14">
        <v>21.875</v>
      </c>
      <c r="R125" s="2" t="s">
        <v>57</v>
      </c>
      <c r="S125" t="s">
        <v>74</v>
      </c>
      <c r="AG125" s="2">
        <v>39.799999999999997</v>
      </c>
      <c r="AI125">
        <v>29.9</v>
      </c>
      <c r="AJ125">
        <v>3.3</v>
      </c>
      <c r="AK125" s="11">
        <f t="shared" si="11"/>
        <v>12.060606060606061</v>
      </c>
      <c r="AL125">
        <v>1.84</v>
      </c>
    </row>
    <row r="126" spans="1:45">
      <c r="A126" t="s">
        <v>120</v>
      </c>
      <c r="B126" s="18" t="s">
        <v>223</v>
      </c>
      <c r="C126" s="21">
        <f t="shared" si="10"/>
        <v>6.7818000000000005</v>
      </c>
      <c r="D126" s="14">
        <v>22.25</v>
      </c>
      <c r="R126" s="2" t="s">
        <v>57</v>
      </c>
      <c r="S126" t="s">
        <v>74</v>
      </c>
      <c r="AG126" s="2">
        <v>45.4</v>
      </c>
      <c r="AI126">
        <v>37.6</v>
      </c>
      <c r="AJ126">
        <v>5.5</v>
      </c>
      <c r="AK126" s="11">
        <f t="shared" si="11"/>
        <v>8.254545454545454</v>
      </c>
      <c r="AL126">
        <v>1.88</v>
      </c>
    </row>
    <row r="127" spans="1:45">
      <c r="A127" t="s">
        <v>121</v>
      </c>
      <c r="B127" s="18" t="s">
        <v>223</v>
      </c>
      <c r="C127" s="21">
        <f t="shared" si="10"/>
        <v>6.9342000000000006</v>
      </c>
      <c r="D127" s="14">
        <v>22.75</v>
      </c>
      <c r="R127" s="2" t="s">
        <v>57</v>
      </c>
      <c r="S127" t="s">
        <v>74</v>
      </c>
      <c r="AG127" s="2">
        <v>71.900000000000006</v>
      </c>
      <c r="AI127">
        <v>55.3</v>
      </c>
      <c r="AJ127">
        <v>16.600000000000001</v>
      </c>
      <c r="AK127" s="11">
        <f t="shared" si="11"/>
        <v>4.331325301204819</v>
      </c>
      <c r="AL127">
        <v>1.95</v>
      </c>
    </row>
    <row r="128" spans="1:45">
      <c r="A128" t="s">
        <v>122</v>
      </c>
      <c r="B128" s="18" t="s">
        <v>123</v>
      </c>
      <c r="C128" s="21">
        <f t="shared" si="10"/>
        <v>7.0408800000000005</v>
      </c>
      <c r="D128" s="14">
        <v>23.1</v>
      </c>
      <c r="R128" s="2" t="s">
        <v>57</v>
      </c>
      <c r="S128" t="s">
        <v>74</v>
      </c>
      <c r="AG128" s="13" t="s">
        <v>28</v>
      </c>
      <c r="AH128" s="13" t="s">
        <v>28</v>
      </c>
      <c r="AI128" s="13" t="s">
        <v>28</v>
      </c>
      <c r="AJ128" s="13" t="s">
        <v>28</v>
      </c>
      <c r="AK128" s="13" t="s">
        <v>28</v>
      </c>
      <c r="AL128" s="13" t="s">
        <v>28</v>
      </c>
    </row>
    <row r="129" spans="1:38">
      <c r="A129" t="s">
        <v>124</v>
      </c>
      <c r="B129" s="18" t="s">
        <v>123</v>
      </c>
      <c r="C129" s="21">
        <f t="shared" si="10"/>
        <v>7.1628000000000007</v>
      </c>
      <c r="D129" s="14">
        <v>23.5</v>
      </c>
      <c r="R129" s="2" t="s">
        <v>57</v>
      </c>
      <c r="S129" t="s">
        <v>74</v>
      </c>
      <c r="AG129" s="2">
        <v>77.5</v>
      </c>
      <c r="AI129">
        <v>62</v>
      </c>
      <c r="AJ129">
        <v>18.8</v>
      </c>
      <c r="AK129" s="11">
        <f t="shared" si="11"/>
        <v>4.1223404255319149</v>
      </c>
      <c r="AL129">
        <v>1.87</v>
      </c>
    </row>
    <row r="130" spans="1:38">
      <c r="A130" t="s">
        <v>125</v>
      </c>
      <c r="B130" s="18" t="s">
        <v>123</v>
      </c>
      <c r="C130" s="21">
        <f t="shared" si="10"/>
        <v>7.3152000000000008</v>
      </c>
      <c r="D130" s="14">
        <v>24</v>
      </c>
      <c r="R130" s="2" t="s">
        <v>57</v>
      </c>
      <c r="S130" t="s">
        <v>74</v>
      </c>
      <c r="AG130" s="2">
        <v>105.1</v>
      </c>
      <c r="AI130">
        <v>71.900000000000006</v>
      </c>
      <c r="AJ130">
        <v>35.4</v>
      </c>
      <c r="AK130" s="11">
        <f t="shared" si="11"/>
        <v>2.9689265536723162</v>
      </c>
      <c r="AL130">
        <v>1.89</v>
      </c>
    </row>
    <row r="131" spans="1:38">
      <c r="A131" t="s">
        <v>126</v>
      </c>
      <c r="B131" s="18" t="s">
        <v>123</v>
      </c>
      <c r="C131" s="21">
        <f t="shared" si="10"/>
        <v>7.5438000000000001</v>
      </c>
      <c r="D131" s="14">
        <v>24.75</v>
      </c>
      <c r="R131" s="2" t="s">
        <v>45</v>
      </c>
      <c r="S131" t="s">
        <v>78</v>
      </c>
      <c r="AG131" s="2">
        <v>62</v>
      </c>
      <c r="AI131">
        <v>50.9</v>
      </c>
      <c r="AJ131">
        <v>13.3</v>
      </c>
      <c r="AK131" s="11">
        <f t="shared" si="11"/>
        <v>4.6616541353383454</v>
      </c>
      <c r="AL131">
        <v>1.85</v>
      </c>
    </row>
    <row r="132" spans="1:38">
      <c r="A132" t="s">
        <v>127</v>
      </c>
      <c r="B132" s="18" t="s">
        <v>128</v>
      </c>
      <c r="C132" s="21">
        <f t="shared" si="10"/>
        <v>7.7343000000000002</v>
      </c>
      <c r="D132" s="14">
        <v>25.375</v>
      </c>
      <c r="R132" s="2" t="s">
        <v>23</v>
      </c>
      <c r="S132" t="s">
        <v>74</v>
      </c>
      <c r="AG132" s="13" t="s">
        <v>28</v>
      </c>
      <c r="AH132" s="13" t="s">
        <v>28</v>
      </c>
      <c r="AI132" s="13" t="s">
        <v>28</v>
      </c>
      <c r="AJ132" s="13" t="s">
        <v>28</v>
      </c>
      <c r="AK132" s="13" t="s">
        <v>28</v>
      </c>
      <c r="AL132">
        <v>1.85</v>
      </c>
    </row>
    <row r="133" spans="1:38">
      <c r="A133" t="s">
        <v>129</v>
      </c>
      <c r="B133" s="18" t="s">
        <v>128</v>
      </c>
      <c r="C133" s="21">
        <f t="shared" si="10"/>
        <v>7.8486000000000002</v>
      </c>
      <c r="D133" s="14">
        <v>25.75</v>
      </c>
      <c r="R133" s="2" t="s">
        <v>45</v>
      </c>
      <c r="S133" t="s">
        <v>78</v>
      </c>
      <c r="AG133" s="2">
        <v>73</v>
      </c>
      <c r="AI133">
        <v>58.7</v>
      </c>
      <c r="AJ133">
        <v>22.1</v>
      </c>
      <c r="AK133" s="11">
        <f t="shared" si="11"/>
        <v>3.3031674208144794</v>
      </c>
      <c r="AL133">
        <v>1.9</v>
      </c>
    </row>
    <row r="134" spans="1:38">
      <c r="A134" t="s">
        <v>130</v>
      </c>
      <c r="B134" s="18" t="s">
        <v>128</v>
      </c>
      <c r="C134" s="21">
        <f t="shared" si="10"/>
        <v>8.0010000000000012</v>
      </c>
      <c r="D134" s="14">
        <v>26.25</v>
      </c>
      <c r="R134" s="2" t="s">
        <v>45</v>
      </c>
      <c r="S134" t="s">
        <v>78</v>
      </c>
      <c r="AG134" s="2">
        <v>107.4</v>
      </c>
      <c r="AI134">
        <v>73</v>
      </c>
      <c r="AJ134">
        <v>29.9</v>
      </c>
      <c r="AK134" s="11">
        <f t="shared" si="11"/>
        <v>3.5919732441471575</v>
      </c>
      <c r="AL134">
        <v>1.94</v>
      </c>
    </row>
    <row r="135" spans="1:38">
      <c r="A135" t="s">
        <v>131</v>
      </c>
      <c r="B135" s="18" t="s">
        <v>128</v>
      </c>
      <c r="C135" s="21">
        <f t="shared" si="10"/>
        <v>8.1533999999999995</v>
      </c>
      <c r="D135" s="14">
        <v>26.75</v>
      </c>
      <c r="R135" s="2" t="s">
        <v>45</v>
      </c>
      <c r="S135" t="s">
        <v>78</v>
      </c>
      <c r="AG135" s="2">
        <v>101.8</v>
      </c>
      <c r="AI135">
        <v>64.2</v>
      </c>
      <c r="AJ135">
        <v>32.1</v>
      </c>
      <c r="AK135" s="11">
        <f t="shared" si="11"/>
        <v>3.171339563862928</v>
      </c>
      <c r="AL135">
        <v>1.93</v>
      </c>
    </row>
    <row r="136" spans="1:38">
      <c r="A136" t="s">
        <v>132</v>
      </c>
      <c r="B136" s="18" t="s">
        <v>229</v>
      </c>
      <c r="C136" s="21">
        <f t="shared" si="10"/>
        <v>8.3057999999999996</v>
      </c>
      <c r="D136" s="14">
        <v>27.25</v>
      </c>
      <c r="R136" s="2" t="s">
        <v>57</v>
      </c>
      <c r="S136" t="s">
        <v>79</v>
      </c>
      <c r="AG136" s="2">
        <v>76.400000000000006</v>
      </c>
      <c r="AI136">
        <v>55.3</v>
      </c>
      <c r="AJ136">
        <v>18.8</v>
      </c>
      <c r="AK136" s="11">
        <f t="shared" si="11"/>
        <v>4.0638297872340425</v>
      </c>
      <c r="AL136">
        <v>1.94</v>
      </c>
    </row>
    <row r="137" spans="1:38">
      <c r="A137" t="s">
        <v>133</v>
      </c>
      <c r="B137" s="18" t="s">
        <v>229</v>
      </c>
      <c r="C137" s="21">
        <f t="shared" si="10"/>
        <v>8.4581999999999997</v>
      </c>
      <c r="D137" s="14">
        <v>27.75</v>
      </c>
      <c r="R137" s="2" t="s">
        <v>49</v>
      </c>
      <c r="S137" t="s">
        <v>76</v>
      </c>
      <c r="AG137" s="2">
        <v>105.1</v>
      </c>
      <c r="AI137">
        <v>76.400000000000006</v>
      </c>
      <c r="AJ137">
        <v>27.7</v>
      </c>
      <c r="AK137" s="11">
        <f t="shared" si="11"/>
        <v>3.7942238267148012</v>
      </c>
      <c r="AL137">
        <v>2</v>
      </c>
    </row>
    <row r="138" spans="1:38">
      <c r="A138" t="s">
        <v>134</v>
      </c>
      <c r="B138" s="18" t="s">
        <v>229</v>
      </c>
      <c r="C138" s="21">
        <f t="shared" si="10"/>
        <v>8.6105999999999998</v>
      </c>
      <c r="D138" s="14">
        <v>28.25</v>
      </c>
      <c r="R138" s="2" t="s">
        <v>49</v>
      </c>
      <c r="S138" t="s">
        <v>76</v>
      </c>
      <c r="AG138" s="2">
        <v>116.2</v>
      </c>
      <c r="AI138">
        <v>83</v>
      </c>
      <c r="AJ138">
        <v>31</v>
      </c>
      <c r="AK138" s="11">
        <f t="shared" si="11"/>
        <v>3.7483870967741937</v>
      </c>
      <c r="AL138">
        <v>2.0499999999999998</v>
      </c>
    </row>
    <row r="139" spans="1:38">
      <c r="A139" t="s">
        <v>135</v>
      </c>
      <c r="B139" s="18" t="s">
        <v>229</v>
      </c>
      <c r="C139" s="21">
        <f t="shared" si="10"/>
        <v>8.7629999999999999</v>
      </c>
      <c r="D139" s="14">
        <v>28.75</v>
      </c>
      <c r="R139" s="2" t="s">
        <v>57</v>
      </c>
      <c r="S139" t="s">
        <v>80</v>
      </c>
      <c r="AG139" s="2">
        <v>132.80000000000001</v>
      </c>
      <c r="AI139">
        <v>105.1</v>
      </c>
      <c r="AJ139">
        <v>44.3</v>
      </c>
      <c r="AK139" s="11">
        <f t="shared" si="11"/>
        <v>2.9977426636568851</v>
      </c>
      <c r="AL139">
        <v>2</v>
      </c>
    </row>
    <row r="140" spans="1:38">
      <c r="A140" t="s">
        <v>136</v>
      </c>
      <c r="B140" s="18" t="s">
        <v>230</v>
      </c>
      <c r="C140" s="21">
        <f t="shared" si="10"/>
        <v>8.9154</v>
      </c>
      <c r="D140" s="14">
        <v>29.25</v>
      </c>
      <c r="R140" s="2" t="s">
        <v>57</v>
      </c>
      <c r="S140" t="s">
        <v>79</v>
      </c>
      <c r="AG140" s="2">
        <v>132.80000000000001</v>
      </c>
      <c r="AI140">
        <v>75.3</v>
      </c>
      <c r="AJ140">
        <v>27.7</v>
      </c>
      <c r="AK140" s="11">
        <f t="shared" si="11"/>
        <v>4.7942238267148021</v>
      </c>
      <c r="AL140">
        <v>1.95</v>
      </c>
    </row>
    <row r="141" spans="1:38">
      <c r="A141" t="s">
        <v>137</v>
      </c>
      <c r="B141" s="18" t="s">
        <v>230</v>
      </c>
      <c r="C141" s="21">
        <f t="shared" si="10"/>
        <v>9.0678000000000001</v>
      </c>
      <c r="D141" s="14">
        <v>29.75</v>
      </c>
      <c r="R141" s="2" t="s">
        <v>57</v>
      </c>
      <c r="S141" t="s">
        <v>80</v>
      </c>
      <c r="AG141" s="2">
        <v>141.69999999999999</v>
      </c>
      <c r="AI141">
        <v>84.1</v>
      </c>
      <c r="AJ141">
        <v>34.299999999999997</v>
      </c>
      <c r="AK141" s="11">
        <f t="shared" si="11"/>
        <v>4.1311953352769679</v>
      </c>
      <c r="AL141">
        <v>1.97</v>
      </c>
    </row>
    <row r="142" spans="1:38">
      <c r="A142" t="s">
        <v>138</v>
      </c>
      <c r="B142" s="18" t="s">
        <v>230</v>
      </c>
      <c r="C142" s="21">
        <f t="shared" si="10"/>
        <v>9.2202000000000002</v>
      </c>
      <c r="D142" s="14">
        <v>30.25</v>
      </c>
      <c r="R142" s="2" t="s">
        <v>57</v>
      </c>
      <c r="S142" t="s">
        <v>74</v>
      </c>
      <c r="AG142" s="2">
        <v>151.6</v>
      </c>
      <c r="AI142">
        <v>110.7</v>
      </c>
      <c r="AJ142">
        <v>38.700000000000003</v>
      </c>
      <c r="AK142" s="11">
        <f t="shared" si="11"/>
        <v>3.9173126614987077</v>
      </c>
      <c r="AL142">
        <v>2.06</v>
      </c>
    </row>
    <row r="143" spans="1:38">
      <c r="A143" t="s">
        <v>139</v>
      </c>
      <c r="B143" s="18" t="s">
        <v>231</v>
      </c>
      <c r="C143" s="21">
        <f t="shared" si="10"/>
        <v>9.5250000000000004</v>
      </c>
      <c r="D143" s="14">
        <v>31.25</v>
      </c>
      <c r="R143" s="2" t="s">
        <v>49</v>
      </c>
      <c r="S143" t="s">
        <v>76</v>
      </c>
      <c r="AG143" s="2">
        <v>71.900000000000006</v>
      </c>
      <c r="AI143">
        <v>52</v>
      </c>
      <c r="AJ143">
        <v>19.899999999999999</v>
      </c>
      <c r="AK143" s="11">
        <f t="shared" si="11"/>
        <v>3.6130653266331665</v>
      </c>
      <c r="AL143">
        <v>1.78</v>
      </c>
    </row>
    <row r="144" spans="1:38">
      <c r="A144" t="s">
        <v>140</v>
      </c>
      <c r="B144" s="18" t="s">
        <v>231</v>
      </c>
      <c r="C144" s="21">
        <f t="shared" si="10"/>
        <v>9.6774000000000004</v>
      </c>
      <c r="D144" s="14">
        <v>31.75</v>
      </c>
      <c r="R144" s="2" t="s">
        <v>49</v>
      </c>
      <c r="S144" t="s">
        <v>76</v>
      </c>
      <c r="AG144" s="2">
        <v>79.7</v>
      </c>
      <c r="AI144">
        <v>62</v>
      </c>
      <c r="AJ144">
        <v>22.1</v>
      </c>
      <c r="AK144" s="11">
        <f t="shared" si="11"/>
        <v>3.6063348416289593</v>
      </c>
      <c r="AL144">
        <v>2.02</v>
      </c>
    </row>
    <row r="145" spans="1:38">
      <c r="A145" t="s">
        <v>141</v>
      </c>
      <c r="B145" s="18" t="s">
        <v>231</v>
      </c>
      <c r="C145" s="21">
        <f t="shared" si="10"/>
        <v>9.8298000000000005</v>
      </c>
      <c r="D145" s="14">
        <v>32.25</v>
      </c>
      <c r="R145" s="2" t="s">
        <v>57</v>
      </c>
      <c r="S145" t="s">
        <v>79</v>
      </c>
      <c r="AG145" s="2">
        <v>95.2</v>
      </c>
      <c r="AI145">
        <v>70.8</v>
      </c>
      <c r="AJ145">
        <v>19.899999999999999</v>
      </c>
      <c r="AK145" s="11">
        <f t="shared" si="11"/>
        <v>4.78391959798995</v>
      </c>
      <c r="AL145">
        <v>1.91</v>
      </c>
    </row>
    <row r="146" spans="1:38">
      <c r="A146" t="s">
        <v>142</v>
      </c>
      <c r="B146" s="18" t="s">
        <v>231</v>
      </c>
      <c r="C146" s="21">
        <f t="shared" si="10"/>
        <v>9.9822000000000006</v>
      </c>
      <c r="D146" s="14">
        <v>32.75</v>
      </c>
      <c r="R146" s="2" t="s">
        <v>45</v>
      </c>
      <c r="S146" t="s">
        <v>78</v>
      </c>
      <c r="AG146" s="2">
        <v>79.7</v>
      </c>
      <c r="AI146">
        <v>60.9</v>
      </c>
      <c r="AJ146">
        <v>22.1</v>
      </c>
      <c r="AK146" s="11">
        <f t="shared" si="11"/>
        <v>3.6063348416289593</v>
      </c>
      <c r="AL146">
        <v>2.0299999999999998</v>
      </c>
    </row>
    <row r="147" spans="1:38">
      <c r="A147" t="s">
        <v>143</v>
      </c>
      <c r="B147" s="18" t="s">
        <v>252</v>
      </c>
      <c r="C147" s="21">
        <f t="shared" si="10"/>
        <v>10.134600000000001</v>
      </c>
      <c r="D147" s="14">
        <v>33.25</v>
      </c>
      <c r="R147" s="2" t="s">
        <v>57</v>
      </c>
      <c r="S147" t="s">
        <v>74</v>
      </c>
      <c r="AG147" s="2">
        <v>70.8</v>
      </c>
      <c r="AI147">
        <v>49.8</v>
      </c>
      <c r="AJ147">
        <v>11.1</v>
      </c>
      <c r="AK147" s="11">
        <f t="shared" si="11"/>
        <v>6.3783783783783781</v>
      </c>
      <c r="AL147" s="13" t="s">
        <v>28</v>
      </c>
    </row>
    <row r="148" spans="1:38">
      <c r="A148" t="s">
        <v>0</v>
      </c>
      <c r="B148" s="18" t="s">
        <v>252</v>
      </c>
      <c r="C148" s="21">
        <f t="shared" si="10"/>
        <v>10.287000000000001</v>
      </c>
      <c r="D148" s="14">
        <v>33.75</v>
      </c>
      <c r="R148" s="2" t="s">
        <v>57</v>
      </c>
      <c r="S148" t="s">
        <v>74</v>
      </c>
      <c r="AG148" s="2">
        <v>81.900000000000006</v>
      </c>
      <c r="AI148">
        <v>56.4</v>
      </c>
      <c r="AJ148">
        <v>17.7</v>
      </c>
      <c r="AK148" s="11">
        <f t="shared" si="11"/>
        <v>4.6271186440677967</v>
      </c>
      <c r="AL148" s="12">
        <v>1.8959999999999999</v>
      </c>
    </row>
    <row r="149" spans="1:38">
      <c r="A149" t="s">
        <v>1</v>
      </c>
      <c r="B149" s="18" t="s">
        <v>252</v>
      </c>
      <c r="C149" s="21">
        <f t="shared" si="10"/>
        <v>10.439400000000001</v>
      </c>
      <c r="D149" s="14">
        <v>34.25</v>
      </c>
      <c r="R149" s="2" t="s">
        <v>45</v>
      </c>
      <c r="S149" t="s">
        <v>78</v>
      </c>
      <c r="AG149" s="2">
        <v>88.5</v>
      </c>
      <c r="AI149">
        <v>70.8</v>
      </c>
      <c r="AJ149">
        <v>15.5</v>
      </c>
      <c r="AK149" s="11">
        <f t="shared" si="11"/>
        <v>5.709677419354839</v>
      </c>
      <c r="AL149">
        <v>1.97</v>
      </c>
    </row>
    <row r="150" spans="1:38">
      <c r="A150" t="s">
        <v>2</v>
      </c>
      <c r="B150" s="18" t="s">
        <v>252</v>
      </c>
      <c r="C150" s="21">
        <f t="shared" si="10"/>
        <v>10.591800000000001</v>
      </c>
      <c r="D150" s="14">
        <v>34.75</v>
      </c>
      <c r="R150" s="2" t="s">
        <v>45</v>
      </c>
      <c r="S150" t="s">
        <v>78</v>
      </c>
      <c r="AG150" s="2">
        <v>70.8</v>
      </c>
      <c r="AI150">
        <v>54.2</v>
      </c>
      <c r="AJ150">
        <v>12.2</v>
      </c>
      <c r="AK150" s="11">
        <f t="shared" si="11"/>
        <v>5.8032786885245899</v>
      </c>
      <c r="AL150">
        <v>1.92</v>
      </c>
    </row>
    <row r="151" spans="1:38">
      <c r="A151" t="s">
        <v>3</v>
      </c>
      <c r="B151" s="18" t="s">
        <v>253</v>
      </c>
      <c r="C151" s="21">
        <f t="shared" si="10"/>
        <v>10.706100000000001</v>
      </c>
      <c r="D151" s="14">
        <v>35.125</v>
      </c>
      <c r="R151" s="2" t="s">
        <v>45</v>
      </c>
      <c r="S151" t="s">
        <v>78</v>
      </c>
      <c r="AG151" s="2">
        <v>88.5</v>
      </c>
      <c r="AI151">
        <v>53.1</v>
      </c>
      <c r="AJ151">
        <v>22.1</v>
      </c>
      <c r="AK151" s="11">
        <f t="shared" si="11"/>
        <v>4.004524886877828</v>
      </c>
      <c r="AL151">
        <v>2.04</v>
      </c>
    </row>
    <row r="152" spans="1:38">
      <c r="A152" t="s">
        <v>4</v>
      </c>
      <c r="B152" s="18" t="s">
        <v>253</v>
      </c>
      <c r="C152" s="21">
        <f t="shared" si="10"/>
        <v>10.782300000000001</v>
      </c>
      <c r="D152" s="14">
        <v>35.375</v>
      </c>
      <c r="R152" s="2" t="s">
        <v>49</v>
      </c>
      <c r="S152" t="s">
        <v>76</v>
      </c>
      <c r="AG152" s="13" t="s">
        <v>28</v>
      </c>
      <c r="AH152" s="13" t="s">
        <v>28</v>
      </c>
      <c r="AI152" s="13" t="s">
        <v>28</v>
      </c>
      <c r="AJ152" s="13" t="s">
        <v>28</v>
      </c>
      <c r="AK152" s="13" t="s">
        <v>28</v>
      </c>
      <c r="AL152" s="13" t="s">
        <v>28</v>
      </c>
    </row>
    <row r="153" spans="1:38">
      <c r="A153" t="s">
        <v>5</v>
      </c>
      <c r="B153" s="18" t="s">
        <v>253</v>
      </c>
      <c r="C153" s="21">
        <f t="shared" si="10"/>
        <v>10.896600000000001</v>
      </c>
      <c r="D153" s="14">
        <v>35.75</v>
      </c>
      <c r="R153" s="2" t="s">
        <v>50</v>
      </c>
      <c r="S153" t="s">
        <v>75</v>
      </c>
      <c r="AG153" s="2">
        <v>80.8</v>
      </c>
      <c r="AI153">
        <v>54.2</v>
      </c>
      <c r="AJ153">
        <v>15.5</v>
      </c>
      <c r="AK153" s="11">
        <f t="shared" si="11"/>
        <v>5.2129032258064516</v>
      </c>
      <c r="AL153">
        <v>2.06</v>
      </c>
    </row>
    <row r="154" spans="1:38">
      <c r="A154" t="s">
        <v>6</v>
      </c>
      <c r="B154" s="18" t="s">
        <v>253</v>
      </c>
      <c r="C154" s="21">
        <f t="shared" si="10"/>
        <v>11.049000000000001</v>
      </c>
      <c r="D154" s="14">
        <v>36.25</v>
      </c>
      <c r="R154" s="2" t="s">
        <v>54</v>
      </c>
      <c r="S154" t="s">
        <v>20</v>
      </c>
      <c r="AG154" s="2">
        <v>71.900000000000006</v>
      </c>
      <c r="AI154">
        <v>49.8</v>
      </c>
      <c r="AJ154">
        <v>11.1</v>
      </c>
      <c r="AK154" s="11">
        <f t="shared" si="11"/>
        <v>6.4774774774774784</v>
      </c>
      <c r="AL154">
        <v>2.0699999999999998</v>
      </c>
    </row>
    <row r="155" spans="1:38">
      <c r="A155" t="s">
        <v>7</v>
      </c>
      <c r="B155" s="18" t="s">
        <v>253</v>
      </c>
      <c r="C155" s="21">
        <f t="shared" si="10"/>
        <v>11.163300000000001</v>
      </c>
      <c r="D155" s="14">
        <v>36.625</v>
      </c>
      <c r="R155" s="2" t="s">
        <v>49</v>
      </c>
      <c r="S155" t="s">
        <v>76</v>
      </c>
      <c r="AG155" s="2">
        <v>108.5</v>
      </c>
      <c r="AI155">
        <v>80.8</v>
      </c>
      <c r="AJ155">
        <v>25.5</v>
      </c>
      <c r="AK155" s="11">
        <f t="shared" si="11"/>
        <v>4.2549019607843137</v>
      </c>
      <c r="AL155">
        <v>2.09</v>
      </c>
    </row>
    <row r="156" spans="1:38">
      <c r="A156" t="s">
        <v>8</v>
      </c>
      <c r="B156" s="18" t="s">
        <v>253</v>
      </c>
      <c r="C156" s="21">
        <f t="shared" si="10"/>
        <v>11.239500000000001</v>
      </c>
      <c r="D156" s="14">
        <v>36.875</v>
      </c>
      <c r="R156" s="2" t="s">
        <v>49</v>
      </c>
      <c r="S156" t="s">
        <v>76</v>
      </c>
      <c r="AG156" s="13" t="s">
        <v>28</v>
      </c>
      <c r="AH156" s="13" t="s">
        <v>28</v>
      </c>
      <c r="AI156" s="13" t="s">
        <v>28</v>
      </c>
      <c r="AJ156" s="13" t="s">
        <v>28</v>
      </c>
      <c r="AK156" s="13" t="s">
        <v>28</v>
      </c>
      <c r="AL156" s="13" t="s">
        <v>28</v>
      </c>
    </row>
    <row r="157" spans="1:38">
      <c r="A157" t="s">
        <v>9</v>
      </c>
      <c r="B157" s="18" t="s">
        <v>254</v>
      </c>
      <c r="C157" s="21">
        <f t="shared" si="10"/>
        <v>11.353800000000001</v>
      </c>
      <c r="D157" s="14">
        <v>37.25</v>
      </c>
      <c r="R157" s="2" t="s">
        <v>49</v>
      </c>
      <c r="S157" t="s">
        <v>76</v>
      </c>
      <c r="AG157" s="2">
        <v>101.8</v>
      </c>
      <c r="AI157">
        <v>68.599999999999994</v>
      </c>
      <c r="AJ157">
        <v>23.2</v>
      </c>
      <c r="AK157" s="11">
        <f t="shared" si="11"/>
        <v>4.3879310344827589</v>
      </c>
      <c r="AL157">
        <v>2.04</v>
      </c>
    </row>
    <row r="158" spans="1:38">
      <c r="A158" t="s">
        <v>10</v>
      </c>
      <c r="B158" s="18" t="s">
        <v>254</v>
      </c>
      <c r="C158" s="21">
        <f t="shared" si="10"/>
        <v>11.5062</v>
      </c>
      <c r="D158" s="14">
        <v>37.75</v>
      </c>
      <c r="R158" s="2" t="s">
        <v>45</v>
      </c>
      <c r="S158" t="s">
        <v>78</v>
      </c>
      <c r="AG158" s="2">
        <v>125.1</v>
      </c>
      <c r="AI158">
        <v>73</v>
      </c>
      <c r="AJ158">
        <v>34.299999999999997</v>
      </c>
      <c r="AK158" s="11">
        <f t="shared" si="11"/>
        <v>3.6472303206997085</v>
      </c>
      <c r="AL158">
        <v>2.02</v>
      </c>
    </row>
    <row r="159" spans="1:38">
      <c r="A159" t="s">
        <v>11</v>
      </c>
      <c r="B159" s="18" t="s">
        <v>254</v>
      </c>
      <c r="C159" s="21">
        <f t="shared" si="10"/>
        <v>11.6586</v>
      </c>
      <c r="D159" s="14">
        <v>38.25</v>
      </c>
      <c r="R159" s="2" t="s">
        <v>45</v>
      </c>
      <c r="S159" t="s">
        <v>78</v>
      </c>
      <c r="AG159" s="2">
        <v>127.3</v>
      </c>
      <c r="AI159">
        <v>78.599999999999994</v>
      </c>
      <c r="AJ159">
        <v>32.1</v>
      </c>
      <c r="AK159" s="11">
        <f t="shared" si="11"/>
        <v>3.9657320872274142</v>
      </c>
      <c r="AL159">
        <v>2</v>
      </c>
    </row>
    <row r="160" spans="1:38">
      <c r="A160" t="s">
        <v>12</v>
      </c>
      <c r="B160" s="18" t="s">
        <v>254</v>
      </c>
      <c r="C160" s="21">
        <f t="shared" si="10"/>
        <v>11.7729</v>
      </c>
      <c r="D160" s="14">
        <v>38.625</v>
      </c>
      <c r="R160" s="2" t="s">
        <v>45</v>
      </c>
      <c r="S160" t="s">
        <v>78</v>
      </c>
      <c r="AG160" s="2">
        <v>163.80000000000001</v>
      </c>
      <c r="AI160">
        <v>76.400000000000006</v>
      </c>
      <c r="AJ160">
        <v>37.6</v>
      </c>
      <c r="AK160" s="11">
        <f t="shared" si="11"/>
        <v>4.3563829787234045</v>
      </c>
      <c r="AL160">
        <v>1.95</v>
      </c>
    </row>
    <row r="161" spans="1:38">
      <c r="A161" t="s">
        <v>13</v>
      </c>
      <c r="B161" s="18" t="s">
        <v>254</v>
      </c>
      <c r="C161" s="21">
        <f t="shared" si="10"/>
        <v>11.8491</v>
      </c>
      <c r="D161" s="14">
        <v>38.875</v>
      </c>
      <c r="R161" s="2" t="s">
        <v>45</v>
      </c>
      <c r="S161" t="s">
        <v>78</v>
      </c>
      <c r="AG161" s="13" t="s">
        <v>28</v>
      </c>
      <c r="AH161" s="13" t="s">
        <v>28</v>
      </c>
      <c r="AI161" s="13" t="s">
        <v>28</v>
      </c>
      <c r="AJ161" s="13" t="s">
        <v>28</v>
      </c>
      <c r="AK161" s="13" t="s">
        <v>28</v>
      </c>
      <c r="AL161" s="13" t="s">
        <v>28</v>
      </c>
    </row>
    <row r="162" spans="1:38">
      <c r="A162" t="s">
        <v>14</v>
      </c>
      <c r="B162" s="18" t="s">
        <v>15</v>
      </c>
      <c r="C162" s="21">
        <f t="shared" si="10"/>
        <v>11.9634</v>
      </c>
      <c r="D162" s="14">
        <v>39.25</v>
      </c>
      <c r="R162" s="2" t="s">
        <v>57</v>
      </c>
      <c r="S162" t="s">
        <v>74</v>
      </c>
      <c r="AG162" s="2">
        <v>152.69999999999999</v>
      </c>
      <c r="AI162">
        <v>84.1</v>
      </c>
      <c r="AJ162">
        <v>42.1</v>
      </c>
      <c r="AK162" s="11">
        <f t="shared" si="11"/>
        <v>3.6270783847980992</v>
      </c>
      <c r="AL162">
        <v>2.06</v>
      </c>
    </row>
    <row r="163" spans="1:38">
      <c r="A163" t="s">
        <v>16</v>
      </c>
      <c r="B163" s="18" t="s">
        <v>15</v>
      </c>
      <c r="C163" s="21">
        <f t="shared" si="10"/>
        <v>12.1158</v>
      </c>
      <c r="D163" s="14">
        <v>39.75</v>
      </c>
      <c r="R163" s="2" t="s">
        <v>57</v>
      </c>
      <c r="S163" t="s">
        <v>74</v>
      </c>
      <c r="AG163" s="2">
        <v>199</v>
      </c>
      <c r="AI163" s="13" t="s">
        <v>28</v>
      </c>
      <c r="AJ163" s="13" t="s">
        <v>28</v>
      </c>
      <c r="AK163" s="13" t="s">
        <v>28</v>
      </c>
      <c r="AL163">
        <v>2.1</v>
      </c>
    </row>
    <row r="164" spans="1:38">
      <c r="A164" t="s">
        <v>17</v>
      </c>
      <c r="B164" s="18" t="s">
        <v>15</v>
      </c>
      <c r="C164" s="21">
        <f t="shared" si="10"/>
        <v>12.2682</v>
      </c>
      <c r="D164" s="14">
        <v>40.25</v>
      </c>
      <c r="R164" s="2" t="s">
        <v>49</v>
      </c>
      <c r="S164" t="s">
        <v>76</v>
      </c>
      <c r="AG164" s="2">
        <v>199</v>
      </c>
      <c r="AI164" s="13" t="s">
        <v>28</v>
      </c>
      <c r="AJ164" s="13" t="s">
        <v>28</v>
      </c>
      <c r="AK164" s="13" t="s">
        <v>28</v>
      </c>
      <c r="AL164">
        <v>2.12</v>
      </c>
    </row>
    <row r="165" spans="1:38">
      <c r="A165" t="s">
        <v>18</v>
      </c>
      <c r="B165" s="18" t="s">
        <v>15</v>
      </c>
      <c r="C165" s="21">
        <f t="shared" si="10"/>
        <v>12.3825</v>
      </c>
      <c r="D165" s="14">
        <v>40.625</v>
      </c>
      <c r="R165" s="2" t="s">
        <v>49</v>
      </c>
      <c r="S165" t="s">
        <v>76</v>
      </c>
      <c r="AG165" s="2">
        <v>199</v>
      </c>
      <c r="AI165" s="13" t="s">
        <v>28</v>
      </c>
      <c r="AJ165" s="13" t="s">
        <v>28</v>
      </c>
      <c r="AK165" s="13" t="s">
        <v>28</v>
      </c>
      <c r="AL165">
        <v>1.9</v>
      </c>
    </row>
    <row r="166" spans="1:38">
      <c r="A166" t="s">
        <v>19</v>
      </c>
      <c r="B166" s="18" t="s">
        <v>15</v>
      </c>
      <c r="C166" s="21">
        <f t="shared" si="10"/>
        <v>12.4587</v>
      </c>
      <c r="D166" s="14">
        <v>40.875</v>
      </c>
      <c r="R166" s="2" t="s">
        <v>59</v>
      </c>
      <c r="S166" t="s">
        <v>24</v>
      </c>
      <c r="AG166" s="13" t="s">
        <v>28</v>
      </c>
      <c r="AH166" s="13" t="s">
        <v>28</v>
      </c>
      <c r="AI166" s="13" t="s">
        <v>28</v>
      </c>
      <c r="AJ166" s="13" t="s">
        <v>28</v>
      </c>
      <c r="AK166" s="13" t="s">
        <v>28</v>
      </c>
      <c r="AL166" s="13" t="s">
        <v>28</v>
      </c>
    </row>
  </sheetData>
  <mergeCells count="1">
    <mergeCell ref="AM1:AO1"/>
  </mergeCells>
  <phoneticPr fontId="20" type="noConversion"/>
  <conditionalFormatting sqref="AM4:AO84">
    <cfRule type="cellIs" dxfId="4" priority="4" stopIfTrue="1" operator="equal">
      <formula>"Yes"</formula>
    </cfRule>
    <cfRule type="cellIs" dxfId="3" priority="5" stopIfTrue="1" operator="equal">
      <formula>"no"</formula>
    </cfRule>
  </conditionalFormatting>
  <conditionalFormatting sqref="AB4:AB84">
    <cfRule type="cellIs" dxfId="2" priority="1" stopIfTrue="1" operator="between">
      <formula>2.4</formula>
      <formula>2.64</formula>
    </cfRule>
    <cfRule type="cellIs" dxfId="1" priority="2" stopIfTrue="1" operator="greaterThan">
      <formula>2.64</formula>
    </cfRule>
    <cfRule type="cellIs" dxfId="0" priority="3" stopIfTrue="1" operator="between">
      <formula>0.1</formula>
      <formula>2.395</formula>
    </cfRule>
  </conditionalFormatting>
  <printOptions gridLines="1"/>
  <pageMargins left="1" right="1" top="1" bottom="1" header="1" footer="0.21"/>
  <pageSetup scale="72" fitToHeight="3" orientation="portrait" r:id="rId1"/>
  <headerFooter alignWithMargins="0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2. Strength and density</vt:lpstr>
      <vt:lpstr>'Table 2. Strength and density'!Print_Area</vt:lpstr>
      <vt:lpstr>'Table 2. Strength and density'!Print_Titles</vt:lpstr>
    </vt:vector>
  </TitlesOfParts>
  <Manager>mjb</Manager>
  <Company>USGS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USGS Open-File Report 2011-1281</dc:title>
  <dc:subject>Cone Penetration Tests and Soil Borings at Mason Road, Green Valley, Solano County, California</dc:subject>
  <dc:creator>Michael J. Bennett, Thomas E. Noce, and James J. Lienkaemper</dc:creator>
  <cp:keywords>grain size, plasticity, density, atterberg, classification</cp:keywords>
  <dc:description/>
  <cp:lastModifiedBy>Michael F. Diggles</cp:lastModifiedBy>
  <cp:lastPrinted>2011-04-08T18:13:34Z</cp:lastPrinted>
  <dcterms:created xsi:type="dcterms:W3CDTF">2003-09-17T16:28:13Z</dcterms:created>
  <dcterms:modified xsi:type="dcterms:W3CDTF">2011-11-18T22:12:48Z</dcterms:modified>
</cp:coreProperties>
</file>