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ines\Documents\Water_assessment_project\at_risk_stuff\assessment_sheet_and_practice_data\"/>
    </mc:Choice>
  </mc:AlternateContent>
  <bookViews>
    <workbookView xWindow="-15" yWindow="4395" windowWidth="16275" windowHeight="3915"/>
  </bookViews>
  <sheets>
    <sheet name="Main" sheetId="1" r:id="rId1"/>
    <sheet name="Output_Plots" sheetId="3" r:id="rId2"/>
    <sheet name="Input_Template" sheetId="109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Main!$K$7:$K$8</definedName>
    <definedName name="CorrMatrix">Main!$Q$4:$W$10</definedName>
    <definedName name="NewMatrix1">Main!$Q$4:$S$6</definedName>
    <definedName name="Pal_Workbook_GUID" hidden="1">"PXYQXY39FV5HRQVUBM8DWKFT"</definedName>
    <definedName name="_xlnm.Print_Area" localSheetId="0">Main!$A$1:$M$59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</definedNames>
  <calcPr calcId="152511" calcMode="manual"/>
</workbook>
</file>

<file path=xl/calcChain.xml><?xml version="1.0" encoding="utf-8"?>
<calcChain xmlns="http://schemas.openxmlformats.org/spreadsheetml/2006/main">
  <c r="I42" i="109" l="1"/>
  <c r="H42" i="109"/>
  <c r="G42" i="109"/>
  <c r="F42" i="109"/>
  <c r="I31" i="109"/>
  <c r="H31" i="109"/>
  <c r="G31" i="109"/>
  <c r="F31" i="109"/>
  <c r="P6" i="1" l="1"/>
  <c r="P5" i="1"/>
  <c r="S3" i="1"/>
  <c r="R3" i="1"/>
  <c r="K42" i="1"/>
  <c r="K31" i="1"/>
  <c r="K31" i="109" l="1"/>
  <c r="K42" i="109"/>
  <c r="AN29" i="3"/>
  <c r="AN30" i="3" s="1"/>
  <c r="AK29" i="3"/>
  <c r="AK30" i="3" s="1"/>
  <c r="AG29" i="3"/>
  <c r="AG30" i="3" s="1"/>
  <c r="AD29" i="3"/>
  <c r="AK31" i="3" l="1"/>
  <c r="AD30" i="3"/>
  <c r="AN31" i="3"/>
  <c r="AG31" i="3"/>
  <c r="Z29" i="3"/>
  <c r="Z30" i="3" s="1"/>
  <c r="W29" i="3"/>
  <c r="S29" i="3"/>
  <c r="P29" i="3"/>
  <c r="AK32" i="3" l="1"/>
  <c r="AG32" i="3"/>
  <c r="AN32" i="3"/>
  <c r="AD31" i="3"/>
  <c r="Z31" i="3"/>
  <c r="W30" i="3"/>
  <c r="S30" i="3"/>
  <c r="P30" i="3"/>
  <c r="Q50" i="1"/>
  <c r="K30" i="1"/>
  <c r="K41" i="1"/>
  <c r="AD32" i="3" l="1"/>
  <c r="AK33" i="3"/>
  <c r="AN33" i="3"/>
  <c r="AG33" i="3"/>
  <c r="Z32" i="3"/>
  <c r="W31" i="3"/>
  <c r="S31" i="3"/>
  <c r="P31" i="3"/>
  <c r="P10" i="1"/>
  <c r="P9" i="1"/>
  <c r="P8" i="1"/>
  <c r="P7" i="1"/>
  <c r="W3" i="1"/>
  <c r="V3" i="1"/>
  <c r="U3" i="1"/>
  <c r="T3" i="1"/>
  <c r="Q3" i="1"/>
  <c r="P4" i="1"/>
  <c r="K24" i="1"/>
  <c r="K28" i="1"/>
  <c r="K18" i="1"/>
  <c r="K27" i="1"/>
  <c r="K22" i="1"/>
  <c r="K20" i="1"/>
  <c r="K29" i="1"/>
  <c r="AG34" i="3" l="1"/>
  <c r="AN34" i="3"/>
  <c r="AK34" i="3"/>
  <c r="AD33" i="3"/>
  <c r="W32" i="3"/>
  <c r="Z33" i="3"/>
  <c r="S32" i="3"/>
  <c r="P32" i="3"/>
  <c r="W58" i="1"/>
  <c r="K46" i="1" s="1"/>
  <c r="K40" i="1"/>
  <c r="AD34" i="3" l="1"/>
  <c r="AK35" i="3"/>
  <c r="AN35" i="3"/>
  <c r="AG35" i="3"/>
  <c r="Z34" i="3"/>
  <c r="W33" i="3"/>
  <c r="S33" i="3"/>
  <c r="P33" i="3"/>
  <c r="I24" i="109"/>
  <c r="G24" i="109"/>
  <c r="H24" i="109"/>
  <c r="K24" i="109"/>
  <c r="I22" i="109"/>
  <c r="H22" i="109"/>
  <c r="G22" i="109"/>
  <c r="I20" i="109"/>
  <c r="H20" i="109"/>
  <c r="G20" i="109"/>
  <c r="G18" i="109"/>
  <c r="I18" i="109"/>
  <c r="H18" i="109"/>
  <c r="I46" i="109"/>
  <c r="H46" i="109"/>
  <c r="I45" i="109"/>
  <c r="H45" i="109"/>
  <c r="I44" i="109"/>
  <c r="H44" i="109"/>
  <c r="I43" i="109"/>
  <c r="H43" i="109"/>
  <c r="I41" i="109"/>
  <c r="H41" i="109"/>
  <c r="I40" i="109"/>
  <c r="H40" i="109"/>
  <c r="I39" i="109"/>
  <c r="H39" i="109"/>
  <c r="I38" i="109"/>
  <c r="H38" i="109"/>
  <c r="I35" i="109"/>
  <c r="H35" i="109"/>
  <c r="I34" i="109"/>
  <c r="H34" i="109"/>
  <c r="I33" i="109"/>
  <c r="H33" i="109"/>
  <c r="I32" i="109"/>
  <c r="H32" i="109"/>
  <c r="I30" i="109"/>
  <c r="H30" i="109"/>
  <c r="I29" i="109"/>
  <c r="H29" i="109"/>
  <c r="I28" i="109"/>
  <c r="H28" i="109"/>
  <c r="I27" i="109"/>
  <c r="H27" i="109"/>
  <c r="G35" i="109"/>
  <c r="G34" i="109"/>
  <c r="G33" i="109"/>
  <c r="G32" i="109"/>
  <c r="G30" i="109"/>
  <c r="G29" i="109"/>
  <c r="G28" i="109"/>
  <c r="G27" i="109"/>
  <c r="G45" i="109"/>
  <c r="G44" i="109"/>
  <c r="G43" i="109"/>
  <c r="G41" i="109"/>
  <c r="G40" i="109"/>
  <c r="G39" i="109"/>
  <c r="G38" i="109"/>
  <c r="G46" i="109"/>
  <c r="F46" i="109"/>
  <c r="F45" i="109"/>
  <c r="F44" i="109"/>
  <c r="F43" i="109"/>
  <c r="F41" i="109"/>
  <c r="F40" i="109"/>
  <c r="F39" i="109"/>
  <c r="F38" i="109"/>
  <c r="F35" i="109"/>
  <c r="F34" i="109"/>
  <c r="F33" i="109"/>
  <c r="F32" i="109"/>
  <c r="F30" i="109"/>
  <c r="F29" i="109"/>
  <c r="F28" i="109"/>
  <c r="F27" i="109"/>
  <c r="F24" i="109"/>
  <c r="F22" i="109"/>
  <c r="F20" i="109"/>
  <c r="F18" i="109"/>
  <c r="K8" i="109"/>
  <c r="D13" i="109"/>
  <c r="C13" i="109"/>
  <c r="B13" i="109"/>
  <c r="B10" i="109"/>
  <c r="C10" i="109"/>
  <c r="C9" i="109"/>
  <c r="B9" i="109"/>
  <c r="C8" i="109"/>
  <c r="B8" i="109"/>
  <c r="C7" i="109"/>
  <c r="B7" i="109"/>
  <c r="B4" i="109"/>
  <c r="K4" i="109"/>
  <c r="I2" i="109"/>
  <c r="AG36" i="3" l="1"/>
  <c r="AN36" i="3"/>
  <c r="AK36" i="3"/>
  <c r="AD35" i="3"/>
  <c r="Z35" i="3"/>
  <c r="W34" i="3"/>
  <c r="S34" i="3"/>
  <c r="P34" i="3"/>
  <c r="K20" i="109"/>
  <c r="K29" i="109"/>
  <c r="K30" i="109"/>
  <c r="K40" i="109"/>
  <c r="K41" i="109"/>
  <c r="K46" i="109"/>
  <c r="Q54" i="1"/>
  <c r="S50" i="1"/>
  <c r="S51" i="1"/>
  <c r="H53" i="3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Q51" i="1"/>
  <c r="C53" i="3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S56" i="1"/>
  <c r="H29" i="3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Q56" i="1"/>
  <c r="C29" i="3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Q55" i="1"/>
  <c r="U35" i="1"/>
  <c r="W35" i="1" s="1"/>
  <c r="Q35" i="1" s="1"/>
  <c r="U46" i="1"/>
  <c r="W46" i="1" s="1"/>
  <c r="S46" i="1" s="1"/>
  <c r="K45" i="1"/>
  <c r="K38" i="1"/>
  <c r="K34" i="1"/>
  <c r="K39" i="1"/>
  <c r="Q24" i="1"/>
  <c r="K33" i="1"/>
  <c r="K32" i="1"/>
  <c r="K44" i="1"/>
  <c r="K43" i="1"/>
  <c r="E43" i="3"/>
  <c r="E36" i="3"/>
  <c r="E29" i="3"/>
  <c r="E41" i="3"/>
  <c r="E34" i="3"/>
  <c r="E33" i="3"/>
  <c r="E38" i="3"/>
  <c r="E37" i="3"/>
  <c r="E39" i="3"/>
  <c r="E31" i="3"/>
  <c r="E30" i="3"/>
  <c r="E35" i="3"/>
  <c r="E28" i="3"/>
  <c r="E40" i="3"/>
  <c r="E44" i="3"/>
  <c r="E46" i="3"/>
  <c r="E42" i="3"/>
  <c r="E45" i="3"/>
  <c r="E32" i="3"/>
  <c r="S71" i="1" l="1"/>
  <c r="S67" i="1"/>
  <c r="S62" i="1"/>
  <c r="S70" i="1"/>
  <c r="S66" i="1"/>
  <c r="S61" i="1"/>
  <c r="S75" i="1"/>
  <c r="S74" i="1"/>
  <c r="AD36" i="3"/>
  <c r="AK37" i="3"/>
  <c r="AN37" i="3"/>
  <c r="AG37" i="3"/>
  <c r="W35" i="3"/>
  <c r="Z36" i="3"/>
  <c r="S35" i="3"/>
  <c r="P35" i="3"/>
  <c r="S59" i="1"/>
  <c r="S55" i="1"/>
  <c r="S54" i="1"/>
  <c r="Q46" i="1"/>
  <c r="S35" i="1"/>
  <c r="Q52" i="1"/>
  <c r="S52" i="1"/>
  <c r="K43" i="109"/>
  <c r="K39" i="109"/>
  <c r="K44" i="109"/>
  <c r="K34" i="109"/>
  <c r="K28" i="109"/>
  <c r="K32" i="109"/>
  <c r="K38" i="109"/>
  <c r="K22" i="109"/>
  <c r="K33" i="109"/>
  <c r="K18" i="109"/>
  <c r="K45" i="109"/>
  <c r="K27" i="109"/>
  <c r="K50" i="1"/>
  <c r="K51" i="1" s="1"/>
  <c r="S58" i="1"/>
  <c r="M73" i="1"/>
  <c r="M74" i="1"/>
  <c r="W57" i="1"/>
  <c r="J28" i="3"/>
  <c r="S77" i="1" l="1"/>
  <c r="S76" i="1"/>
  <c r="S78" i="1"/>
  <c r="K35" i="1"/>
  <c r="AG38" i="3"/>
  <c r="AN38" i="3"/>
  <c r="AK38" i="3"/>
  <c r="AD37" i="3"/>
  <c r="W36" i="3"/>
  <c r="Z37" i="3"/>
  <c r="S36" i="3"/>
  <c r="P36" i="3"/>
  <c r="K52" i="1"/>
  <c r="K57" i="1" s="1"/>
  <c r="Q75" i="1" s="1"/>
  <c r="S68" i="1"/>
  <c r="S63" i="1"/>
  <c r="S60" i="1"/>
  <c r="S72" i="1"/>
  <c r="K55" i="1"/>
  <c r="K54" i="1"/>
  <c r="AA28" i="3"/>
  <c r="M77" i="1"/>
  <c r="AH35" i="3"/>
  <c r="AH33" i="3"/>
  <c r="AA29" i="3"/>
  <c r="AA35" i="3"/>
  <c r="AH38" i="3"/>
  <c r="AA34" i="3"/>
  <c r="AH29" i="3"/>
  <c r="AA30" i="3"/>
  <c r="AH28" i="3"/>
  <c r="AH34" i="3"/>
  <c r="M78" i="1"/>
  <c r="AH32" i="3"/>
  <c r="AA31" i="3"/>
  <c r="AA37" i="3"/>
  <c r="AA32" i="3"/>
  <c r="AA36" i="3"/>
  <c r="AH31" i="3"/>
  <c r="AH37" i="3"/>
  <c r="AH30" i="3"/>
  <c r="AH36" i="3"/>
  <c r="M75" i="1"/>
  <c r="AA33" i="3"/>
  <c r="AD38" i="3" l="1"/>
  <c r="AK39" i="3"/>
  <c r="AN39" i="3"/>
  <c r="AG39" i="3"/>
  <c r="Z38" i="3"/>
  <c r="W37" i="3"/>
  <c r="S37" i="3"/>
  <c r="P37" i="3"/>
  <c r="K58" i="1"/>
  <c r="K59" i="1" s="1"/>
  <c r="S79" i="1"/>
  <c r="K35" i="109"/>
  <c r="S64" i="1"/>
  <c r="K56" i="1"/>
  <c r="AO39" i="3"/>
  <c r="T35" i="3"/>
  <c r="AO37" i="3"/>
  <c r="AO29" i="3"/>
  <c r="AO38" i="3"/>
  <c r="M79" i="1"/>
  <c r="AO28" i="3"/>
  <c r="AO33" i="3"/>
  <c r="T36" i="3"/>
  <c r="AO31" i="3"/>
  <c r="T31" i="3"/>
  <c r="T32" i="3"/>
  <c r="T33" i="3"/>
  <c r="T34" i="3"/>
  <c r="AO32" i="3"/>
  <c r="T29" i="3"/>
  <c r="AH39" i="3"/>
  <c r="AO35" i="3"/>
  <c r="T30" i="3"/>
  <c r="M67" i="1"/>
  <c r="AA38" i="3"/>
  <c r="AO36" i="3"/>
  <c r="T37" i="3"/>
  <c r="AO34" i="3"/>
  <c r="T28" i="3"/>
  <c r="AO30" i="3"/>
  <c r="Q70" i="1" l="1"/>
  <c r="Q66" i="1"/>
  <c r="Q61" i="1"/>
  <c r="Q71" i="1"/>
  <c r="Q67" i="1"/>
  <c r="Q62" i="1"/>
  <c r="Q74" i="1"/>
  <c r="AG40" i="3"/>
  <c r="AN40" i="3"/>
  <c r="AK40" i="3"/>
  <c r="AD39" i="3"/>
  <c r="W38" i="3"/>
  <c r="Z39" i="3"/>
  <c r="S38" i="3"/>
  <c r="P38" i="3"/>
  <c r="Q58" i="1"/>
  <c r="Q59" i="1"/>
  <c r="K69" i="1"/>
  <c r="K66" i="1"/>
  <c r="K73" i="1"/>
  <c r="K74" i="1"/>
  <c r="AO40" i="3"/>
  <c r="AA39" i="3"/>
  <c r="K65" i="1"/>
  <c r="K63" i="1"/>
  <c r="K70" i="1"/>
  <c r="AH40" i="3"/>
  <c r="T38" i="3"/>
  <c r="K64" i="1"/>
  <c r="Q68" i="1" l="1"/>
  <c r="Q63" i="1"/>
  <c r="Q78" i="1"/>
  <c r="Q77" i="1"/>
  <c r="AD40" i="3"/>
  <c r="AK41" i="3"/>
  <c r="AN41" i="3"/>
  <c r="AG41" i="3"/>
  <c r="Z40" i="3"/>
  <c r="W39" i="3"/>
  <c r="S39" i="3"/>
  <c r="P39" i="3"/>
  <c r="Q72" i="1"/>
  <c r="Q76" i="1"/>
  <c r="Q60" i="1"/>
  <c r="K71" i="1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K78" i="1"/>
  <c r="AE46" i="3"/>
  <c r="K75" i="1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A40" i="3"/>
  <c r="AO41" i="3"/>
  <c r="K77" i="1"/>
  <c r="AH41" i="3"/>
  <c r="T39" i="3"/>
  <c r="Q64" i="1" l="1"/>
  <c r="AG42" i="3"/>
  <c r="AN42" i="3"/>
  <c r="AK42" i="3"/>
  <c r="AD41" i="3"/>
  <c r="W40" i="3"/>
  <c r="Z41" i="3"/>
  <c r="S40" i="3"/>
  <c r="P40" i="3"/>
  <c r="Q79" i="1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K67" i="1"/>
  <c r="AO42" i="3"/>
  <c r="AH42" i="3"/>
  <c r="AA41" i="3"/>
  <c r="T40" i="3"/>
  <c r="K79" i="1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D42" i="3" l="1"/>
  <c r="AK43" i="3"/>
  <c r="AN43" i="3"/>
  <c r="AG43" i="3"/>
  <c r="Z42" i="3"/>
  <c r="W41" i="3"/>
  <c r="S41" i="3"/>
  <c r="P41" i="3"/>
  <c r="T41" i="3"/>
  <c r="AH43" i="3"/>
  <c r="AO43" i="3"/>
  <c r="AA42" i="3"/>
  <c r="AG44" i="3" l="1"/>
  <c r="AN44" i="3"/>
  <c r="AK44" i="3"/>
  <c r="AD43" i="3"/>
  <c r="W42" i="3"/>
  <c r="Z43" i="3"/>
  <c r="S42" i="3"/>
  <c r="P42" i="3"/>
  <c r="AH44" i="3"/>
  <c r="AO44" i="3"/>
  <c r="AA43" i="3"/>
  <c r="T42" i="3"/>
  <c r="AD44" i="3" l="1"/>
  <c r="AK45" i="3"/>
  <c r="AN45" i="3"/>
  <c r="AG45" i="3"/>
  <c r="Z44" i="3"/>
  <c r="W43" i="3"/>
  <c r="S43" i="3"/>
  <c r="P43" i="3"/>
  <c r="AA44" i="3"/>
  <c r="AH45" i="3"/>
  <c r="AO45" i="3"/>
  <c r="T43" i="3"/>
  <c r="E24" i="3" l="1"/>
  <c r="AG46" i="3"/>
  <c r="AN46" i="3"/>
  <c r="AK46" i="3"/>
  <c r="AD45" i="3"/>
  <c r="Z45" i="3"/>
  <c r="W44" i="3"/>
  <c r="S44" i="3"/>
  <c r="P44" i="3"/>
  <c r="AO46" i="3"/>
  <c r="T44" i="3"/>
  <c r="AH46" i="3"/>
  <c r="AA45" i="3"/>
  <c r="AD46" i="3" l="1"/>
  <c r="W45" i="3"/>
  <c r="Z46" i="3"/>
  <c r="S45" i="3"/>
  <c r="P45" i="3"/>
  <c r="W46" i="3" l="1"/>
  <c r="S46" i="3"/>
  <c r="P46" i="3"/>
  <c r="E65" i="3"/>
  <c r="F52" i="3"/>
  <c r="I39" i="3"/>
  <c r="J44" i="3"/>
  <c r="K45" i="3"/>
  <c r="I69" i="3"/>
  <c r="K63" i="3"/>
  <c r="F60" i="3"/>
  <c r="F64" i="3"/>
  <c r="F29" i="3"/>
  <c r="I52" i="3"/>
  <c r="K68" i="3"/>
  <c r="I61" i="3"/>
  <c r="I55" i="3"/>
  <c r="F45" i="3"/>
  <c r="J64" i="3"/>
  <c r="J46" i="3"/>
  <c r="D63" i="3"/>
  <c r="D37" i="3"/>
  <c r="J69" i="3"/>
  <c r="K54" i="3"/>
  <c r="D65" i="3"/>
  <c r="F68" i="3"/>
  <c r="I59" i="3"/>
  <c r="D34" i="3"/>
  <c r="I67" i="3"/>
  <c r="F53" i="3"/>
  <c r="F56" i="3"/>
  <c r="D32" i="3"/>
  <c r="I37" i="3"/>
  <c r="I46" i="3"/>
  <c r="F34" i="3"/>
  <c r="I41" i="3"/>
  <c r="D64" i="3"/>
  <c r="J39" i="3"/>
  <c r="F39" i="3"/>
  <c r="I40" i="3"/>
  <c r="D53" i="3"/>
  <c r="K64" i="3"/>
  <c r="K33" i="3"/>
  <c r="K66" i="3"/>
  <c r="J58" i="3"/>
  <c r="E58" i="3"/>
  <c r="D35" i="3"/>
  <c r="F46" i="3"/>
  <c r="J40" i="3"/>
  <c r="D70" i="3"/>
  <c r="F41" i="3"/>
  <c r="J38" i="3"/>
  <c r="I66" i="3"/>
  <c r="K57" i="3"/>
  <c r="F66" i="3"/>
  <c r="I57" i="3"/>
  <c r="I29" i="3"/>
  <c r="F59" i="3"/>
  <c r="E60" i="3"/>
  <c r="D68" i="3"/>
  <c r="K40" i="3"/>
  <c r="K36" i="3"/>
  <c r="K37" i="3"/>
  <c r="D56" i="3"/>
  <c r="K61" i="3"/>
  <c r="K39" i="3"/>
  <c r="D60" i="3"/>
  <c r="F31" i="3"/>
  <c r="M71" i="1"/>
  <c r="K35" i="3"/>
  <c r="E55" i="3"/>
  <c r="D59" i="3"/>
  <c r="I54" i="3"/>
  <c r="E68" i="3"/>
  <c r="E53" i="3"/>
  <c r="J55" i="3"/>
  <c r="M65" i="1"/>
  <c r="I65" i="3"/>
  <c r="I70" i="3"/>
  <c r="F57" i="3"/>
  <c r="K58" i="3"/>
  <c r="I44" i="3"/>
  <c r="K52" i="3"/>
  <c r="I42" i="3"/>
  <c r="D46" i="3"/>
  <c r="I43" i="3"/>
  <c r="E66" i="3"/>
  <c r="D44" i="3"/>
  <c r="I62" i="3"/>
  <c r="K60" i="3"/>
  <c r="K65" i="3"/>
  <c r="D42" i="3"/>
  <c r="J60" i="3"/>
  <c r="F36" i="3"/>
  <c r="E52" i="3"/>
  <c r="I56" i="3"/>
  <c r="D36" i="3"/>
  <c r="I28" i="3"/>
  <c r="F44" i="3"/>
  <c r="J68" i="3"/>
  <c r="J61" i="3"/>
  <c r="J35" i="3"/>
  <c r="K28" i="3"/>
  <c r="D67" i="3"/>
  <c r="J54" i="3"/>
  <c r="I32" i="3"/>
  <c r="D58" i="3"/>
  <c r="J32" i="3"/>
  <c r="M70" i="1"/>
  <c r="D66" i="3"/>
  <c r="K55" i="3"/>
  <c r="I60" i="3"/>
  <c r="K31" i="3"/>
  <c r="F67" i="3"/>
  <c r="D38" i="3"/>
  <c r="I34" i="3"/>
  <c r="K62" i="3"/>
  <c r="D45" i="3"/>
  <c r="K29" i="3"/>
  <c r="K46" i="3"/>
  <c r="E69" i="3"/>
  <c r="D57" i="3"/>
  <c r="J66" i="3"/>
  <c r="T45" i="3"/>
  <c r="F61" i="3"/>
  <c r="E57" i="3"/>
  <c r="F70" i="3"/>
  <c r="F30" i="3"/>
  <c r="F42" i="3"/>
  <c r="E70" i="3"/>
  <c r="J45" i="3"/>
  <c r="AA46" i="3"/>
  <c r="J34" i="3"/>
  <c r="D61" i="3"/>
  <c r="J31" i="3"/>
  <c r="K56" i="3"/>
  <c r="M64" i="1"/>
  <c r="F32" i="3"/>
  <c r="J29" i="3"/>
  <c r="M63" i="1"/>
  <c r="I68" i="3"/>
  <c r="E54" i="3"/>
  <c r="F58" i="3"/>
  <c r="J62" i="3"/>
  <c r="D40" i="3"/>
  <c r="I64" i="3"/>
  <c r="I38" i="3"/>
  <c r="J70" i="3"/>
  <c r="K53" i="3"/>
  <c r="F65" i="3"/>
  <c r="D41" i="3"/>
  <c r="K69" i="3"/>
  <c r="K34" i="3"/>
  <c r="K43" i="3"/>
  <c r="J37" i="3"/>
  <c r="I36" i="3"/>
  <c r="J36" i="3"/>
  <c r="T46" i="3"/>
  <c r="M66" i="1"/>
  <c r="K38" i="3"/>
  <c r="J30" i="3"/>
  <c r="K32" i="3"/>
  <c r="E67" i="3"/>
  <c r="E63" i="3"/>
  <c r="F62" i="3"/>
  <c r="I30" i="3"/>
  <c r="J53" i="3"/>
  <c r="M69" i="1"/>
  <c r="E61" i="3"/>
  <c r="D28" i="3"/>
  <c r="D33" i="3"/>
  <c r="D69" i="3"/>
  <c r="F69" i="3"/>
  <c r="D54" i="3"/>
  <c r="I45" i="3"/>
  <c r="D30" i="3"/>
  <c r="J63" i="3"/>
  <c r="K59" i="3"/>
  <c r="E64" i="3"/>
  <c r="I53" i="3"/>
  <c r="D31" i="3"/>
  <c r="D43" i="3"/>
  <c r="I63" i="3"/>
  <c r="J59" i="3"/>
  <c r="K30" i="3"/>
  <c r="F40" i="3"/>
  <c r="F28" i="3"/>
  <c r="F55" i="3"/>
  <c r="F35" i="3"/>
  <c r="K42" i="3"/>
  <c r="J57" i="3"/>
  <c r="K70" i="3"/>
  <c r="E56" i="3"/>
  <c r="K41" i="3"/>
  <c r="J41" i="3"/>
  <c r="F33" i="3"/>
  <c r="I33" i="3"/>
  <c r="E62" i="3"/>
  <c r="I31" i="3"/>
  <c r="F43" i="3"/>
  <c r="J33" i="3"/>
  <c r="F54" i="3"/>
  <c r="D29" i="3"/>
  <c r="K67" i="3"/>
  <c r="F63" i="3"/>
  <c r="I35" i="3"/>
  <c r="J42" i="3"/>
  <c r="J67" i="3"/>
  <c r="D55" i="3"/>
  <c r="E59" i="3"/>
  <c r="J56" i="3"/>
  <c r="J52" i="3"/>
  <c r="J43" i="3"/>
  <c r="D39" i="3"/>
  <c r="D52" i="3"/>
  <c r="J65" i="3"/>
  <c r="F38" i="3"/>
  <c r="I58" i="3"/>
  <c r="F37" i="3"/>
  <c r="K44" i="3"/>
  <c r="D62" i="3"/>
  <c r="D48" i="3" l="1"/>
  <c r="F24" i="3"/>
  <c r="E48" i="3"/>
  <c r="D24" i="3"/>
  <c r="F48" i="3"/>
</calcChain>
</file>

<file path=xl/sharedStrings.xml><?xml version="1.0" encoding="utf-8"?>
<sst xmlns="http://schemas.openxmlformats.org/spreadsheetml/2006/main" count="323" uniqueCount="167">
  <si>
    <t>Fractile</t>
  </si>
  <si>
    <t>5a</t>
  </si>
  <si>
    <t>6a</t>
  </si>
  <si>
    <t>Line #</t>
  </si>
  <si>
    <t>@RISK Correlations</t>
  </si>
  <si>
    <t>Mode</t>
  </si>
  <si>
    <t>Functions</t>
  </si>
  <si>
    <t>Percentage of untested AU area in sweet spots (%)</t>
  </si>
  <si>
    <t>Future Success Ratio (%)</t>
  </si>
  <si>
    <t>5b</t>
  </si>
  <si>
    <t>Sweet Spots</t>
  </si>
  <si>
    <t>Non-Sweet Spots</t>
  </si>
  <si>
    <t>Triangular</t>
  </si>
  <si>
    <t>Distribution</t>
  </si>
  <si>
    <t>6b</t>
  </si>
  <si>
    <t>Minimum</t>
  </si>
  <si>
    <t>Maximum</t>
  </si>
  <si>
    <t>Percentage of total AU area that is untested (%)</t>
  </si>
  <si>
    <t>Uncertainty about mean drainage area of wells (acres)</t>
  </si>
  <si>
    <t>Date:</t>
  </si>
  <si>
    <t>Number</t>
  </si>
  <si>
    <t>Name</t>
  </si>
  <si>
    <t>Region:</t>
  </si>
  <si>
    <t>Province:</t>
  </si>
  <si>
    <t>Total Petroleum System:</t>
  </si>
  <si>
    <t>Assessment Unit:</t>
  </si>
  <si>
    <t>Untested Area (acres)</t>
  </si>
  <si>
    <t>Correlation</t>
  </si>
  <si>
    <t>AU Probability</t>
  </si>
  <si>
    <t>Total AU</t>
  </si>
  <si>
    <t>F05/F95 Ratio</t>
  </si>
  <si>
    <t>Risked Volumes</t>
  </si>
  <si>
    <t>Uncertainty about mean EUR (mmbo or bcfg)</t>
  </si>
  <si>
    <t>Oil or Gas?</t>
  </si>
  <si>
    <t>Uniform Probability</t>
  </si>
  <si>
    <t>Lognormal</t>
  </si>
  <si>
    <t>Median</t>
  </si>
  <si>
    <t>mean</t>
  </si>
  <si>
    <t>s.d.</t>
  </si>
  <si>
    <t>mu</t>
  </si>
  <si>
    <t>sigma</t>
  </si>
  <si>
    <t>Productive area of accumulation (acres)</t>
  </si>
  <si>
    <t>Risked</t>
  </si>
  <si>
    <t>EUR Distribution Non-Sweet Spot</t>
  </si>
  <si>
    <t>EUR Distribution Sweet Spot</t>
  </si>
  <si>
    <t>Gas in Sweet Spot Gas Accumulation (bcfg)</t>
  </si>
  <si>
    <t>Total Gas in Gas Accumulation (bcfg)</t>
  </si>
  <si>
    <t>Risked Gas in Sweet Spot Gas Accumulation (bcfg)</t>
  </si>
  <si>
    <t>Risked Gas in Non-Sweet Spot Gas Accumulation (bcfg)</t>
  </si>
  <si>
    <t>Gas in Non-Sweet Spot Gas Accumulation (bcfg)</t>
  </si>
  <si>
    <t>Risked Total Gas in Gas Accumulation (bcfg)</t>
  </si>
  <si>
    <t>Oil in Sweet Spot Oil Accumulation (mmbo)</t>
  </si>
  <si>
    <t>Oil in Non-Sweet Spot Oil Accumulation (mmbo)</t>
  </si>
  <si>
    <t>Total Oil in Oil Accumulation (mmbo)</t>
  </si>
  <si>
    <t>Risked Oil in Sweet Spot Oil Accumulation (mmbo)</t>
  </si>
  <si>
    <t>Risked Oil in Non-Sweet Spot Oil Accumulation (mmbo)</t>
  </si>
  <si>
    <t>Risked Total Oil in Oil Accumulation (mmbo)</t>
  </si>
  <si>
    <t>Unrisked</t>
  </si>
  <si>
    <t>OIL</t>
  </si>
  <si>
    <t>GAS</t>
  </si>
  <si>
    <t>Assessment lead(s):</t>
  </si>
  <si>
    <t>5c</t>
  </si>
  <si>
    <t>5d</t>
  </si>
  <si>
    <t>5e</t>
  </si>
  <si>
    <t>5f</t>
  </si>
  <si>
    <t>5g</t>
  </si>
  <si>
    <t>5h</t>
  </si>
  <si>
    <t>Percentage of unsuccessful wells that are HF'ed (%)</t>
  </si>
  <si>
    <t>Uncertainty about mean flowback percentage (%)</t>
  </si>
  <si>
    <t>Sweet Spot drilled/HF'ed unsuccessful wells</t>
  </si>
  <si>
    <t>Non-Sweet Spot drilled/HF'ed unsuccessful wells</t>
  </si>
  <si>
    <t>6c</t>
  </si>
  <si>
    <t>6d</t>
  </si>
  <si>
    <t>6e</t>
  </si>
  <si>
    <t>6f</t>
  </si>
  <si>
    <t>6g</t>
  </si>
  <si>
    <t>6h</t>
  </si>
  <si>
    <t>Sweet Spot Water for HF (gal)</t>
  </si>
  <si>
    <t>Non-Sweet Spot Water for HF (gal)</t>
  </si>
  <si>
    <t>Sweet Spot Flowback Water (gal)</t>
  </si>
  <si>
    <t>Non-Sweet Spot Flowback Water (gal)</t>
  </si>
  <si>
    <t>Total Water Requirement (gal)</t>
  </si>
  <si>
    <t>Sweet Spot Proppant Requirement (ton)</t>
  </si>
  <si>
    <t>Non-Sweet Spot Proppant Requirement (ton)</t>
  </si>
  <si>
    <t>Total Proppant Requirement (ton)</t>
  </si>
  <si>
    <t>Total Water for HF (gal)</t>
  </si>
  <si>
    <t>Total Proppant for HF (ton)</t>
  </si>
  <si>
    <t>Sweet Spot Proppant for HF (ton)</t>
  </si>
  <si>
    <t>Non-Sweet Spot Proppant for HF (ton)</t>
  </si>
  <si>
    <t>Total Flowback Water (gal)</t>
  </si>
  <si>
    <t>Date</t>
  </si>
  <si>
    <t>Lead geologist(s)</t>
  </si>
  <si>
    <t>Sweet Spot Total Drilled/HF Well Count</t>
  </si>
  <si>
    <t>Non-Sweet Spot Total Drilled/HF  Well Count</t>
  </si>
  <si>
    <t>Sweet Spot Successful Well Count</t>
  </si>
  <si>
    <t>Non-Sweet Spot Successful Well Count</t>
  </si>
  <si>
    <t>Risked Sweet Spot Water for HF (gal)</t>
  </si>
  <si>
    <t>Risked Non-Sweet Spot Water for HF (gal)</t>
  </si>
  <si>
    <t>Risked Total Water for HF (gal)</t>
  </si>
  <si>
    <t>Risked Total Water Requirement (gal)</t>
  </si>
  <si>
    <t>Risked Sweet Spot Proppant for HF (ton)</t>
  </si>
  <si>
    <t>Risked Non-Sweet Spot Proppant for HF (ton)</t>
  </si>
  <si>
    <t>Risked Total Proppant for HF (ton)</t>
  </si>
  <si>
    <t>Risked Sweet Spot Flowback Water (gal)</t>
  </si>
  <si>
    <t>Risked Non-Sweet Spot Flowback Water (gal)</t>
  </si>
  <si>
    <t>Risked Total Flowback Water (gal)</t>
  </si>
  <si>
    <t>Percentage of unsuccessful wells that are drilled and completed (%)</t>
  </si>
  <si>
    <t>Associated petroleum assessment:</t>
  </si>
  <si>
    <t>USGS Methodology for Water and Proppant Associated with Petroleum Production</t>
  </si>
  <si>
    <t>Calculations: Unrisked</t>
  </si>
  <si>
    <t>Calculations: Risked</t>
  </si>
  <si>
    <t>Correlation Matrix</t>
  </si>
  <si>
    <t>Values for sweet-spot EUR distribution</t>
  </si>
  <si>
    <t>Values for non-sweet-spot EUR distribution</t>
  </si>
  <si>
    <t>Means of Outputs</t>
  </si>
  <si>
    <t>lbs per ton:</t>
  </si>
  <si>
    <t>Unit conversion</t>
  </si>
  <si>
    <t>Sweet Spot Non-Flowback Produced Water (gal)</t>
  </si>
  <si>
    <t>(duh…)</t>
  </si>
  <si>
    <t>gal per mmbbl:</t>
  </si>
  <si>
    <t>Risked Total Non-Flowback Produced Water (gal)</t>
  </si>
  <si>
    <t>Total Non-Flowback Produced Water (gal)</t>
  </si>
  <si>
    <t>Total Water Requirement</t>
  </si>
  <si>
    <t>Total For AU</t>
  </si>
  <si>
    <t>Total Proppant Requirement</t>
  </si>
  <si>
    <t>Total Produced Water</t>
  </si>
  <si>
    <t>Total Flowback Production</t>
  </si>
  <si>
    <t>Non-Sweet Spot Area that is Untested (acres)</t>
  </si>
  <si>
    <t>Sweet Spot Area that is Untested (acres)</t>
  </si>
  <si>
    <t>Uncertainty about mean proppant-to-water ratio for HF (lbs per gallon)</t>
  </si>
  <si>
    <t>Uncertainty about mean water/petroleum ratio (bw/bo or gal/mcfg)</t>
  </si>
  <si>
    <t>Uncertainty about mean produced water/petroleum ratio (bw/bo or gal/mcfg)</t>
  </si>
  <si>
    <t>Uncertainty about mean water per well for drilling/cement (gallons)</t>
  </si>
  <si>
    <t>Sweet Spot Water for Drilling/Cement (gal)</t>
  </si>
  <si>
    <t>Non-Sweet Spot Water for Drilling/Cement (gal)</t>
  </si>
  <si>
    <t>Total Water for Drilling/Cement (gal)</t>
  </si>
  <si>
    <t>Risked Sweet Spot Water for Drilling/Cement (gal)</t>
  </si>
  <si>
    <t>Risked Non-Sweet Spot Water for Drilling/Cement (gal)</t>
  </si>
  <si>
    <t>Risked Total Water for Drilling/Cement (gal)</t>
  </si>
  <si>
    <t>gal per 10^6 gal:</t>
  </si>
  <si>
    <t>Sweet Spot Flowback Volume (10^6 gal)</t>
  </si>
  <si>
    <t>Non-Sweet Spot Flowback Volume (10^6 gal)</t>
  </si>
  <si>
    <t>Total Flowback Volume (10^6 gal)</t>
  </si>
  <si>
    <t>Sweet Spot Produced Water (10^6 gal)</t>
  </si>
  <si>
    <t>Non-Sweet Spot Produced Water (10^6 gal)</t>
  </si>
  <si>
    <t>Total Produced Water (10^6 gal)</t>
  </si>
  <si>
    <t>Total Water Requirement (10^6 gal)</t>
  </si>
  <si>
    <t>Note:  mcfg = thousand cubic feet gas</t>
  </si>
  <si>
    <t>Sweet Spot Water for Drilling and Cement (gal)</t>
  </si>
  <si>
    <t>Non-Sweet Spot Water for Drilling and Cement (gal)</t>
  </si>
  <si>
    <t>Sweet Spot Water for Hydraulic Fracturing (gal)</t>
  </si>
  <si>
    <t>Non-Sweet Spot Water for Hydraulic Fracturing (gal)</t>
  </si>
  <si>
    <t>Sweet Spot Total Produced Water (gal)</t>
  </si>
  <si>
    <t>Non-Sweet Spot Total Produced Water (gal)</t>
  </si>
  <si>
    <t>AU Total Produced Water (gal)</t>
  </si>
  <si>
    <t>Risked AU Total Produced Water (gal)</t>
  </si>
  <si>
    <t>Risked Sweet Spot Total Produced Water (gal)</t>
  </si>
  <si>
    <t>Risked Non-Sweet Spot Total Produced Water (gal)</t>
  </si>
  <si>
    <t>version 1.0 - February 2, 2015</t>
  </si>
  <si>
    <t>mcf per bcf:</t>
  </si>
  <si>
    <t>Risked Sweet Spot Non-Flowback Produced Water (gal)</t>
  </si>
  <si>
    <t>Risked Non-Sweet Spot Non-Flowback Prod. Water (gal)</t>
  </si>
  <si>
    <t>Non-Sweet Spot Non-Flowback Produced Water (gal)</t>
  </si>
  <si>
    <t>5i</t>
  </si>
  <si>
    <t>Uncertainty about mean water per treatment for HF (gallons)</t>
  </si>
  <si>
    <t>6i</t>
  </si>
  <si>
    <t>Uncertainty about mean HF treatments per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</si>
</sst>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"/>
    <numFmt numFmtId="166" formatCode="#,##0.0"/>
    <numFmt numFmtId="167" formatCode="0.0"/>
    <numFmt numFmtId="168" formatCode="0.000"/>
  </numFmts>
  <fonts count="14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Geneva"/>
    </font>
    <font>
      <b/>
      <sz val="12"/>
      <name val="Arial"/>
      <family val="2"/>
    </font>
    <font>
      <u/>
      <sz val="10"/>
      <name val="Geneva"/>
    </font>
    <font>
      <u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quotePrefix="1"/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/>
    <xf numFmtId="167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3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3" fontId="4" fillId="6" borderId="9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0" fontId="4" fillId="6" borderId="11" xfId="0" applyNumberFormat="1" applyFont="1" applyFill="1" applyBorder="1" applyAlignment="1">
      <alignment horizontal="center" vertical="center"/>
    </xf>
    <xf numFmtId="10" fontId="4" fillId="6" borderId="9" xfId="0" applyNumberFormat="1" applyFont="1" applyFill="1" applyBorder="1" applyAlignment="1">
      <alignment horizontal="center" vertical="center"/>
    </xf>
    <xf numFmtId="10" fontId="4" fillId="6" borderId="10" xfId="0" applyNumberFormat="1" applyFont="1" applyFill="1" applyBorder="1" applyAlignment="1">
      <alignment horizontal="center" vertical="center"/>
    </xf>
    <xf numFmtId="168" fontId="4" fillId="6" borderId="11" xfId="0" applyNumberFormat="1" applyFont="1" applyFill="1" applyBorder="1" applyAlignment="1">
      <alignment horizontal="center" vertical="center"/>
    </xf>
    <xf numFmtId="168" fontId="4" fillId="6" borderId="10" xfId="0" applyNumberFormat="1" applyFon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3" borderId="15" xfId="0" quotePrefix="1" applyFont="1" applyFill="1" applyBorder="1"/>
    <xf numFmtId="0" fontId="5" fillId="4" borderId="7" xfId="0" applyFont="1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center" vertical="center"/>
    </xf>
    <xf numFmtId="2" fontId="8" fillId="6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8" fontId="4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165" fontId="0" fillId="0" borderId="7" xfId="0" applyNumberForma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168" fontId="0" fillId="0" borderId="7" xfId="0" applyNumberFormat="1" applyBorder="1" applyAlignment="1">
      <alignment horizontal="center"/>
    </xf>
    <xf numFmtId="0" fontId="8" fillId="6" borderId="18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/>
    </xf>
    <xf numFmtId="14" fontId="8" fillId="6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3" fontId="4" fillId="0" borderId="0" xfId="0" applyNumberFormat="1" applyFont="1" applyFill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6" fontId="4" fillId="7" borderId="36" xfId="0" applyNumberFormat="1" applyFont="1" applyFill="1" applyBorder="1" applyAlignment="1">
      <alignment horizontal="right"/>
    </xf>
    <xf numFmtId="166" fontId="4" fillId="7" borderId="30" xfId="0" applyNumberFormat="1" applyFont="1" applyFill="1" applyBorder="1" applyAlignment="1">
      <alignment horizontal="right"/>
    </xf>
    <xf numFmtId="166" fontId="4" fillId="7" borderId="33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166" fontId="0" fillId="0" borderId="30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7" borderId="36" xfId="0" applyNumberFormat="1" applyFont="1" applyFill="1" applyBorder="1" applyAlignment="1">
      <alignment horizontal="center"/>
    </xf>
    <xf numFmtId="0" fontId="4" fillId="7" borderId="30" xfId="0" applyNumberFormat="1" applyFont="1" applyFill="1" applyBorder="1" applyAlignment="1">
      <alignment horizontal="center"/>
    </xf>
    <xf numFmtId="0" fontId="4" fillId="7" borderId="33" xfId="0" applyNumberFormat="1" applyFont="1" applyFill="1" applyBorder="1" applyAlignment="1">
      <alignment horizontal="center"/>
    </xf>
    <xf numFmtId="0" fontId="4" fillId="8" borderId="38" xfId="0" applyNumberFormat="1" applyFont="1" applyFill="1" applyBorder="1" applyAlignment="1">
      <alignment horizontal="center"/>
    </xf>
    <xf numFmtId="0" fontId="4" fillId="7" borderId="41" xfId="0" applyNumberFormat="1" applyFont="1" applyFill="1" applyBorder="1" applyAlignment="1">
      <alignment horizontal="center"/>
    </xf>
    <xf numFmtId="0" fontId="4" fillId="7" borderId="43" xfId="0" applyNumberFormat="1" applyFont="1" applyFill="1" applyBorder="1" applyAlignment="1">
      <alignment horizontal="center"/>
    </xf>
    <xf numFmtId="1" fontId="4" fillId="7" borderId="0" xfId="0" applyNumberFormat="1" applyFont="1" applyFill="1" applyAlignment="1">
      <alignment horizontal="center"/>
    </xf>
    <xf numFmtId="1" fontId="4" fillId="7" borderId="33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 vertical="center"/>
    </xf>
    <xf numFmtId="2" fontId="4" fillId="6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2" borderId="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8" fillId="8" borderId="0" xfId="0" applyFont="1" applyFill="1" applyBorder="1" applyAlignment="1">
      <alignment horizontal="left" vertical="center" wrapText="1"/>
    </xf>
    <xf numFmtId="0" fontId="0" fillId="6" borderId="44" xfId="0" applyFill="1" applyBorder="1"/>
    <xf numFmtId="0" fontId="0" fillId="6" borderId="45" xfId="0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4" fontId="4" fillId="6" borderId="9" xfId="0" applyNumberFormat="1" applyFont="1" applyFill="1" applyBorder="1" applyAlignment="1">
      <alignment horizontal="center"/>
    </xf>
    <xf numFmtId="3" fontId="4" fillId="8" borderId="9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3" fontId="4" fillId="9" borderId="7" xfId="0" applyNumberFormat="1" applyFont="1" applyFill="1" applyBorder="1" applyAlignment="1">
      <alignment horizontal="center" vertical="center"/>
    </xf>
    <xf numFmtId="3" fontId="4" fillId="9" borderId="47" xfId="0" applyNumberFormat="1" applyFont="1" applyFill="1" applyBorder="1" applyAlignment="1">
      <alignment horizontal="center" vertical="center"/>
    </xf>
    <xf numFmtId="3" fontId="4" fillId="9" borderId="45" xfId="0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0" fillId="0" borderId="0" xfId="0"/>
    <xf numFmtId="0" fontId="7" fillId="11" borderId="34" xfId="0" applyFont="1" applyFill="1" applyBorder="1"/>
    <xf numFmtId="0" fontId="7" fillId="11" borderId="29" xfId="0" applyFont="1" applyFill="1" applyBorder="1"/>
    <xf numFmtId="0" fontId="7" fillId="11" borderId="31" xfId="0" applyFont="1" applyFill="1" applyBorder="1" applyAlignment="1">
      <alignment horizontal="left"/>
    </xf>
    <xf numFmtId="0" fontId="0" fillId="11" borderId="29" xfId="0" applyFill="1" applyBorder="1"/>
    <xf numFmtId="0" fontId="7" fillId="11" borderId="31" xfId="0" applyFont="1" applyFill="1" applyBorder="1"/>
    <xf numFmtId="0" fontId="7" fillId="11" borderId="42" xfId="0" applyFont="1" applyFill="1" applyBorder="1"/>
    <xf numFmtId="0" fontId="7" fillId="11" borderId="40" xfId="0" applyFont="1" applyFill="1" applyBorder="1"/>
    <xf numFmtId="0" fontId="7" fillId="11" borderId="39" xfId="0" applyFont="1" applyFill="1" applyBorder="1"/>
    <xf numFmtId="0" fontId="7" fillId="11" borderId="35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7" fillId="11" borderId="32" xfId="0" applyFont="1" applyFill="1" applyBorder="1" applyAlignment="1">
      <alignment horizontal="left"/>
    </xf>
    <xf numFmtId="0" fontId="0" fillId="11" borderId="0" xfId="0" applyFill="1" applyBorder="1"/>
    <xf numFmtId="0" fontId="7" fillId="11" borderId="35" xfId="0" applyFont="1" applyFill="1" applyBorder="1"/>
    <xf numFmtId="0" fontId="7" fillId="11" borderId="0" xfId="0" applyFont="1" applyFill="1" applyBorder="1"/>
    <xf numFmtId="0" fontId="7" fillId="11" borderId="32" xfId="0" applyFont="1" applyFill="1" applyBorder="1"/>
    <xf numFmtId="3" fontId="0" fillId="7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9" fillId="0" borderId="0" xfId="0" applyFont="1" applyAlignment="1"/>
    <xf numFmtId="0" fontId="4" fillId="0" borderId="0" xfId="0" applyFont="1" applyFill="1" applyBorder="1"/>
    <xf numFmtId="0" fontId="7" fillId="0" borderId="0" xfId="0" applyFont="1" applyAlignment="1">
      <alignment horizontal="right"/>
    </xf>
    <xf numFmtId="0" fontId="7" fillId="11" borderId="52" xfId="0" applyFont="1" applyFill="1" applyBorder="1"/>
    <xf numFmtId="0" fontId="4" fillId="7" borderId="53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4" fillId="6" borderId="9" xfId="1" applyFont="1" applyFill="1" applyBorder="1" applyAlignment="1">
      <alignment horizontal="center" vertical="center"/>
    </xf>
    <xf numFmtId="9" fontId="4" fillId="8" borderId="9" xfId="1" applyFont="1" applyFill="1" applyBorder="1" applyAlignment="1">
      <alignment horizontal="center" vertical="center"/>
    </xf>
    <xf numFmtId="9" fontId="0" fillId="0" borderId="0" xfId="1" applyFont="1" applyAlignment="1">
      <alignment vertical="center"/>
    </xf>
    <xf numFmtId="9" fontId="4" fillId="9" borderId="7" xfId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4" fontId="4" fillId="8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9" borderId="45" xfId="0" applyNumberFormat="1" applyFont="1" applyFill="1" applyBorder="1" applyAlignment="1">
      <alignment horizontal="center" vertical="center"/>
    </xf>
    <xf numFmtId="9" fontId="4" fillId="9" borderId="45" xfId="1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horizontal="center" vertical="center"/>
    </xf>
    <xf numFmtId="165" fontId="4" fillId="8" borderId="9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9" borderId="48" xfId="0" applyNumberFormat="1" applyFont="1" applyFill="1" applyBorder="1" applyAlignment="1">
      <alignment horizontal="center" vertical="center"/>
    </xf>
    <xf numFmtId="9" fontId="4" fillId="9" borderId="47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7" borderId="5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5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7" fillId="11" borderId="0" xfId="0" applyFont="1" applyFill="1" applyAlignment="1">
      <alignment horizontal="right"/>
    </xf>
    <xf numFmtId="0" fontId="0" fillId="6" borderId="46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6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11" borderId="0" xfId="0" applyFont="1" applyFill="1" applyAlignment="1">
      <alignment horizontal="right"/>
    </xf>
    <xf numFmtId="3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6" fillId="6" borderId="37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Sweet Spots, Non-Sweet Spots, and Total Oil Volumes</a:t>
            </a:r>
          </a:p>
        </c:rich>
      </c:tx>
      <c:layout>
        <c:manualLayout>
          <c:xMode val="edge"/>
          <c:yMode val="edge"/>
          <c:x val="0.15636125839085679"/>
          <c:y val="3.0232702130650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61872882730382"/>
          <c:y val="0.13720945813210669"/>
          <c:w val="0.79828403208047516"/>
          <c:h val="0.69302404276894392"/>
        </c:manualLayout>
      </c:layout>
      <c:scatterChart>
        <c:scatterStyle val="smoothMarker"/>
        <c:varyColors val="0"/>
        <c:ser>
          <c:idx val="0"/>
          <c:order val="0"/>
          <c:tx>
            <c:v>Sweet Spots Volume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Output_Plots!$D$28:$D$46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Non-Sweet Spots Volume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Output_Plots!$E$28:$E$46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Total AU Volume</c:v>
          </c:tx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Output_Plots!$F$28:$F$46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5720"/>
        <c:axId val="375129056"/>
      </c:scatterChart>
      <c:valAx>
        <c:axId val="375135720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29056"/>
        <c:crosses val="autoZero"/>
        <c:crossBetween val="midCat"/>
      </c:valAx>
      <c:valAx>
        <c:axId val="37512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MMBO</a:t>
                </a:r>
              </a:p>
            </c:rich>
          </c:tx>
          <c:layout>
            <c:manualLayout>
              <c:xMode val="edge"/>
              <c:yMode val="edge"/>
              <c:x val="1.8165112435180729E-2"/>
              <c:y val="0.4528232457400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572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44703908935652"/>
          <c:y val="0.16291496678387701"/>
          <c:w val="0.34278528146360482"/>
          <c:h val="0.18685070541895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Sweet Spots, Non-Sweet Spots, and Total Gas Volumes</a:t>
            </a:r>
          </a:p>
        </c:rich>
      </c:tx>
      <c:layout>
        <c:manualLayout>
          <c:xMode val="edge"/>
          <c:yMode val="edge"/>
          <c:x val="0.16291052610628592"/>
          <c:y val="3.0232683116669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4943909974186"/>
          <c:y val="0.13720945813210669"/>
          <c:w val="0.82905331576262631"/>
          <c:h val="0.69302404276894392"/>
        </c:manualLayout>
      </c:layout>
      <c:scatterChart>
        <c:scatterStyle val="smoothMarker"/>
        <c:varyColors val="0"/>
        <c:ser>
          <c:idx val="0"/>
          <c:order val="0"/>
          <c:tx>
            <c:v>Sweet Spots Volume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Output_Plots!$D$52:$D$70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Non-Sweet Spots Volume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Output_Plots!$E$52:$E$70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Total AU Volume</c:v>
          </c:tx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Output_Plots!$C$28:$C$46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Output_Plots!$F$52:$F$70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9640"/>
        <c:axId val="375132976"/>
      </c:scatterChart>
      <c:valAx>
        <c:axId val="375139640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2976"/>
        <c:crosses val="autoZero"/>
        <c:crossBetween val="midCat"/>
      </c:valAx>
      <c:valAx>
        <c:axId val="37513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BCFG</a:t>
                </a:r>
              </a:p>
            </c:rich>
          </c:tx>
          <c:layout>
            <c:manualLayout>
              <c:xMode val="edge"/>
              <c:yMode val="edge"/>
              <c:x val="1.5612064414416418E-2"/>
              <c:y val="0.420587090666750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964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61750981877965"/>
          <c:y val="0.1666415726200679"/>
          <c:w val="0.31392690936531026"/>
          <c:h val="0.19102466520641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Water Requirement</a:t>
            </a:r>
            <a:endParaRPr lang="en-US"/>
          </a:p>
        </c:rich>
      </c:tx>
      <c:layout>
        <c:manualLayout>
          <c:xMode val="edge"/>
          <c:yMode val="edge"/>
          <c:x val="0.38310583110174934"/>
          <c:y val="3.023276191098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5563212280831"/>
          <c:y val="0.14098157122086763"/>
          <c:w val="0.79828403208047516"/>
          <c:h val="0.69302404276894392"/>
        </c:manualLayout>
      </c:layout>
      <c:scatterChart>
        <c:scatterStyle val="smoothMarker"/>
        <c:varyColors val="0"/>
        <c:ser>
          <c:idx val="2"/>
          <c:order val="0"/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Output_Plots!$P$28:$P$46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Output_Plots!$Q$28:$Q$46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8072"/>
        <c:axId val="375127880"/>
      </c:scatterChart>
      <c:valAx>
        <c:axId val="37513807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27880"/>
        <c:crosses val="autoZero"/>
        <c:crossBetween val="midCat"/>
      </c:valAx>
      <c:valAx>
        <c:axId val="37512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10^6</a:t>
                </a:r>
                <a:r>
                  <a:rPr lang="en-US" baseline="0"/>
                  <a:t> </a:t>
                </a:r>
                <a:r>
                  <a:rPr lang="en-US"/>
                  <a:t>gal</a:t>
                </a:r>
              </a:p>
            </c:rich>
          </c:tx>
          <c:layout>
            <c:manualLayout>
              <c:xMode val="edge"/>
              <c:yMode val="edge"/>
              <c:x val="1.8165112435180729E-2"/>
              <c:y val="0.4528232457400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807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Proppant Requirement</a:t>
            </a:r>
            <a:endParaRPr lang="en-US"/>
          </a:p>
        </c:rich>
      </c:tx>
      <c:layout>
        <c:manualLayout>
          <c:xMode val="edge"/>
          <c:yMode val="edge"/>
          <c:x val="0.32371715026386921"/>
          <c:y val="3.023276191098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5563212280831"/>
          <c:y val="0.14098157122086763"/>
          <c:w val="0.79828403208047516"/>
          <c:h val="0.69302404276894392"/>
        </c:manualLayout>
      </c:layout>
      <c:scatterChart>
        <c:scatterStyle val="smoothMarker"/>
        <c:varyColors val="0"/>
        <c:ser>
          <c:idx val="2"/>
          <c:order val="0"/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Output_Plots!$W$28:$W$46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Output_Plots!$X$28:$X$46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8464"/>
        <c:axId val="375138856"/>
      </c:scatterChart>
      <c:valAx>
        <c:axId val="375138464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8856"/>
        <c:crosses val="autoZero"/>
        <c:crossBetween val="midCat"/>
      </c:valAx>
      <c:valAx>
        <c:axId val="375138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Tons, x 10</a:t>
                </a:r>
                <a:r>
                  <a:rPr lang="en-US" baseline="30000"/>
                  <a:t>6</a:t>
                </a:r>
              </a:p>
            </c:rich>
          </c:tx>
          <c:layout>
            <c:manualLayout>
              <c:xMode val="edge"/>
              <c:yMode val="edge"/>
              <c:x val="2.5877705100155309E-2"/>
              <c:y val="0.305707738483312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846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Flowback Production</a:t>
            </a:r>
            <a:endParaRPr lang="en-US"/>
          </a:p>
        </c:rich>
      </c:tx>
      <c:layout>
        <c:manualLayout>
          <c:xMode val="edge"/>
          <c:yMode val="edge"/>
          <c:x val="0.32371715026386921"/>
          <c:y val="3.023276191098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5563212280831"/>
          <c:y val="0.14098157122086763"/>
          <c:w val="0.79828403208047516"/>
          <c:h val="0.69302404276894392"/>
        </c:manualLayout>
      </c:layout>
      <c:scatterChart>
        <c:scatterStyle val="smoothMarker"/>
        <c:varyColors val="0"/>
        <c:ser>
          <c:idx val="2"/>
          <c:order val="0"/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Output_Plots!$AD$28:$AD$46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Output_Plots!$AE$28:$AE$46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7680"/>
        <c:axId val="375127488"/>
      </c:scatterChart>
      <c:valAx>
        <c:axId val="375137680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27488"/>
        <c:crosses val="autoZero"/>
        <c:crossBetween val="midCat"/>
      </c:valAx>
      <c:valAx>
        <c:axId val="37512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10^6</a:t>
                </a:r>
                <a:r>
                  <a:rPr lang="en-US" baseline="0"/>
                  <a:t> </a:t>
                </a:r>
                <a:r>
                  <a:rPr lang="en-US"/>
                  <a:t>gal</a:t>
                </a:r>
              </a:p>
            </c:rich>
          </c:tx>
          <c:layout>
            <c:manualLayout>
              <c:xMode val="edge"/>
              <c:yMode val="edge"/>
              <c:x val="1.8165112435180729E-2"/>
              <c:y val="0.4528232457400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768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Produced Water</a:t>
            </a:r>
            <a:endParaRPr lang="en-US"/>
          </a:p>
        </c:rich>
      </c:tx>
      <c:layout>
        <c:manualLayout>
          <c:xMode val="edge"/>
          <c:yMode val="edge"/>
          <c:x val="0.32371715026386921"/>
          <c:y val="3.023276191098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5563212280831"/>
          <c:y val="0.14098157122086763"/>
          <c:w val="0.79828403208047516"/>
          <c:h val="0.69302404276894392"/>
        </c:manualLayout>
      </c:layout>
      <c:scatterChart>
        <c:scatterStyle val="smoothMarker"/>
        <c:varyColors val="0"/>
        <c:ser>
          <c:idx val="2"/>
          <c:order val="0"/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Output_Plots!$AK$28:$AK$46</c:f>
              <c:numCache>
                <c:formatCode>0.00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</c:numCache>
            </c:numRef>
          </c:xVal>
          <c:yVal>
            <c:numRef>
              <c:f>Output_Plots!$AL$28:$AL$46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131016"/>
        <c:axId val="375134152"/>
      </c:scatterChart>
      <c:valAx>
        <c:axId val="375131016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Fractile</a:t>
                </a:r>
              </a:p>
            </c:rich>
          </c:tx>
          <c:layout>
            <c:manualLayout>
              <c:xMode val="edge"/>
              <c:yMode val="edge"/>
              <c:x val="0.44327754423650945"/>
              <c:y val="0.911628915018330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4152"/>
        <c:crosses val="autoZero"/>
        <c:crossBetween val="midCat"/>
      </c:valAx>
      <c:valAx>
        <c:axId val="375134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10^6</a:t>
                </a:r>
                <a:r>
                  <a:rPr lang="en-US" baseline="0"/>
                  <a:t> </a:t>
                </a:r>
                <a:r>
                  <a:rPr lang="en-US"/>
                  <a:t>gal</a:t>
                </a:r>
              </a:p>
            </c:rich>
          </c:tx>
          <c:layout>
            <c:manualLayout>
              <c:xMode val="edge"/>
              <c:yMode val="edge"/>
              <c:x val="1.8165112435180729E-2"/>
              <c:y val="0.4528232457400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3101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</xdr:colOff>
      <xdr:row>0</xdr:row>
      <xdr:rowOff>116416</xdr:rowOff>
    </xdr:from>
    <xdr:to>
      <xdr:col>6</xdr:col>
      <xdr:colOff>63500</xdr:colOff>
      <xdr:row>22</xdr:row>
      <xdr:rowOff>31749</xdr:rowOff>
    </xdr:to>
    <xdr:graphicFrame macro="">
      <xdr:nvGraphicFramePr>
        <xdr:cNvPr id="6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1026584</xdr:colOff>
      <xdr:row>1</xdr:row>
      <xdr:rowOff>1</xdr:rowOff>
    </xdr:from>
    <xdr:to>
      <xdr:col>12</xdr:col>
      <xdr:colOff>592666</xdr:colOff>
      <xdr:row>22</xdr:row>
      <xdr:rowOff>105833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334307</xdr:colOff>
      <xdr:row>1</xdr:row>
      <xdr:rowOff>26770</xdr:rowOff>
    </xdr:from>
    <xdr:to>
      <xdr:col>20</xdr:col>
      <xdr:colOff>444500</xdr:colOff>
      <xdr:row>22</xdr:row>
      <xdr:rowOff>98985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334307</xdr:colOff>
      <xdr:row>1</xdr:row>
      <xdr:rowOff>26770</xdr:rowOff>
    </xdr:from>
    <xdr:to>
      <xdr:col>27</xdr:col>
      <xdr:colOff>444500</xdr:colOff>
      <xdr:row>22</xdr:row>
      <xdr:rowOff>98985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334307</xdr:colOff>
      <xdr:row>1</xdr:row>
      <xdr:rowOff>26770</xdr:rowOff>
    </xdr:from>
    <xdr:to>
      <xdr:col>34</xdr:col>
      <xdr:colOff>444500</xdr:colOff>
      <xdr:row>22</xdr:row>
      <xdr:rowOff>98985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334307</xdr:colOff>
      <xdr:row>1</xdr:row>
      <xdr:rowOff>26770</xdr:rowOff>
    </xdr:from>
    <xdr:to>
      <xdr:col>41</xdr:col>
      <xdr:colOff>444500</xdr:colOff>
      <xdr:row>22</xdr:row>
      <xdr:rowOff>98985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231"/>
  <sheetViews>
    <sheetView tabSelected="1" topLeftCell="B19" zoomScaleNormal="100" workbookViewId="0">
      <selection activeCell="C72" sqref="C72"/>
    </sheetView>
  </sheetViews>
  <sheetFormatPr defaultColWidth="15.85546875" defaultRowHeight="18.75" customHeight="1"/>
  <cols>
    <col min="1" max="1" width="25.5703125" style="1" customWidth="1"/>
    <col min="2" max="2" width="21.85546875" customWidth="1"/>
    <col min="3" max="3" width="40.5703125" customWidth="1"/>
    <col min="4" max="4" width="15.85546875" customWidth="1"/>
    <col min="5" max="5" width="2.5703125" customWidth="1"/>
    <col min="6" max="9" width="15.85546875" customWidth="1"/>
    <col min="10" max="10" width="3.28515625" customWidth="1"/>
    <col min="11" max="11" width="15.7109375" style="1" customWidth="1"/>
    <col min="12" max="12" width="2.28515625" customWidth="1"/>
    <col min="13" max="13" width="10.85546875" customWidth="1"/>
    <col min="14" max="14" width="7.5703125" customWidth="1"/>
    <col min="15" max="15" width="6.5703125" customWidth="1"/>
    <col min="16" max="16" width="51.140625" customWidth="1"/>
    <col min="17" max="17" width="13" customWidth="1"/>
    <col min="18" max="18" width="48.7109375" customWidth="1"/>
    <col min="19" max="19" width="15.28515625" customWidth="1"/>
    <col min="20" max="20" width="20.5703125" customWidth="1"/>
    <col min="21" max="24" width="18.140625" customWidth="1"/>
  </cols>
  <sheetData>
    <row r="1" spans="1:23" ht="21" customHeight="1" thickBo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3" ht="13.5" customHeight="1" thickBot="1">
      <c r="F2" s="1"/>
      <c r="I2" s="217" t="s">
        <v>158</v>
      </c>
      <c r="J2" s="218"/>
      <c r="K2" s="219"/>
      <c r="L2" s="55"/>
      <c r="M2" s="55"/>
      <c r="Q2" s="159" t="s">
        <v>111</v>
      </c>
    </row>
    <row r="3" spans="1:23" ht="13.5" customHeight="1" thickBot="1">
      <c r="D3" s="1"/>
      <c r="E3" s="2"/>
      <c r="F3" s="2"/>
      <c r="G3" s="2"/>
      <c r="H3" s="2"/>
      <c r="I3" s="87"/>
      <c r="J3" s="87"/>
      <c r="K3" s="87"/>
      <c r="P3" s="64" t="s">
        <v>4</v>
      </c>
      <c r="Q3" s="65" t="str">
        <f ca="1">"Mean Drainage Area in "&amp;CELL("address",$K$20)</f>
        <v>Mean Drainage Area in $K$20</v>
      </c>
      <c r="R3" s="65" t="str">
        <f ca="1">"EUR Distribution Sweet Spot in "&amp;CELL("address",$W$57)</f>
        <v>EUR Distribution Sweet Spot in $W$57</v>
      </c>
      <c r="S3" s="65" t="str">
        <f ca="1">"EUR Distribution Non-Sweet Spot  in "&amp;CELL("address",$W$58)</f>
        <v>EUR Distribution Non-Sweet Spot  in $W$58</v>
      </c>
      <c r="T3" s="65" t="str">
        <f ca="1">"Mean drilling water, Sweet Spot in "&amp;CELL("address",$K$29)</f>
        <v>Mean drilling water, Sweet Spot in $K$29</v>
      </c>
      <c r="U3" s="65" t="str">
        <f ca="1">"Mean water HF water volume, Sweet Spot in "&amp;CELL("address",$K$30)</f>
        <v>Mean water HF water volume, Sweet Spot in $K$30</v>
      </c>
      <c r="V3" s="65" t="str">
        <f ca="1">"Mean drilling water, Non-Sweet Spot in "&amp;CELL("address",$K$40)</f>
        <v>Mean drilling water, Non-Sweet Spot in $K$40</v>
      </c>
      <c r="W3" s="65" t="str">
        <f ca="1">"Mean water HF water volume, Non-Sweet Spot in "&amp;CELL("address",$K$41)</f>
        <v>Mean water HF water volume, Non-Sweet Spot in $K$41</v>
      </c>
    </row>
    <row r="4" spans="1:23" ht="13.5" customHeight="1" thickBot="1">
      <c r="A4" s="101" t="s">
        <v>60</v>
      </c>
      <c r="B4" s="214"/>
      <c r="C4" s="215"/>
      <c r="D4" s="215"/>
      <c r="E4" s="215"/>
      <c r="F4" s="215"/>
      <c r="G4" s="215"/>
      <c r="H4" s="216"/>
      <c r="I4" s="2"/>
      <c r="J4" s="58" t="s">
        <v>19</v>
      </c>
      <c r="K4" s="86"/>
      <c r="P4" s="65" t="str">
        <f ca="1">"Mean Drainage Area in "&amp;CELL("address",$K$20)</f>
        <v>Mean Drainage Area in $K$20</v>
      </c>
      <c r="Q4" s="137">
        <v>1</v>
      </c>
      <c r="R4" s="138"/>
      <c r="S4" s="138"/>
      <c r="T4" s="138"/>
      <c r="U4" s="138"/>
      <c r="V4" s="138"/>
      <c r="W4" s="138"/>
    </row>
    <row r="5" spans="1:23" ht="13.5" customHeight="1">
      <c r="A5" s="58"/>
      <c r="B5" s="51"/>
      <c r="C5" s="51"/>
      <c r="D5" s="51"/>
      <c r="E5" s="51"/>
      <c r="F5" s="51"/>
      <c r="G5" s="68"/>
      <c r="H5" s="68"/>
      <c r="I5" s="2"/>
      <c r="J5" s="2"/>
      <c r="P5" s="65" t="str">
        <f ca="1">"EUR Distribution Sweet Spot in "&amp;CELL("address",$W$57)</f>
        <v>EUR Distribution Sweet Spot in $W$57</v>
      </c>
      <c r="Q5" s="136">
        <v>0.5</v>
      </c>
      <c r="R5" s="135">
        <v>1</v>
      </c>
      <c r="S5" s="135"/>
      <c r="T5" s="135"/>
      <c r="U5" s="135"/>
      <c r="V5" s="135"/>
      <c r="W5" s="135"/>
    </row>
    <row r="6" spans="1:23" ht="13.5" customHeight="1" thickBot="1">
      <c r="A6" s="58"/>
      <c r="B6" s="59" t="s">
        <v>20</v>
      </c>
      <c r="C6" s="60" t="s">
        <v>21</v>
      </c>
      <c r="D6" s="51"/>
      <c r="E6" s="51"/>
      <c r="F6" s="51"/>
      <c r="G6" s="68"/>
      <c r="H6" s="68"/>
      <c r="I6" s="2"/>
      <c r="J6" s="2"/>
      <c r="P6" s="65" t="str">
        <f ca="1">"EUR Distribution Non-Sweet Spot in "&amp;CELL("address",$W$58)</f>
        <v>EUR Distribution Non-Sweet Spot in $W$58</v>
      </c>
      <c r="Q6" s="136">
        <v>0.5</v>
      </c>
      <c r="R6" s="135">
        <v>0</v>
      </c>
      <c r="S6" s="135">
        <v>1</v>
      </c>
      <c r="T6" s="135"/>
      <c r="U6" s="135"/>
      <c r="V6" s="135"/>
      <c r="W6" s="135"/>
    </row>
    <row r="7" spans="1:23" ht="13.5" customHeight="1" thickBot="1">
      <c r="A7" s="58" t="s">
        <v>22</v>
      </c>
      <c r="B7" s="82"/>
      <c r="C7" s="208"/>
      <c r="D7" s="209"/>
      <c r="E7" s="209"/>
      <c r="F7" s="209"/>
      <c r="G7" s="209"/>
      <c r="H7" s="210"/>
      <c r="I7" s="2"/>
      <c r="J7" s="2"/>
      <c r="K7" s="79" t="s">
        <v>33</v>
      </c>
      <c r="P7" s="65" t="str">
        <f ca="1">"Mean drilling water, Sweet Spot in "&amp;CELL("address",$K$29)</f>
        <v>Mean drilling water, Sweet Spot in $K$29</v>
      </c>
      <c r="Q7" s="136">
        <v>0.5</v>
      </c>
      <c r="R7" s="135">
        <v>0.15</v>
      </c>
      <c r="S7" s="135">
        <v>0</v>
      </c>
      <c r="T7" s="135">
        <v>1</v>
      </c>
      <c r="U7" s="135"/>
      <c r="V7" s="135"/>
      <c r="W7" s="135"/>
    </row>
    <row r="8" spans="1:23" ht="13.5" customHeight="1" thickBot="1">
      <c r="A8" s="58" t="s">
        <v>23</v>
      </c>
      <c r="B8" s="83"/>
      <c r="C8" s="211"/>
      <c r="D8" s="212"/>
      <c r="E8" s="212"/>
      <c r="F8" s="212"/>
      <c r="G8" s="212"/>
      <c r="H8" s="213"/>
      <c r="I8" s="2"/>
      <c r="J8" s="2"/>
      <c r="K8" s="75"/>
      <c r="P8" s="65" t="str">
        <f ca="1">"Mean water HF water volume, Sweet Spot in "&amp;CELL("address",$K$30)</f>
        <v>Mean water HF water volume, Sweet Spot in $K$30</v>
      </c>
      <c r="Q8" s="136">
        <v>0.5</v>
      </c>
      <c r="R8" s="135">
        <v>0.15</v>
      </c>
      <c r="S8" s="135">
        <v>0</v>
      </c>
      <c r="T8" s="135">
        <v>0.5</v>
      </c>
      <c r="U8" s="135">
        <v>1</v>
      </c>
      <c r="V8" s="135"/>
      <c r="W8" s="135"/>
    </row>
    <row r="9" spans="1:23" ht="13.5" customHeight="1">
      <c r="A9" s="58" t="s">
        <v>24</v>
      </c>
      <c r="B9" s="83"/>
      <c r="C9" s="211"/>
      <c r="D9" s="212"/>
      <c r="E9" s="212"/>
      <c r="F9" s="212"/>
      <c r="G9" s="212"/>
      <c r="H9" s="213"/>
      <c r="I9" s="2"/>
      <c r="J9" s="2"/>
      <c r="P9" s="65" t="str">
        <f ca="1">"Mean drilling water, Non-Sweet Spot in "&amp;CELL("address",$K$40)</f>
        <v>Mean drilling water, Non-Sweet Spot in $K$40</v>
      </c>
      <c r="Q9" s="136">
        <v>0.5</v>
      </c>
      <c r="R9" s="135">
        <v>0</v>
      </c>
      <c r="S9" s="135">
        <v>0.15</v>
      </c>
      <c r="T9" s="135">
        <v>0</v>
      </c>
      <c r="U9" s="135">
        <v>0</v>
      </c>
      <c r="V9" s="135">
        <v>1</v>
      </c>
      <c r="W9" s="135"/>
    </row>
    <row r="10" spans="1:23" ht="13.5" customHeight="1" thickBot="1">
      <c r="A10" s="58" t="s">
        <v>25</v>
      </c>
      <c r="B10" s="84"/>
      <c r="C10" s="196"/>
      <c r="D10" s="197"/>
      <c r="E10" s="197"/>
      <c r="F10" s="197"/>
      <c r="G10" s="197"/>
      <c r="H10" s="198"/>
      <c r="I10" s="2"/>
      <c r="J10" s="2"/>
      <c r="P10" s="65" t="str">
        <f ca="1">"Mean water HF water volume, Non-Sweet Spot in "&amp;CELL("address",$K$41)</f>
        <v>Mean water HF water volume, Non-Sweet Spot in $K$41</v>
      </c>
      <c r="Q10" s="136">
        <v>0.5</v>
      </c>
      <c r="R10" s="135">
        <v>0</v>
      </c>
      <c r="S10" s="135">
        <v>0.15</v>
      </c>
      <c r="T10" s="135">
        <v>0</v>
      </c>
      <c r="U10" s="135">
        <v>0</v>
      </c>
      <c r="V10" s="135">
        <v>0.5</v>
      </c>
      <c r="W10" s="135">
        <v>1</v>
      </c>
    </row>
    <row r="11" spans="1:23" ht="13.5" customHeight="1">
      <c r="A11" s="58"/>
      <c r="B11" s="120"/>
      <c r="C11" s="118"/>
      <c r="D11" s="120"/>
      <c r="E11" s="120"/>
      <c r="F11" s="120"/>
      <c r="G11" s="120"/>
      <c r="H11" s="117"/>
      <c r="I11" s="102"/>
      <c r="J11" s="102"/>
    </row>
    <row r="12" spans="1:23" ht="13.5" customHeight="1" thickBot="1">
      <c r="B12" s="91" t="s">
        <v>90</v>
      </c>
      <c r="C12" s="91" t="s">
        <v>21</v>
      </c>
      <c r="D12" s="91" t="s">
        <v>91</v>
      </c>
      <c r="G12" s="2"/>
      <c r="H12" s="2"/>
      <c r="I12" s="2"/>
      <c r="J12" s="2"/>
    </row>
    <row r="13" spans="1:23" ht="27.75" customHeight="1" thickBot="1">
      <c r="A13" s="119" t="s">
        <v>107</v>
      </c>
      <c r="B13" s="121"/>
      <c r="C13" s="122"/>
      <c r="D13" s="201"/>
      <c r="E13" s="202"/>
      <c r="F13" s="202"/>
      <c r="G13" s="202"/>
      <c r="H13" s="203"/>
      <c r="I13" s="102"/>
      <c r="J13" s="102"/>
    </row>
    <row r="14" spans="1:23" ht="13.5" customHeight="1">
      <c r="G14" s="102"/>
      <c r="H14" s="102"/>
      <c r="I14" s="102"/>
      <c r="J14" s="102"/>
    </row>
    <row r="15" spans="1:23" ht="13.5" customHeight="1">
      <c r="G15" s="102"/>
      <c r="H15" s="102"/>
      <c r="I15" s="102"/>
      <c r="J15" s="102"/>
    </row>
    <row r="16" spans="1:23" ht="13.5" customHeight="1">
      <c r="G16" s="2"/>
      <c r="H16" s="2"/>
      <c r="I16" s="2"/>
      <c r="J16" s="2"/>
    </row>
    <row r="17" spans="1:23" ht="13.5" customHeight="1" thickBot="1">
      <c r="A17" s="48" t="s">
        <v>3</v>
      </c>
      <c r="B17" s="49"/>
      <c r="C17" s="49"/>
      <c r="D17" s="48" t="s">
        <v>13</v>
      </c>
      <c r="E17" s="49"/>
      <c r="F17" s="50" t="s">
        <v>15</v>
      </c>
      <c r="G17" s="50" t="s">
        <v>5</v>
      </c>
      <c r="H17" s="50" t="s">
        <v>36</v>
      </c>
      <c r="I17" s="50" t="s">
        <v>16</v>
      </c>
      <c r="J17" s="51"/>
      <c r="K17" s="52" t="s">
        <v>6</v>
      </c>
      <c r="M17" s="13"/>
      <c r="N17" s="13"/>
    </row>
    <row r="18" spans="1:23" ht="13.5" customHeight="1" thickBot="1">
      <c r="A18" s="19">
        <v>1</v>
      </c>
      <c r="B18" s="204" t="s">
        <v>41</v>
      </c>
      <c r="C18" s="199"/>
      <c r="D18" s="19" t="s">
        <v>12</v>
      </c>
      <c r="E18" s="20"/>
      <c r="F18" s="24"/>
      <c r="G18" s="24"/>
      <c r="H18" s="70"/>
      <c r="I18" s="25"/>
      <c r="J18" s="26"/>
      <c r="K18" s="27" t="e">
        <f ca="1">+_xll.RiskTriang(F18,G18,I18,_xll.RiskName("AU Area"))</f>
        <v>#VALUE!</v>
      </c>
    </row>
    <row r="19" spans="1:23" ht="9" customHeight="1" thickTop="1" thickBot="1">
      <c r="A19" s="17"/>
      <c r="B19" s="13"/>
      <c r="C19" s="13"/>
      <c r="D19" s="17"/>
      <c r="E19" s="18"/>
      <c r="F19" s="21"/>
      <c r="G19" s="21"/>
      <c r="H19" s="21"/>
      <c r="I19" s="21"/>
      <c r="K19" s="14"/>
    </row>
    <row r="20" spans="1:23" ht="13.5" customHeight="1" thickBot="1">
      <c r="A20" s="19">
        <v>2</v>
      </c>
      <c r="B20" s="204" t="s">
        <v>18</v>
      </c>
      <c r="C20" s="199"/>
      <c r="D20" s="19" t="s">
        <v>12</v>
      </c>
      <c r="E20" s="20"/>
      <c r="F20" s="28"/>
      <c r="G20" s="24"/>
      <c r="H20" s="70"/>
      <c r="I20" s="25"/>
      <c r="J20" s="29"/>
      <c r="K20" s="27" t="e">
        <f ca="1">+_xll.RiskTriang(F20,G20,I20,_xll.RiskCorrmat(CorrMatrix,1),_xll.RiskName("Mean Drainage Area"))</f>
        <v>#VALUE!</v>
      </c>
      <c r="M20" s="3"/>
      <c r="O20" s="3"/>
    </row>
    <row r="21" spans="1:23" ht="9" customHeight="1" thickTop="1" thickBot="1">
      <c r="A21" s="17"/>
      <c r="B21" s="18"/>
      <c r="C21" s="18"/>
      <c r="D21" s="17"/>
      <c r="E21" s="18"/>
      <c r="F21" s="30"/>
      <c r="G21" s="30"/>
      <c r="H21" s="30"/>
      <c r="I21" s="30"/>
      <c r="J21" s="29"/>
      <c r="K21" s="31"/>
      <c r="P21" s="1"/>
      <c r="Q21" s="3"/>
      <c r="R21" s="1"/>
      <c r="S21" s="3"/>
    </row>
    <row r="22" spans="1:23" ht="13.5" customHeight="1" thickBot="1">
      <c r="A22" s="19">
        <v>3</v>
      </c>
      <c r="B22" s="204" t="s">
        <v>17</v>
      </c>
      <c r="C22" s="199"/>
      <c r="D22" s="19" t="s">
        <v>12</v>
      </c>
      <c r="E22" s="20"/>
      <c r="F22" s="32"/>
      <c r="G22" s="33"/>
      <c r="H22" s="71"/>
      <c r="I22" s="34"/>
      <c r="J22" s="29"/>
      <c r="K22" s="35" t="e">
        <f ca="1">+_xll.RiskTriang(F22,G22,I22,_xll.RiskName("Untested Percent"))</f>
        <v>#VALUE!</v>
      </c>
    </row>
    <row r="23" spans="1:23" ht="9" customHeight="1" thickTop="1" thickBot="1">
      <c r="A23" s="17"/>
      <c r="B23" s="18"/>
      <c r="C23" s="18"/>
      <c r="D23" s="17"/>
      <c r="E23" s="18"/>
      <c r="F23" s="30"/>
      <c r="G23" s="30"/>
      <c r="H23" s="30"/>
      <c r="I23" s="30"/>
      <c r="J23" s="29"/>
      <c r="K23" s="31"/>
    </row>
    <row r="24" spans="1:23" ht="13.5" customHeight="1" thickBot="1">
      <c r="A24" s="19">
        <v>4</v>
      </c>
      <c r="B24" s="199" t="s">
        <v>7</v>
      </c>
      <c r="C24" s="199"/>
      <c r="D24" s="19" t="s">
        <v>12</v>
      </c>
      <c r="E24" s="20"/>
      <c r="F24" s="32"/>
      <c r="G24" s="33"/>
      <c r="H24" s="71"/>
      <c r="I24" s="34"/>
      <c r="J24" s="29"/>
      <c r="K24" s="35">
        <f>+IF(I24=F24,I24,_xll.RiskTriang(F24,G24,I24,_xll.RiskName("Percent in Sweet Spots")))</f>
        <v>0</v>
      </c>
      <c r="L24" s="4"/>
      <c r="P24" s="58" t="s">
        <v>34</v>
      </c>
      <c r="Q24" s="66" t="e">
        <f ca="1">_xll.RiskUniform(0,1,_xll.RiskName("AU Probability"))</f>
        <v>#VALUE!</v>
      </c>
    </row>
    <row r="25" spans="1:23" ht="9" customHeight="1" thickTop="1">
      <c r="A25" s="12"/>
      <c r="B25" s="12"/>
      <c r="C25" s="12"/>
      <c r="D25" s="12"/>
      <c r="E25" s="13"/>
      <c r="F25" s="43"/>
      <c r="G25" s="43"/>
      <c r="H25" s="43"/>
      <c r="I25" s="43"/>
      <c r="J25" s="29"/>
      <c r="K25" s="47"/>
      <c r="L25" s="4"/>
    </row>
    <row r="26" spans="1:23" ht="13.5" customHeight="1" thickBot="1">
      <c r="A26" s="17"/>
      <c r="B26" s="195" t="s">
        <v>10</v>
      </c>
      <c r="C26" s="195"/>
      <c r="D26" s="17"/>
      <c r="E26" s="18"/>
      <c r="F26" s="30"/>
      <c r="G26" s="30"/>
      <c r="H26" s="30"/>
      <c r="I26" s="30"/>
      <c r="J26" s="29"/>
      <c r="K26" s="31"/>
    </row>
    <row r="27" spans="1:23" ht="13.5" customHeight="1" thickBot="1">
      <c r="A27" s="100" t="s">
        <v>1</v>
      </c>
      <c r="B27" s="199" t="s">
        <v>8</v>
      </c>
      <c r="C27" s="199"/>
      <c r="D27" s="19" t="s">
        <v>12</v>
      </c>
      <c r="E27" s="20"/>
      <c r="F27" s="36"/>
      <c r="G27" s="37"/>
      <c r="H27" s="69"/>
      <c r="I27" s="38"/>
      <c r="J27" s="29"/>
      <c r="K27" s="35" t="e">
        <f ca="1">+_xll.RiskTriang(F27,G27,I27,_xll.RiskName("Sweet Spot Success Ratio"))</f>
        <v>#VALUE!</v>
      </c>
      <c r="M27" s="3"/>
      <c r="O27" s="3"/>
      <c r="P27" s="73"/>
      <c r="Q27" s="73"/>
      <c r="R27" s="73"/>
      <c r="S27" s="73"/>
      <c r="T27" s="73"/>
      <c r="U27" s="73"/>
      <c r="V27" s="73"/>
      <c r="W27" s="73"/>
    </row>
    <row r="28" spans="1:23" ht="13.5" customHeight="1" thickTop="1" thickBot="1">
      <c r="A28" s="22" t="s">
        <v>9</v>
      </c>
      <c r="B28" s="205" t="s">
        <v>106</v>
      </c>
      <c r="C28" s="206"/>
      <c r="D28" s="100" t="s">
        <v>12</v>
      </c>
      <c r="E28" s="23"/>
      <c r="F28" s="36"/>
      <c r="G28" s="37"/>
      <c r="H28" s="69"/>
      <c r="I28" s="38"/>
      <c r="J28" s="29"/>
      <c r="K28" s="35" t="e">
        <f ca="1">+_xll.RiskTriang(F28,G28,I28,_xll.RiskName("Percent of unsuccessful wells that are HF'ed, Sweet Spot"))</f>
        <v>#VALUE!</v>
      </c>
      <c r="P28" s="53"/>
      <c r="Q28" s="3"/>
      <c r="R28" s="53"/>
      <c r="S28" s="3"/>
      <c r="T28" s="53"/>
      <c r="U28" s="3"/>
      <c r="V28" s="53"/>
      <c r="W28" s="3"/>
    </row>
    <row r="29" spans="1:23" ht="13.5" customHeight="1" thickTop="1" thickBot="1">
      <c r="A29" s="100" t="s">
        <v>61</v>
      </c>
      <c r="B29" s="199" t="s">
        <v>132</v>
      </c>
      <c r="C29" s="199"/>
      <c r="D29" s="100" t="s">
        <v>12</v>
      </c>
      <c r="E29" s="20"/>
      <c r="F29" s="111"/>
      <c r="G29" s="112"/>
      <c r="H29" s="113"/>
      <c r="I29" s="114"/>
      <c r="J29" s="115"/>
      <c r="K29" s="116" t="e">
        <f ca="1">+_xll.RiskTriang(F29,G29,I29,_xll.RiskCorrmat(CorrMatrix,4),_xll.RiskName("Mean drilling water, Sweet Spot"))</f>
        <v>#VALUE!</v>
      </c>
      <c r="M29" s="3"/>
      <c r="O29" s="3"/>
      <c r="P29" s="73"/>
      <c r="Q29" s="73"/>
      <c r="R29" s="73"/>
      <c r="S29" s="73"/>
      <c r="T29" s="73"/>
      <c r="U29" s="73"/>
      <c r="V29" s="73"/>
      <c r="W29" s="73"/>
    </row>
    <row r="30" spans="1:23" ht="13.5" customHeight="1" thickTop="1" thickBot="1">
      <c r="A30" s="99" t="s">
        <v>62</v>
      </c>
      <c r="B30" s="205" t="s">
        <v>164</v>
      </c>
      <c r="C30" s="206"/>
      <c r="D30" s="100" t="s">
        <v>12</v>
      </c>
      <c r="E30" s="20"/>
      <c r="F30" s="111"/>
      <c r="G30" s="112"/>
      <c r="H30" s="113"/>
      <c r="I30" s="114"/>
      <c r="J30" s="115"/>
      <c r="K30" s="116" t="e">
        <f ca="1">+_xll.RiskTriang(F30,G30,I30,_xll.RiskCorrmat(CorrMatrix,5),_xll.RiskName("Mean HF water volume, Sweet Spot"))</f>
        <v>#VALUE!</v>
      </c>
      <c r="P30" s="53"/>
      <c r="Q30" s="3"/>
      <c r="R30" s="53"/>
      <c r="S30" s="3"/>
      <c r="T30" s="53"/>
      <c r="U30" s="3"/>
      <c r="V30" s="53"/>
      <c r="W30" s="3"/>
    </row>
    <row r="31" spans="1:23" s="186" customFormat="1" ht="13.5" customHeight="1" thickTop="1" thickBot="1">
      <c r="A31" s="185" t="s">
        <v>63</v>
      </c>
      <c r="B31" s="205" t="s">
        <v>166</v>
      </c>
      <c r="C31" s="206"/>
      <c r="D31" s="184" t="s">
        <v>12</v>
      </c>
      <c r="E31" s="20"/>
      <c r="F31" s="111"/>
      <c r="G31" s="112"/>
      <c r="H31" s="113"/>
      <c r="I31" s="114"/>
      <c r="J31" s="115"/>
      <c r="K31" s="116" t="e">
        <f ca="1">+_xll.RiskTriang(F31,G31,I31,_xll.RiskCorrmat(CorrMatrix,5),_xll.RiskName("Mean HF water volume, Sweet Spot"))</f>
        <v>#VALUE!</v>
      </c>
      <c r="P31" s="53"/>
      <c r="Q31" s="3"/>
      <c r="R31" s="53"/>
      <c r="S31" s="3"/>
      <c r="T31" s="53"/>
      <c r="U31" s="3"/>
      <c r="V31" s="53"/>
      <c r="W31" s="3"/>
    </row>
    <row r="32" spans="1:23" ht="13.5" customHeight="1" thickTop="1" thickBot="1">
      <c r="A32" s="100" t="s">
        <v>64</v>
      </c>
      <c r="B32" s="204" t="s">
        <v>129</v>
      </c>
      <c r="C32" s="199"/>
      <c r="D32" s="100" t="s">
        <v>12</v>
      </c>
      <c r="E32" s="20"/>
      <c r="F32" s="111"/>
      <c r="G32" s="112"/>
      <c r="H32" s="113"/>
      <c r="I32" s="114"/>
      <c r="J32" s="115"/>
      <c r="K32" s="116" t="e">
        <f ca="1">+_xll.RiskTriang(F32,G32,I32,_xll.RiskName("Mean proppant/water ratio, Sweet Spot"))</f>
        <v>#VALUE!</v>
      </c>
      <c r="M32" s="3"/>
      <c r="O32" s="3"/>
      <c r="P32" s="73"/>
      <c r="Q32" s="73"/>
      <c r="R32" s="73"/>
      <c r="S32" s="73"/>
      <c r="T32" s="73"/>
      <c r="U32" s="73"/>
      <c r="V32" s="73"/>
      <c r="W32" s="73"/>
    </row>
    <row r="33" spans="1:23" ht="13.5" customHeight="1" thickTop="1" thickBot="1">
      <c r="A33" s="99" t="s">
        <v>65</v>
      </c>
      <c r="B33" s="205" t="s">
        <v>68</v>
      </c>
      <c r="C33" s="206"/>
      <c r="D33" s="100" t="s">
        <v>12</v>
      </c>
      <c r="E33" s="20"/>
      <c r="F33" s="36"/>
      <c r="G33" s="37"/>
      <c r="H33" s="69"/>
      <c r="I33" s="38"/>
      <c r="J33" s="29"/>
      <c r="K33" s="35" t="e">
        <f ca="1">+_xll.RiskTriang(F33,G33,I33,_xll.RiskName("Mean flowback ratio, Sweet Spot"))</f>
        <v>#VALUE!</v>
      </c>
      <c r="P33" s="53"/>
      <c r="Q33" s="3"/>
      <c r="R33" s="53"/>
      <c r="S33" s="3"/>
      <c r="T33" s="53"/>
      <c r="U33" s="3"/>
      <c r="V33" s="53"/>
      <c r="W33" s="3"/>
    </row>
    <row r="34" spans="1:23" ht="13.5" customHeight="1" thickTop="1" thickBot="1">
      <c r="A34" s="100" t="s">
        <v>66</v>
      </c>
      <c r="B34" s="204" t="s">
        <v>131</v>
      </c>
      <c r="C34" s="199"/>
      <c r="D34" s="100" t="s">
        <v>12</v>
      </c>
      <c r="E34" s="20"/>
      <c r="F34" s="111"/>
      <c r="G34" s="112"/>
      <c r="H34" s="113"/>
      <c r="I34" s="114"/>
      <c r="J34" s="115"/>
      <c r="K34" s="116" t="e">
        <f ca="1">+_xll.RiskTriang(F34,G34,I34,_xll.RiskName("Mean water/petroleum ratio, Sweet Spot"))</f>
        <v>#VALUE!</v>
      </c>
      <c r="M34" s="3"/>
      <c r="O34" s="3"/>
      <c r="P34" s="160" t="s">
        <v>112</v>
      </c>
      <c r="Q34" s="73"/>
      <c r="R34" s="73"/>
      <c r="S34" s="73"/>
      <c r="T34" s="73"/>
      <c r="U34" s="73"/>
      <c r="V34" s="73"/>
      <c r="W34" s="73"/>
    </row>
    <row r="35" spans="1:23" ht="13.5" customHeight="1" thickTop="1" thickBot="1">
      <c r="A35" s="99" t="s">
        <v>163</v>
      </c>
      <c r="B35" s="205" t="s">
        <v>32</v>
      </c>
      <c r="C35" s="206"/>
      <c r="D35" s="100" t="s">
        <v>35</v>
      </c>
      <c r="E35" s="23"/>
      <c r="F35" s="39"/>
      <c r="G35" s="72"/>
      <c r="H35" s="40"/>
      <c r="I35" s="40"/>
      <c r="J35" s="29"/>
      <c r="K35" s="41" t="e">
        <f ca="1">+W57</f>
        <v>#VALUE!</v>
      </c>
      <c r="P35" s="53" t="s">
        <v>37</v>
      </c>
      <c r="Q35" s="3" t="e">
        <f xml:space="preserve"> EXP(U35 + (0.5 * W35 * W35))</f>
        <v>#NUM!</v>
      </c>
      <c r="R35" s="53" t="s">
        <v>38</v>
      </c>
      <c r="S35" s="3" t="e">
        <f xml:space="preserve"> SQRT(EXP(2 * U35) * EXP(W35 * W35) * (EXP(W35 * W35) - 1))</f>
        <v>#NUM!</v>
      </c>
      <c r="T35" s="53" t="s">
        <v>39</v>
      </c>
      <c r="U35" s="3" t="e">
        <f>LN(H35 - F35)</f>
        <v>#NUM!</v>
      </c>
      <c r="V35" s="53" t="s">
        <v>40</v>
      </c>
      <c r="W35" s="3" t="e">
        <f xml:space="preserve"> (LN(I35 - F35) - U35) / 2.326</f>
        <v>#NUM!</v>
      </c>
    </row>
    <row r="36" spans="1:23" ht="9" customHeight="1" thickTop="1">
      <c r="A36" s="12"/>
      <c r="B36" s="42"/>
      <c r="C36" s="42"/>
      <c r="D36" s="12"/>
      <c r="E36" s="13"/>
      <c r="F36" s="44"/>
      <c r="G36" s="44"/>
      <c r="H36" s="44"/>
      <c r="I36" s="44"/>
      <c r="J36" s="45"/>
      <c r="K36" s="46"/>
      <c r="P36" s="53"/>
      <c r="Q36" s="3"/>
      <c r="R36" s="53"/>
      <c r="S36" s="3"/>
      <c r="T36" s="53"/>
      <c r="U36" s="3"/>
      <c r="V36" s="53"/>
      <c r="W36" s="3"/>
    </row>
    <row r="37" spans="1:23" ht="14.25" customHeight="1" thickBot="1">
      <c r="A37" s="17"/>
      <c r="B37" s="195" t="s">
        <v>11</v>
      </c>
      <c r="C37" s="195"/>
      <c r="D37" s="17"/>
      <c r="E37" s="18"/>
      <c r="F37" s="30"/>
      <c r="G37" s="30"/>
      <c r="H37" s="30"/>
      <c r="I37" s="30"/>
      <c r="J37" s="29"/>
      <c r="K37" s="31"/>
    </row>
    <row r="38" spans="1:23" ht="13.5" customHeight="1" thickBot="1">
      <c r="A38" s="100" t="s">
        <v>2</v>
      </c>
      <c r="B38" s="199" t="s">
        <v>8</v>
      </c>
      <c r="C38" s="199"/>
      <c r="D38" s="100" t="s">
        <v>12</v>
      </c>
      <c r="E38" s="20"/>
      <c r="F38" s="36"/>
      <c r="G38" s="37"/>
      <c r="H38" s="69"/>
      <c r="I38" s="38"/>
      <c r="J38" s="29"/>
      <c r="K38" s="35" t="e">
        <f ca="1">+_xll.RiskTriang(F38,G38,I38,_xll.RiskName("Non-Sweet Spot Success Ratio"))</f>
        <v>#VALUE!</v>
      </c>
      <c r="M38" s="3"/>
      <c r="O38" s="3"/>
      <c r="P38" s="73"/>
      <c r="Q38" s="73"/>
      <c r="R38" s="73"/>
      <c r="S38" s="73"/>
      <c r="T38" s="73"/>
      <c r="U38" s="73"/>
      <c r="V38" s="73"/>
      <c r="W38" s="73"/>
    </row>
    <row r="39" spans="1:23" ht="13.5" customHeight="1" thickTop="1" thickBot="1">
      <c r="A39" s="99" t="s">
        <v>14</v>
      </c>
      <c r="B39" s="205" t="s">
        <v>67</v>
      </c>
      <c r="C39" s="206"/>
      <c r="D39" s="100" t="s">
        <v>12</v>
      </c>
      <c r="E39" s="23"/>
      <c r="F39" s="36"/>
      <c r="G39" s="37"/>
      <c r="H39" s="69"/>
      <c r="I39" s="38"/>
      <c r="J39" s="29"/>
      <c r="K39" s="35" t="e">
        <f ca="1">+_xll.RiskTriang(F39,G39,I39,_xll.RiskName("Percent of unsuccessful wells that are HF'ed, Non-Sweet Spot"))</f>
        <v>#VALUE!</v>
      </c>
      <c r="P39" s="53"/>
      <c r="Q39" s="3"/>
      <c r="R39" s="53"/>
      <c r="S39" s="3"/>
      <c r="T39" s="53"/>
      <c r="U39" s="3"/>
      <c r="V39" s="53"/>
      <c r="W39" s="3"/>
    </row>
    <row r="40" spans="1:23" ht="13.5" customHeight="1" thickTop="1" thickBot="1">
      <c r="A40" s="100" t="s">
        <v>71</v>
      </c>
      <c r="B40" s="199" t="s">
        <v>132</v>
      </c>
      <c r="C40" s="199"/>
      <c r="D40" s="100" t="s">
        <v>12</v>
      </c>
      <c r="E40" s="20"/>
      <c r="F40" s="111"/>
      <c r="G40" s="112"/>
      <c r="H40" s="113"/>
      <c r="I40" s="114"/>
      <c r="J40" s="115"/>
      <c r="K40" s="116" t="e">
        <f ca="1">+_xll.RiskTriang(F40,G40,I40,_xll.RiskCorrmat(CorrMatrix,6),_xll.RiskName("Mean drilling water, Non-Sweet Spot"))</f>
        <v>#VALUE!</v>
      </c>
      <c r="M40" s="3"/>
      <c r="O40" s="3"/>
      <c r="P40" s="73"/>
      <c r="Q40" s="73"/>
      <c r="R40" s="73"/>
      <c r="S40" s="73"/>
      <c r="T40" s="73"/>
      <c r="U40" s="73"/>
      <c r="V40" s="73"/>
      <c r="W40" s="73"/>
    </row>
    <row r="41" spans="1:23" ht="13.5" customHeight="1" thickTop="1" thickBot="1">
      <c r="A41" s="99" t="s">
        <v>72</v>
      </c>
      <c r="B41" s="205" t="s">
        <v>164</v>
      </c>
      <c r="C41" s="206"/>
      <c r="D41" s="100" t="s">
        <v>12</v>
      </c>
      <c r="E41" s="20"/>
      <c r="F41" s="111"/>
      <c r="G41" s="112"/>
      <c r="H41" s="113"/>
      <c r="I41" s="114"/>
      <c r="J41" s="115"/>
      <c r="K41" s="116" t="e">
        <f ca="1">+_xll.RiskTriang(F41,G41,I41,_xll.RiskCorrmat(CorrMatrix,7),_xll.RiskName("Mean HF water volume, Non-Sweet Spot"))</f>
        <v>#VALUE!</v>
      </c>
      <c r="P41" s="53"/>
      <c r="Q41" s="3"/>
      <c r="R41" s="53"/>
      <c r="S41" s="3"/>
      <c r="T41" s="53"/>
      <c r="U41" s="3"/>
      <c r="V41" s="53"/>
      <c r="W41" s="3"/>
    </row>
    <row r="42" spans="1:23" s="186" customFormat="1" ht="13.5" customHeight="1" thickTop="1" thickBot="1">
      <c r="A42" s="185" t="s">
        <v>73</v>
      </c>
      <c r="B42" s="205" t="s">
        <v>166</v>
      </c>
      <c r="C42" s="206"/>
      <c r="D42" s="184" t="s">
        <v>12</v>
      </c>
      <c r="E42" s="20"/>
      <c r="F42" s="111"/>
      <c r="G42" s="112"/>
      <c r="H42" s="113"/>
      <c r="I42" s="114"/>
      <c r="J42" s="115"/>
      <c r="K42" s="116" t="e">
        <f ca="1">+_xll.RiskTriang(F42,G42,I42,_xll.RiskCorrmat(CorrMatrix,7),_xll.RiskName("Mean HF water volume, Non-Sweet Spot"))</f>
        <v>#VALUE!</v>
      </c>
      <c r="P42" s="53"/>
      <c r="Q42" s="3"/>
      <c r="R42" s="53"/>
      <c r="S42" s="3"/>
      <c r="T42" s="53"/>
      <c r="U42" s="3"/>
      <c r="V42" s="53"/>
      <c r="W42" s="3"/>
    </row>
    <row r="43" spans="1:23" ht="13.5" customHeight="1" thickTop="1" thickBot="1">
      <c r="A43" s="100" t="s">
        <v>74</v>
      </c>
      <c r="B43" s="204" t="s">
        <v>129</v>
      </c>
      <c r="C43" s="199"/>
      <c r="D43" s="100" t="s">
        <v>12</v>
      </c>
      <c r="E43" s="20"/>
      <c r="F43" s="111"/>
      <c r="G43" s="112"/>
      <c r="H43" s="113"/>
      <c r="I43" s="114"/>
      <c r="J43" s="115"/>
      <c r="K43" s="116" t="e">
        <f ca="1">+_xll.RiskTriang(F43,G43,I43,_xll.RiskName("Mean proppant/water ratio, Non-Sweet Spot"))</f>
        <v>#VALUE!</v>
      </c>
      <c r="M43" s="3"/>
      <c r="O43" s="3"/>
      <c r="P43" s="73"/>
      <c r="Q43" s="73"/>
      <c r="R43" s="73"/>
      <c r="S43" s="73"/>
      <c r="T43" s="73"/>
      <c r="U43" s="73"/>
      <c r="V43" s="73"/>
      <c r="W43" s="73"/>
    </row>
    <row r="44" spans="1:23" ht="13.5" customHeight="1" thickTop="1" thickBot="1">
      <c r="A44" s="99" t="s">
        <v>75</v>
      </c>
      <c r="B44" s="205" t="s">
        <v>68</v>
      </c>
      <c r="C44" s="206"/>
      <c r="D44" s="100" t="s">
        <v>12</v>
      </c>
      <c r="E44" s="20"/>
      <c r="F44" s="36"/>
      <c r="G44" s="37"/>
      <c r="H44" s="69"/>
      <c r="I44" s="38"/>
      <c r="J44" s="29"/>
      <c r="K44" s="35" t="e">
        <f ca="1">+_xll.RiskTriang(F44,G44,I44,_xll.RiskName("Mean flowback ratio, Non-Sweet Spot"))</f>
        <v>#VALUE!</v>
      </c>
      <c r="P44" s="53"/>
      <c r="Q44" s="3"/>
      <c r="R44" s="53"/>
      <c r="S44" s="3"/>
      <c r="T44" s="53"/>
      <c r="U44" s="3"/>
      <c r="V44" s="53"/>
      <c r="W44" s="3"/>
    </row>
    <row r="45" spans="1:23" ht="13.5" customHeight="1" thickTop="1" thickBot="1">
      <c r="A45" s="100" t="s">
        <v>76</v>
      </c>
      <c r="B45" s="204" t="s">
        <v>130</v>
      </c>
      <c r="C45" s="199"/>
      <c r="D45" s="100" t="s">
        <v>12</v>
      </c>
      <c r="E45" s="20"/>
      <c r="F45" s="111"/>
      <c r="G45" s="112"/>
      <c r="H45" s="113"/>
      <c r="I45" s="114"/>
      <c r="J45" s="115"/>
      <c r="K45" s="116" t="e">
        <f ca="1">+_xll.RiskTriang(F45,G45,I45,_xll.RiskName("Mean water/petroleum ratio, Non-Sweet Spot"))</f>
        <v>#VALUE!</v>
      </c>
      <c r="M45" s="3"/>
      <c r="O45" s="3"/>
      <c r="P45" s="160" t="s">
        <v>113</v>
      </c>
      <c r="Q45" s="73"/>
      <c r="R45" s="73"/>
      <c r="S45" s="73"/>
      <c r="T45" s="73"/>
      <c r="U45" s="73"/>
      <c r="V45" s="73"/>
      <c r="W45" s="73"/>
    </row>
    <row r="46" spans="1:23" ht="13.5" customHeight="1" thickTop="1" thickBot="1">
      <c r="A46" s="99" t="s">
        <v>165</v>
      </c>
      <c r="B46" s="205" t="s">
        <v>32</v>
      </c>
      <c r="C46" s="206"/>
      <c r="D46" s="100" t="s">
        <v>35</v>
      </c>
      <c r="E46" s="23"/>
      <c r="F46" s="39"/>
      <c r="G46" s="72"/>
      <c r="H46" s="40"/>
      <c r="I46" s="40"/>
      <c r="J46" s="29"/>
      <c r="K46" s="41">
        <f>+W58</f>
        <v>0</v>
      </c>
      <c r="P46" s="53" t="s">
        <v>37</v>
      </c>
      <c r="Q46" s="3" t="e">
        <f xml:space="preserve"> EXP(U46 + (0.5 * W46 * W46))</f>
        <v>#NUM!</v>
      </c>
      <c r="R46" s="53" t="s">
        <v>38</v>
      </c>
      <c r="S46" s="3" t="e">
        <f xml:space="preserve"> SQRT(EXP(2 * U46) * EXP(W46 * W46) * (EXP(W46 * W46) - 1))</f>
        <v>#NUM!</v>
      </c>
      <c r="T46" s="53" t="s">
        <v>39</v>
      </c>
      <c r="U46" s="3" t="e">
        <f>LN(H46 - F46)</f>
        <v>#NUM!</v>
      </c>
      <c r="V46" s="53" t="s">
        <v>40</v>
      </c>
      <c r="W46" s="3" t="e">
        <f xml:space="preserve"> (LN(I46 - F46) - U46) / 2.326</f>
        <v>#NUM!</v>
      </c>
    </row>
    <row r="47" spans="1:23" ht="9" customHeight="1" thickTop="1"/>
    <row r="48" spans="1:23" ht="9" customHeight="1">
      <c r="P48" s="80"/>
      <c r="Q48" s="80"/>
      <c r="R48" s="80"/>
      <c r="S48" s="80"/>
    </row>
    <row r="49" spans="1:23" ht="13.5" customHeight="1" thickBot="1">
      <c r="P49" s="189" t="s">
        <v>109</v>
      </c>
      <c r="Q49" s="190"/>
      <c r="R49" s="189" t="s">
        <v>110</v>
      </c>
      <c r="S49" s="190"/>
    </row>
    <row r="50" spans="1:23" ht="13.5" customHeight="1" thickTop="1" thickBot="1">
      <c r="B50" s="58" t="s">
        <v>28</v>
      </c>
      <c r="C50" s="67"/>
      <c r="F50" s="200" t="s">
        <v>26</v>
      </c>
      <c r="G50" s="200"/>
      <c r="H50" s="200"/>
      <c r="I50" s="200"/>
      <c r="K50" s="155" t="e">
        <f ca="1">+K18*K22</f>
        <v>#VALUE!</v>
      </c>
      <c r="P50" s="140" t="s">
        <v>45</v>
      </c>
      <c r="Q50" s="94">
        <f>_xll.RiskOutput("Gas in Sweet Spot Gas Accumulation",_xll.RiskUnits("bcfg"))+IF($K$8="Gas", $K$54*$K$35,0)</f>
        <v>0</v>
      </c>
      <c r="R50" s="148" t="s">
        <v>47</v>
      </c>
      <c r="S50" s="94">
        <f>_xll.RiskOutput("Risked Gas in Sweet Spot Gas Accumulation",_xll.RiskUnits("bcfg"))+IF($K$8="Gas",+IF(Q24&lt;C50,$K$54*$K$35,0),0)</f>
        <v>0</v>
      </c>
    </row>
    <row r="51" spans="1:23" ht="13.5" customHeight="1">
      <c r="F51" s="200" t="s">
        <v>128</v>
      </c>
      <c r="G51" s="200"/>
      <c r="H51" s="200"/>
      <c r="I51" s="200"/>
      <c r="K51" s="155" t="e">
        <f ca="1">+K50*K24</f>
        <v>#VALUE!</v>
      </c>
      <c r="P51" s="141" t="s">
        <v>49</v>
      </c>
      <c r="Q51" s="95">
        <f>_xll.RiskOutput("Gas in Non-Sweet Spot Gas Accumulation",_xll.RiskUnits("bcfg"))++IF($K$8="Gas",+$K$57*$K$46,0)</f>
        <v>0</v>
      </c>
      <c r="R51" s="149" t="s">
        <v>48</v>
      </c>
      <c r="S51" s="95">
        <f>_xll.RiskOutput("Risked Gas in Non-Sweet Spot Gas Accumulation",_xll.RiskUnits("bcfg"))+IF($K$8="Gas",IF(Q24&lt;C50,$K$57*$K$46,0),0)</f>
        <v>0</v>
      </c>
    </row>
    <row r="52" spans="1:23" ht="13.5" customHeight="1" thickBot="1">
      <c r="F52" s="200" t="s">
        <v>127</v>
      </c>
      <c r="G52" s="200"/>
      <c r="H52" s="200"/>
      <c r="I52" s="200"/>
      <c r="K52" s="155" t="e">
        <f ca="1">+K50-K51</f>
        <v>#VALUE!</v>
      </c>
      <c r="N52" s="12"/>
      <c r="P52" s="142" t="s">
        <v>46</v>
      </c>
      <c r="Q52" s="96">
        <f>_xll.RiskOutput("Total Gas in Gas Accumulation",_xll.RiskUnits("bcfg"))++($Q$50+$Q$51)</f>
        <v>0</v>
      </c>
      <c r="R52" s="150" t="s">
        <v>50</v>
      </c>
      <c r="S52" s="96">
        <f>_xll.RiskOutput("Risked Total Gas in Gas Accumulation",_xll.RiskUnits("bcfg"))+($S$50+$S$51)</f>
        <v>0</v>
      </c>
    </row>
    <row r="53" spans="1:23" ht="13.5" customHeight="1" thickTop="1" thickBot="1">
      <c r="B53" s="58" t="s">
        <v>27</v>
      </c>
      <c r="C53" s="63">
        <v>0.5</v>
      </c>
      <c r="G53" s="53"/>
      <c r="H53" s="53"/>
      <c r="I53" s="53"/>
      <c r="N53" s="13"/>
      <c r="P53" s="143"/>
      <c r="Q53" s="97"/>
      <c r="R53" s="151"/>
      <c r="S53" s="98"/>
    </row>
    <row r="54" spans="1:23" ht="13.5" customHeight="1" thickTop="1">
      <c r="F54" s="200" t="s">
        <v>94</v>
      </c>
      <c r="G54" s="200"/>
      <c r="H54" s="200"/>
      <c r="I54" s="200"/>
      <c r="K54" s="109" t="e">
        <f ca="1">_xll.RiskOutput(F54,_xll.RiskUnits("Wells"))++(K51/K20)*K27</f>
        <v>#VALUE!</v>
      </c>
      <c r="N54" s="14"/>
      <c r="P54" s="140" t="s">
        <v>51</v>
      </c>
      <c r="Q54" s="94">
        <f>_xll.RiskOutput("Oil in Sweet Spot Oil Accumulation",_xll.RiskUnits("mmbo"))+IF($K8="Oil", $K$54*$K$35,0)</f>
        <v>0</v>
      </c>
      <c r="R54" s="152" t="s">
        <v>54</v>
      </c>
      <c r="S54" s="94" t="e">
        <f ca="1">_xll.RiskOutput("Risked Oil in Sweet Spot Oil Accumulation",_xll.RiskUnits("mmbo"))++IF(Q24&lt;C50, IF($K$8="Oil",K54*K35, 0),0)</f>
        <v>#VALUE!</v>
      </c>
    </row>
    <row r="55" spans="1:23" ht="13.5" customHeight="1">
      <c r="F55" s="200" t="s">
        <v>69</v>
      </c>
      <c r="G55" s="200"/>
      <c r="H55" s="200"/>
      <c r="I55" s="200"/>
      <c r="K55" s="109" t="e">
        <f ca="1">_xll.RiskOutput(F55,_xll.RiskUnits("Wells"))++(K51/K20)*(100%-K27)*K28</f>
        <v>#VALUE!</v>
      </c>
      <c r="N55" s="12"/>
      <c r="P55" s="141" t="s">
        <v>52</v>
      </c>
      <c r="Q55" s="95">
        <f>_xll.RiskOutput("Oil in Non-Sweet Spot Oil Accumulation",_xll.RiskUnits("mmbo"))++IF($K$8="Oil",+$K$57*$K$46,0)</f>
        <v>0</v>
      </c>
      <c r="R55" s="153" t="s">
        <v>55</v>
      </c>
      <c r="S55" s="95" t="e">
        <f ca="1">_xll.RiskOutput("Risked Oil in Non-Sweet Spot Oil Accumulation",_xll.RiskUnits("mmbo"))++IF(Q24&lt;C50,IF($K$8="Oil", K57*K46, 0),0)</f>
        <v>#VALUE!</v>
      </c>
    </row>
    <row r="56" spans="1:23" ht="15.75" customHeight="1" thickBot="1">
      <c r="F56" s="220" t="s">
        <v>92</v>
      </c>
      <c r="G56" s="220"/>
      <c r="H56" s="220"/>
      <c r="I56" s="220"/>
      <c r="K56" s="110" t="e">
        <f ca="1">_xll.RiskOutput(F56,_xll.RiskUnits("Wells"))++($K$54+$K$55)</f>
        <v>#VALUE!</v>
      </c>
      <c r="N56" s="12"/>
      <c r="P56" s="144" t="s">
        <v>53</v>
      </c>
      <c r="Q56" s="96">
        <f>_xll.RiskOutput("Total Oil in Oil Accumulation",_xll.RiskUnits("mmbo"))+IF($K$8="Oil",+$Q$54+$Q$55,0)</f>
        <v>0</v>
      </c>
      <c r="R56" s="154" t="s">
        <v>56</v>
      </c>
      <c r="S56" s="96">
        <f>_xll.RiskOutput("Risked Total Oil in Oil Accumulation",_xll.RiskUnits("mmbo"))++IF($K$8="Oil",S54+S55, 0)</f>
        <v>0</v>
      </c>
    </row>
    <row r="57" spans="1:23" ht="13.5" customHeight="1" thickTop="1" thickBot="1">
      <c r="F57" s="200" t="s">
        <v>95</v>
      </c>
      <c r="G57" s="200"/>
      <c r="H57" s="200"/>
      <c r="I57" s="200"/>
      <c r="K57" s="109" t="e">
        <f ca="1">_xll.RiskOutput(F57,_xll.RiskUnits("Wells"))++(K52/K20)*K38</f>
        <v>#VALUE!</v>
      </c>
      <c r="N57" s="76"/>
      <c r="O57" s="77"/>
      <c r="P57" s="143"/>
      <c r="Q57" s="97"/>
      <c r="R57" s="151"/>
      <c r="S57" s="98"/>
      <c r="U57" s="158" t="s">
        <v>44</v>
      </c>
      <c r="W57" s="74" t="e">
        <f ca="1">_xll.RiskOutput(U57,_xll.RiskUnits("mmbo or bcfg"))+_xll.RiskLognorm($Q$35,$S$35,_xll.RiskTruncate(0,$I$35-$F$35),_xll.RiskCorrmat(CorrMatrix,2))+$F$35</f>
        <v>#VALUE!</v>
      </c>
    </row>
    <row r="58" spans="1:23" ht="13.5" customHeight="1" thickTop="1">
      <c r="F58" s="200" t="s">
        <v>70</v>
      </c>
      <c r="G58" s="200"/>
      <c r="H58" s="200"/>
      <c r="I58" s="200"/>
      <c r="K58" s="109" t="e">
        <f ca="1">_xll.RiskOutput(F58,_xll.RiskUnits("Wells"))++(K52/K20)*(100%-K38)*K39</f>
        <v>#VALUE!</v>
      </c>
      <c r="N58" s="78"/>
      <c r="O58" s="77"/>
      <c r="P58" s="140" t="s">
        <v>133</v>
      </c>
      <c r="Q58" s="103" t="e">
        <f ca="1">_xll.RiskOutput(P58,_xll.RiskUnits("Gal"))++K56*K29</f>
        <v>#VALUE!</v>
      </c>
      <c r="R58" s="140" t="s">
        <v>136</v>
      </c>
      <c r="S58" s="103" t="e">
        <f ca="1">_xll.RiskOutput(R58,_xll.RiskUnits("Gal"))++IF(Q24&lt;C50, K56*K29,0)</f>
        <v>#VALUE!</v>
      </c>
      <c r="U58" s="161" t="s">
        <v>43</v>
      </c>
      <c r="W58" s="81">
        <f>_xll.RiskOutput("EUR Distribution Non-Sweet Spot",_xll.RiskUnits("mmbo or bcfg"))++IF($H$46=0,0,_xll.RiskLognorm($Q$46,$S$46,_xll.RiskTruncate(0,$I$46-$F$46),_xll.RiskCorrmat(CorrMatrix,3))+$F$46)</f>
        <v>0</v>
      </c>
    </row>
    <row r="59" spans="1:23" ht="13.5" customHeight="1" thickBot="1">
      <c r="F59" s="220" t="s">
        <v>93</v>
      </c>
      <c r="G59" s="220"/>
      <c r="H59" s="220"/>
      <c r="I59" s="220"/>
      <c r="K59" s="110" t="e">
        <f ca="1">_xll.RiskOutput(F59,_xll.RiskUnits("Wells"))++($K$57+$K$58)</f>
        <v>#VALUE!</v>
      </c>
      <c r="N59" s="78"/>
      <c r="O59" s="77"/>
      <c r="P59" s="141" t="s">
        <v>134</v>
      </c>
      <c r="Q59" s="104" t="e">
        <f ca="1">_xll.RiskOutput(P59,_xll.RiskUnits("Gal"))++K59*K40</f>
        <v>#VALUE!</v>
      </c>
      <c r="R59" s="141" t="s">
        <v>137</v>
      </c>
      <c r="S59" s="104" t="e">
        <f ca="1">_xll.RiskOutput(R59,_xll.RiskUnits("Gal"))++IF(Q24&lt;C50, K59*K40,0)</f>
        <v>#VALUE!</v>
      </c>
      <c r="V59" s="18"/>
    </row>
    <row r="60" spans="1:23" s="139" customFormat="1" ht="13.5" customHeight="1" thickTop="1">
      <c r="A60" s="1"/>
      <c r="E60" s="18"/>
      <c r="F60" s="156"/>
      <c r="G60" s="156"/>
      <c r="H60" s="156"/>
      <c r="I60" s="156"/>
      <c r="J60" s="18"/>
      <c r="K60" s="157"/>
      <c r="L60" s="18"/>
      <c r="M60" s="18"/>
      <c r="N60" s="78"/>
      <c r="O60" s="77"/>
      <c r="P60" s="145" t="s">
        <v>135</v>
      </c>
      <c r="Q60" s="108" t="e">
        <f ca="1">_xll.RiskOutput(P60,_xll.RiskUnits("Gal"))++Q58+Q59</f>
        <v>#VALUE!</v>
      </c>
      <c r="R60" s="145" t="s">
        <v>138</v>
      </c>
      <c r="S60" s="108" t="e">
        <f ca="1">_xll.RiskOutput(R60,_xll.RiskUnits("Gal"))++S58+S59</f>
        <v>#VALUE!</v>
      </c>
      <c r="V60" s="18"/>
    </row>
    <row r="61" spans="1:23" s="139" customFormat="1" ht="13.5" customHeight="1">
      <c r="A61" s="1"/>
      <c r="D61" s="18"/>
      <c r="E61" s="18"/>
      <c r="F61" s="156"/>
      <c r="G61" s="156"/>
      <c r="H61" s="156"/>
      <c r="I61" s="156"/>
      <c r="J61" s="18"/>
      <c r="K61" s="187" t="s">
        <v>114</v>
      </c>
      <c r="L61" s="188"/>
      <c r="M61" s="188"/>
      <c r="N61" s="78"/>
      <c r="O61" s="77"/>
      <c r="P61" s="141" t="s">
        <v>77</v>
      </c>
      <c r="Q61" s="104" t="e">
        <f ca="1">_xll.RiskOutput(P61,_xll.RiskUnits("Gal"))++$K$56*K30*K31</f>
        <v>#VALUE!</v>
      </c>
      <c r="R61" s="141" t="s">
        <v>96</v>
      </c>
      <c r="S61" s="104" t="e">
        <f ca="1">_xll.RiskOutput(R61,_xll.RiskUnits("Gal"))++IF(Q24&lt;C50, $K$56*K30*K31,0)</f>
        <v>#VALUE!</v>
      </c>
      <c r="V61" s="18"/>
    </row>
    <row r="62" spans="1:23" ht="13.5" customHeight="1">
      <c r="G62" s="53"/>
      <c r="H62" s="53"/>
      <c r="I62" s="53"/>
      <c r="K62" s="88" t="s">
        <v>57</v>
      </c>
      <c r="L62" s="89"/>
      <c r="M62" s="88" t="s">
        <v>42</v>
      </c>
      <c r="N62" s="13"/>
      <c r="P62" s="141" t="s">
        <v>78</v>
      </c>
      <c r="Q62" s="104" t="e">
        <f ca="1">_xll.RiskOutput(P62,_xll.RiskUnits("Gal"))++$K$59*K41*K42</f>
        <v>#VALUE!</v>
      </c>
      <c r="R62" s="141" t="s">
        <v>97</v>
      </c>
      <c r="S62" s="104" t="e">
        <f ca="1">_xll.RiskOutput(R62,_xll.RiskUnits("Gal"))++IF(Q24&lt;C50, $K$59*K41*K42,0)</f>
        <v>#VALUE!</v>
      </c>
    </row>
    <row r="63" spans="1:23" ht="13.5" customHeight="1" thickBot="1">
      <c r="F63" s="193" t="s">
        <v>148</v>
      </c>
      <c r="G63" s="193"/>
      <c r="H63" s="193"/>
      <c r="I63" s="193"/>
      <c r="J63" s="139"/>
      <c r="K63" s="85" t="e">
        <f ca="1">+_xll.RiskMean(Q58)</f>
        <v>#VALUE!</v>
      </c>
      <c r="L63" s="90"/>
      <c r="M63" s="85" t="e">
        <f ca="1">+_xll.RiskMean(S58)</f>
        <v>#VALUE!</v>
      </c>
      <c r="N63" s="13"/>
      <c r="P63" s="141" t="s">
        <v>85</v>
      </c>
      <c r="Q63" s="104" t="e">
        <f ca="1">_xll.RiskOutput(P63,_xll.RiskUnits("Gal"))++Q61+Q62</f>
        <v>#VALUE!</v>
      </c>
      <c r="R63" s="141" t="s">
        <v>98</v>
      </c>
      <c r="S63" s="104" t="e">
        <f ca="1">_xll.RiskOutput(R63,_xll.RiskUnits("Gal"))++S61+S62</f>
        <v>#VALUE!</v>
      </c>
    </row>
    <row r="64" spans="1:23" ht="13.5" customHeight="1" thickTop="1" thickBot="1">
      <c r="F64" s="193" t="s">
        <v>149</v>
      </c>
      <c r="G64" s="193"/>
      <c r="H64" s="193"/>
      <c r="I64" s="193"/>
      <c r="J64" s="139"/>
      <c r="K64" s="85" t="e">
        <f ca="1">+_xll.RiskMean(Q59)</f>
        <v>#VALUE!</v>
      </c>
      <c r="L64" s="90"/>
      <c r="M64" s="85" t="e">
        <f ca="1">+_xll.RiskMean(S59)</f>
        <v>#VALUE!</v>
      </c>
      <c r="P64" s="146" t="s">
        <v>81</v>
      </c>
      <c r="Q64" s="107" t="e">
        <f ca="1">_xll.RiskOutput(P64,_xll.RiskUnits("Gal"))++Q60+Q63</f>
        <v>#VALUE!</v>
      </c>
      <c r="R64" s="146" t="s">
        <v>99</v>
      </c>
      <c r="S64" s="107" t="e">
        <f ca="1">_xll.RiskOutput(R64,_xll.RiskUnits("Gal"))++S60+S63</f>
        <v>#VALUE!</v>
      </c>
    </row>
    <row r="65" spans="6:23" ht="13.5" customHeight="1" thickTop="1" thickBot="1">
      <c r="F65" s="193" t="s">
        <v>150</v>
      </c>
      <c r="G65" s="193"/>
      <c r="H65" s="193"/>
      <c r="I65" s="193"/>
      <c r="J65" s="139"/>
      <c r="K65" s="85" t="e">
        <f ca="1">+_xll.RiskMean(Q61)</f>
        <v>#VALUE!</v>
      </c>
      <c r="L65" s="90"/>
      <c r="M65" s="85" t="e">
        <f ca="1">+_xll.RiskMean(S61)</f>
        <v>#VALUE!</v>
      </c>
      <c r="P65" s="147"/>
      <c r="Q65" s="106"/>
      <c r="R65" s="147"/>
      <c r="S65" s="106"/>
      <c r="U65" s="191" t="s">
        <v>116</v>
      </c>
      <c r="V65" s="192"/>
    </row>
    <row r="66" spans="6:23" ht="13.5" customHeight="1" thickTop="1">
      <c r="F66" s="193" t="s">
        <v>151</v>
      </c>
      <c r="G66" s="193"/>
      <c r="H66" s="193"/>
      <c r="I66" s="193"/>
      <c r="J66" s="139"/>
      <c r="K66" s="85" t="e">
        <f ca="1">+_xll.RiskMean(Q62)</f>
        <v>#VALUE!</v>
      </c>
      <c r="L66" s="90"/>
      <c r="M66" s="85" t="e">
        <f ca="1">+_xll.RiskMean(S62)</f>
        <v>#VALUE!</v>
      </c>
      <c r="P66" s="141" t="s">
        <v>87</v>
      </c>
      <c r="Q66" s="104" t="e">
        <f ca="1">_xll.RiskOutput(P66,_xll.RiskUnits("Ton"))++$K$56*K32*K30*K31/V66</f>
        <v>#VALUE!</v>
      </c>
      <c r="R66" s="141" t="s">
        <v>100</v>
      </c>
      <c r="S66" s="104" t="e">
        <f ca="1">_xll.RiskOutput(R66,_xll.RiskUnits("Ton"))++IF(Q24&lt;C50, $K$56*K32*K30*K31/V66,0)</f>
        <v>#VALUE!</v>
      </c>
      <c r="U66" s="162" t="s">
        <v>115</v>
      </c>
      <c r="V66" s="1">
        <v>2000</v>
      </c>
    </row>
    <row r="67" spans="6:23" ht="13.5" customHeight="1">
      <c r="F67" s="194" t="s">
        <v>146</v>
      </c>
      <c r="G67" s="194"/>
      <c r="H67" s="194"/>
      <c r="I67" s="194"/>
      <c r="J67" s="139"/>
      <c r="K67" s="85" t="e">
        <f ca="1">+_xll.RiskMean(Q64)/V69</f>
        <v>#VALUE!</v>
      </c>
      <c r="L67" s="90"/>
      <c r="M67" s="85" t="e">
        <f ca="1">+_xll.RiskMean(S64)/V69</f>
        <v>#VALUE!</v>
      </c>
      <c r="P67" s="141" t="s">
        <v>88</v>
      </c>
      <c r="Q67" s="104" t="e">
        <f ca="1">_xll.RiskOutput(P67,_xll.RiskUnits("Ton"))++$K$59*K43*K41*K42/V66</f>
        <v>#VALUE!</v>
      </c>
      <c r="R67" s="141" t="s">
        <v>101</v>
      </c>
      <c r="S67" s="104" t="e">
        <f ca="1">_xll.RiskOutput(R67,_xll.RiskUnits("Ton"))++IF(Q24&lt;C50, $K$59*K43*K41*K42/V66,0)</f>
        <v>#VALUE!</v>
      </c>
      <c r="U67" s="162" t="s">
        <v>119</v>
      </c>
      <c r="V67" s="165">
        <v>42000000</v>
      </c>
    </row>
    <row r="68" spans="6:23" ht="13.5" customHeight="1" thickBot="1">
      <c r="F68" s="139"/>
      <c r="G68" s="139"/>
      <c r="H68" s="139"/>
      <c r="I68" s="139"/>
      <c r="J68" s="139"/>
      <c r="K68" s="79"/>
      <c r="L68" s="91"/>
      <c r="M68" s="79"/>
      <c r="P68" s="141" t="s">
        <v>86</v>
      </c>
      <c r="Q68" s="104" t="e">
        <f ca="1">_xll.RiskOutput(P68,_xll.RiskUnits("Ton"))++Q66+Q67</f>
        <v>#VALUE!</v>
      </c>
      <c r="R68" s="141" t="s">
        <v>102</v>
      </c>
      <c r="S68" s="104" t="e">
        <f ca="1">_xll.RiskOutput(R68,_xll.RiskUnits("Ton"))++S66+S67</f>
        <v>#VALUE!</v>
      </c>
      <c r="U68" s="162" t="s">
        <v>159</v>
      </c>
      <c r="V68" s="1">
        <v>1000000</v>
      </c>
      <c r="W68" s="57" t="s">
        <v>118</v>
      </c>
    </row>
    <row r="69" spans="6:23" ht="13.5" customHeight="1" thickTop="1" thickBot="1">
      <c r="F69" s="193" t="s">
        <v>82</v>
      </c>
      <c r="G69" s="193"/>
      <c r="H69" s="193"/>
      <c r="I69" s="193"/>
      <c r="J69" s="139"/>
      <c r="K69" s="92" t="e">
        <f ca="1">+_xll.RiskMean(Q66)</f>
        <v>#VALUE!</v>
      </c>
      <c r="L69" s="93"/>
      <c r="M69" s="92" t="e">
        <f ca="1">+_xll.RiskMean(S66)</f>
        <v>#VALUE!</v>
      </c>
      <c r="P69" s="147"/>
      <c r="Q69" s="106"/>
      <c r="R69" s="147"/>
      <c r="S69" s="106"/>
      <c r="U69" s="162" t="s">
        <v>139</v>
      </c>
      <c r="V69" s="166">
        <v>1000000</v>
      </c>
      <c r="W69" s="57" t="s">
        <v>118</v>
      </c>
    </row>
    <row r="70" spans="6:23" ht="13.5" customHeight="1" thickTop="1">
      <c r="F70" s="193" t="s">
        <v>83</v>
      </c>
      <c r="G70" s="193"/>
      <c r="H70" s="193"/>
      <c r="I70" s="193"/>
      <c r="J70" s="139"/>
      <c r="K70" s="92" t="e">
        <f ca="1">+_xll.RiskMean(Q67)</f>
        <v>#VALUE!</v>
      </c>
      <c r="L70" s="91"/>
      <c r="M70" s="92" t="e">
        <f ca="1">+_xll.RiskMean(S67)</f>
        <v>#VALUE!</v>
      </c>
      <c r="P70" s="141" t="s">
        <v>79</v>
      </c>
      <c r="Q70" s="104" t="e">
        <f ca="1">_xll.RiskOutput(P70,_xll.RiskUnits("Gal"))++$K$56*K30*K33*K31</f>
        <v>#VALUE!</v>
      </c>
      <c r="R70" s="141" t="s">
        <v>103</v>
      </c>
      <c r="S70" s="104" t="e">
        <f ca="1">_xll.RiskOutput(R70,_xll.RiskUnits("Gal"))++IF(Q24&lt;C50, $K$56*K30*K33*K31,0)</f>
        <v>#VALUE!</v>
      </c>
    </row>
    <row r="71" spans="6:23" ht="13.5" customHeight="1">
      <c r="F71" s="194" t="s">
        <v>84</v>
      </c>
      <c r="G71" s="194"/>
      <c r="H71" s="194"/>
      <c r="I71" s="194"/>
      <c r="J71" s="139"/>
      <c r="K71" s="92" t="e">
        <f ca="1">+_xll.RiskMean(Q68)</f>
        <v>#VALUE!</v>
      </c>
      <c r="L71" s="91"/>
      <c r="M71" s="92" t="e">
        <f ca="1">+_xll.RiskMean(S68)</f>
        <v>#VALUE!</v>
      </c>
      <c r="O71" s="80"/>
      <c r="P71" s="141" t="s">
        <v>80</v>
      </c>
      <c r="Q71" s="104" t="e">
        <f ca="1">_xll.RiskOutput(P71,_xll.RiskUnits("Gal"))++$K$59*K41*K44*K42</f>
        <v>#VALUE!</v>
      </c>
      <c r="R71" s="141" t="s">
        <v>104</v>
      </c>
      <c r="S71" s="104" t="e">
        <f ca="1">_xll.RiskOutput(R71,_xll.RiskUnits("Gal"))++IF(Q24&lt;C50, $K$59*K41*K44*K42,0)</f>
        <v>#VALUE!</v>
      </c>
      <c r="T71" s="80"/>
    </row>
    <row r="72" spans="6:23" ht="13.5" customHeight="1" thickBot="1">
      <c r="F72" s="139"/>
      <c r="G72" s="15"/>
      <c r="H72" s="15"/>
      <c r="I72" s="139"/>
      <c r="J72" s="139"/>
      <c r="L72" s="139"/>
      <c r="M72" s="1"/>
      <c r="O72" s="80"/>
      <c r="P72" s="141" t="s">
        <v>89</v>
      </c>
      <c r="Q72" s="104" t="e">
        <f ca="1">_xll.RiskOutput(P72,_xll.RiskUnits("Gal"))++Q70+Q71</f>
        <v>#VALUE!</v>
      </c>
      <c r="R72" s="141" t="s">
        <v>105</v>
      </c>
      <c r="S72" s="104" t="e">
        <f ca="1">_xll.RiskOutput(R72,_xll.RiskUnits("Gal"))++S70+S71</f>
        <v>#VALUE!</v>
      </c>
      <c r="T72" s="80"/>
    </row>
    <row r="73" spans="6:23" ht="13.5" customHeight="1" thickTop="1" thickBot="1">
      <c r="F73" s="193" t="s">
        <v>140</v>
      </c>
      <c r="G73" s="193"/>
      <c r="H73" s="193"/>
      <c r="I73" s="193"/>
      <c r="J73" s="139"/>
      <c r="K73" s="92" t="e">
        <f ca="1">+_xll.RiskMean(Q70)/V69</f>
        <v>#VALUE!</v>
      </c>
      <c r="L73" s="139"/>
      <c r="M73" s="92" t="e">
        <f ca="1">+_xll.RiskMean(S70)/V69</f>
        <v>#VALUE!</v>
      </c>
      <c r="P73" s="147"/>
      <c r="Q73" s="106"/>
      <c r="R73" s="147"/>
      <c r="S73" s="106"/>
    </row>
    <row r="74" spans="6:23" ht="13.5" customHeight="1" thickTop="1">
      <c r="F74" s="193" t="s">
        <v>141</v>
      </c>
      <c r="G74" s="193"/>
      <c r="H74" s="193"/>
      <c r="I74" s="193"/>
      <c r="J74" s="139"/>
      <c r="K74" s="92" t="e">
        <f ca="1">+_xll.RiskMean(Q71)/V69</f>
        <v>#VALUE!</v>
      </c>
      <c r="L74" s="139"/>
      <c r="M74" s="92" t="e">
        <f ca="1">+_xll.RiskMean(S71)/V69</f>
        <v>#VALUE!</v>
      </c>
      <c r="P74" s="141" t="s">
        <v>117</v>
      </c>
      <c r="Q74" s="104" t="e">
        <f ca="1">_xll.RiskOutput(P74,_xll.RiskUnits("Gal"))+IF($K$8="Gas", $K$54*$K$35*$K$34*$V$68,$K$54*$K$35*$K$34*$V$67)</f>
        <v>#VALUE!</v>
      </c>
      <c r="R74" s="141" t="s">
        <v>160</v>
      </c>
      <c r="S74" s="104" t="e">
        <f ca="1">_xll.RiskOutput(R74,_xll.RiskUnits("Gal"))++IF(Q24&lt;C50, +IF($K$8="Gas", $K$54*$K$35*$K$34*$V$68,$K$54*$K$35*$K$34*$V$67),0)</f>
        <v>#VALUE!</v>
      </c>
    </row>
    <row r="75" spans="6:23" ht="13.5" customHeight="1">
      <c r="F75" s="194" t="s">
        <v>142</v>
      </c>
      <c r="G75" s="194"/>
      <c r="H75" s="194"/>
      <c r="I75" s="194"/>
      <c r="J75" s="139"/>
      <c r="K75" s="92" t="e">
        <f ca="1">+_xll.RiskMean(Q72)/V69</f>
        <v>#VALUE!</v>
      </c>
      <c r="L75" s="139"/>
      <c r="M75" s="92" t="e">
        <f ca="1">+_xll.RiskMean(S72)/V69</f>
        <v>#VALUE!</v>
      </c>
      <c r="P75" s="141" t="s">
        <v>162</v>
      </c>
      <c r="Q75" s="104" t="e">
        <f ca="1">_xll.RiskOutput(P75,_xll.RiskUnits("Gal"))+IF($K$8="Gas", $K$57*$K$46*$K$45*$V$68,$K$57*$K$46*$K$45*$V$67)</f>
        <v>#VALUE!</v>
      </c>
      <c r="R75" s="141" t="s">
        <v>161</v>
      </c>
      <c r="S75" s="104" t="e">
        <f ca="1">_xll.RiskOutput(R75,_xll.RiskUnits("Gal"))++IF(Q24&lt;C50,IF($K$8="Gas", $K$57*$K$46*$K$45*$V$68,$K$57*$K$46*$K$45*$V$67),0)</f>
        <v>#VALUE!</v>
      </c>
    </row>
    <row r="76" spans="6:23" ht="13.5" customHeight="1">
      <c r="F76" s="139"/>
      <c r="G76" s="139"/>
      <c r="H76" s="139"/>
      <c r="I76" s="139"/>
      <c r="J76" s="139"/>
      <c r="L76" s="139"/>
      <c r="M76" s="1"/>
      <c r="P76" s="145" t="s">
        <v>121</v>
      </c>
      <c r="Q76" s="108" t="e">
        <f ca="1">_xll.RiskOutput(P76,_xll.RiskUnits("Gal"))++Q74+Q75</f>
        <v>#VALUE!</v>
      </c>
      <c r="R76" s="145" t="s">
        <v>120</v>
      </c>
      <c r="S76" s="108" t="e">
        <f ca="1">_xll.RiskOutput(R76,_xll.RiskUnits("Gal"))++S74+S75</f>
        <v>#VALUE!</v>
      </c>
    </row>
    <row r="77" spans="6:23" ht="13.5" customHeight="1">
      <c r="F77" s="193" t="s">
        <v>143</v>
      </c>
      <c r="G77" s="193"/>
      <c r="H77" s="193"/>
      <c r="I77" s="193"/>
      <c r="J77" s="139"/>
      <c r="K77" s="92" t="e">
        <f ca="1">+_xll.RiskMean(Q77)/V69</f>
        <v>#VALUE!</v>
      </c>
      <c r="L77" s="139"/>
      <c r="M77" s="92" t="e">
        <f ca="1">+_xll.RiskMean(S77)/V69</f>
        <v>#VALUE!</v>
      </c>
      <c r="P77" s="141" t="s">
        <v>152</v>
      </c>
      <c r="Q77" s="183" t="e">
        <f ca="1">_xll.RiskOutput(P77,_xll.RiskUnits("Gal"))++Q74+Q70</f>
        <v>#VALUE!</v>
      </c>
      <c r="R77" s="141" t="s">
        <v>156</v>
      </c>
      <c r="S77" s="104" t="e">
        <f ca="1">_xll.RiskOutput(R77,_xll.RiskUnits("Gal"))++S74+S70</f>
        <v>#VALUE!</v>
      </c>
    </row>
    <row r="78" spans="6:23" ht="13.5" customHeight="1" thickBot="1">
      <c r="F78" s="193" t="s">
        <v>144</v>
      </c>
      <c r="G78" s="193"/>
      <c r="H78" s="193"/>
      <c r="I78" s="193"/>
      <c r="J78" s="139"/>
      <c r="K78" s="92" t="e">
        <f ca="1">+_xll.RiskMean(Q78)/V69</f>
        <v>#VALUE!</v>
      </c>
      <c r="L78" s="139"/>
      <c r="M78" s="92" t="e">
        <f ca="1">+_xll.RiskMean(S78)/V69</f>
        <v>#VALUE!</v>
      </c>
      <c r="P78" s="163" t="s">
        <v>153</v>
      </c>
      <c r="Q78" s="164" t="e">
        <f ca="1">_xll.RiskOutput(P78,_xll.RiskUnits("Gal"))++Q75+Q71</f>
        <v>#VALUE!</v>
      </c>
      <c r="R78" s="163" t="s">
        <v>157</v>
      </c>
      <c r="S78" s="164" t="e">
        <f ca="1">_xll.RiskOutput(R78,_xll.RiskUnits("Gal"))++S75+S71</f>
        <v>#VALUE!</v>
      </c>
    </row>
    <row r="79" spans="6:23" ht="13.5" customHeight="1" thickTop="1" thickBot="1">
      <c r="F79" s="194" t="s">
        <v>145</v>
      </c>
      <c r="G79" s="194"/>
      <c r="H79" s="194"/>
      <c r="I79" s="194"/>
      <c r="J79" s="139"/>
      <c r="K79" s="92" t="e">
        <f ca="1">+_xll.RiskMean(Q79)/V69</f>
        <v>#VALUE!</v>
      </c>
      <c r="L79" s="139"/>
      <c r="M79" s="92" t="e">
        <f ca="1">+_xll.RiskMean(S79)/V69</f>
        <v>#VALUE!</v>
      </c>
      <c r="P79" s="144" t="s">
        <v>154</v>
      </c>
      <c r="Q79" s="105" t="e">
        <f ca="1">_xll.RiskOutput(P79,_xll.RiskUnits("Gal"))++Q72+Q76</f>
        <v>#VALUE!</v>
      </c>
      <c r="R79" s="144" t="s">
        <v>155</v>
      </c>
      <c r="S79" s="105" t="e">
        <f ca="1">_xll.RiskOutput(R79,_xll.RiskUnits("Gal"))++S72+S76</f>
        <v>#VALUE!</v>
      </c>
    </row>
    <row r="80" spans="6:23" ht="13.5" customHeight="1" thickTop="1">
      <c r="F80" s="139" t="s">
        <v>147</v>
      </c>
      <c r="G80" s="139"/>
      <c r="H80" s="139"/>
      <c r="I80" s="139"/>
      <c r="J80" s="139"/>
      <c r="L80" s="139"/>
      <c r="M80" s="139"/>
    </row>
    <row r="81" spans="6:13" ht="13.5" customHeight="1">
      <c r="F81" s="139"/>
      <c r="G81" s="139"/>
      <c r="H81" s="139"/>
      <c r="I81" s="139"/>
      <c r="J81" s="139"/>
      <c r="L81" s="139"/>
      <c r="M81" s="139"/>
    </row>
    <row r="82" spans="6:13" ht="13.5" customHeight="1"/>
    <row r="83" spans="6:13" ht="13.5" customHeight="1"/>
    <row r="84" spans="6:13" ht="13.5" customHeight="1"/>
    <row r="85" spans="6:13" ht="13.5" customHeight="1"/>
    <row r="86" spans="6:13" ht="13.5" customHeight="1"/>
    <row r="87" spans="6:13" ht="13.5" customHeight="1"/>
    <row r="88" spans="6:13" ht="13.5" customHeight="1"/>
    <row r="89" spans="6:13" ht="13.5" customHeight="1"/>
    <row r="90" spans="6:13" ht="13.5" customHeight="1"/>
    <row r="91" spans="6:13" ht="13.5" customHeight="1"/>
    <row r="92" spans="6:13" ht="13.5" customHeight="1"/>
    <row r="93" spans="6:13" ht="13.5" customHeight="1"/>
    <row r="94" spans="6:13" ht="13.5" customHeight="1"/>
    <row r="95" spans="6:13" ht="13.5" customHeight="1"/>
    <row r="96" spans="6:13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</sheetData>
  <mergeCells count="59">
    <mergeCell ref="B31:C31"/>
    <mergeCell ref="B42:C42"/>
    <mergeCell ref="F79:I79"/>
    <mergeCell ref="F73:I73"/>
    <mergeCell ref="F74:I74"/>
    <mergeCell ref="F75:I75"/>
    <mergeCell ref="F77:I77"/>
    <mergeCell ref="F78:I78"/>
    <mergeCell ref="B43:C43"/>
    <mergeCell ref="B44:C44"/>
    <mergeCell ref="B45:C45"/>
    <mergeCell ref="B46:C46"/>
    <mergeCell ref="F69:I69"/>
    <mergeCell ref="F65:I65"/>
    <mergeCell ref="F64:I64"/>
    <mergeCell ref="F50:I50"/>
    <mergeCell ref="F59:I59"/>
    <mergeCell ref="F51:I51"/>
    <mergeCell ref="F52:I52"/>
    <mergeCell ref="F58:I58"/>
    <mergeCell ref="F56:I56"/>
    <mergeCell ref="F55:I55"/>
    <mergeCell ref="B33:C33"/>
    <mergeCell ref="B38:C38"/>
    <mergeCell ref="B39:C39"/>
    <mergeCell ref="B40:C40"/>
    <mergeCell ref="B41:C41"/>
    <mergeCell ref="A1:K1"/>
    <mergeCell ref="B28:C28"/>
    <mergeCell ref="B18:C18"/>
    <mergeCell ref="B20:C20"/>
    <mergeCell ref="B22:C22"/>
    <mergeCell ref="C7:H7"/>
    <mergeCell ref="C8:H8"/>
    <mergeCell ref="C9:H9"/>
    <mergeCell ref="B4:H4"/>
    <mergeCell ref="B27:C27"/>
    <mergeCell ref="I2:K2"/>
    <mergeCell ref="F71:I71"/>
    <mergeCell ref="B37:C37"/>
    <mergeCell ref="C10:H10"/>
    <mergeCell ref="B24:C24"/>
    <mergeCell ref="B26:C26"/>
    <mergeCell ref="F67:I67"/>
    <mergeCell ref="F63:I63"/>
    <mergeCell ref="F66:I66"/>
    <mergeCell ref="F57:I57"/>
    <mergeCell ref="F54:I54"/>
    <mergeCell ref="D13:H13"/>
    <mergeCell ref="B34:C34"/>
    <mergeCell ref="B35:C35"/>
    <mergeCell ref="B29:C29"/>
    <mergeCell ref="B30:C30"/>
    <mergeCell ref="B32:C32"/>
    <mergeCell ref="K61:M61"/>
    <mergeCell ref="P49:Q49"/>
    <mergeCell ref="R49:S49"/>
    <mergeCell ref="U65:V65"/>
    <mergeCell ref="F70:I70"/>
  </mergeCells>
  <phoneticPr fontId="2" type="noConversion"/>
  <pageMargins left="0.75" right="0.75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P71"/>
  <sheetViews>
    <sheetView zoomScale="85" zoomScaleNormal="85" workbookViewId="0">
      <selection activeCell="N31" sqref="N31"/>
    </sheetView>
  </sheetViews>
  <sheetFormatPr defaultRowHeight="12.75"/>
  <cols>
    <col min="3" max="11" width="15.5703125" customWidth="1"/>
    <col min="16" max="16" width="12.42578125" customWidth="1"/>
    <col min="17" max="17" width="13.140625" customWidth="1"/>
    <col min="18" max="18" width="14.42578125" bestFit="1" customWidth="1"/>
    <col min="19" max="19" width="13" bestFit="1" customWidth="1"/>
    <col min="20" max="20" width="17.85546875" bestFit="1" customWidth="1"/>
    <col min="21" max="21" width="13.140625" customWidth="1"/>
    <col min="22" max="22" width="8.85546875" customWidth="1"/>
    <col min="23" max="23" width="11.140625" customWidth="1"/>
    <col min="24" max="24" width="11.42578125" bestFit="1" customWidth="1"/>
    <col min="25" max="25" width="14.5703125" customWidth="1"/>
    <col min="26" max="26" width="13.140625" customWidth="1"/>
    <col min="27" max="27" width="13.28515625" customWidth="1"/>
    <col min="30" max="30" width="10.28515625" customWidth="1"/>
    <col min="31" max="31" width="12.85546875" customWidth="1"/>
    <col min="32" max="32" width="14" customWidth="1"/>
    <col min="33" max="33" width="10.85546875" customWidth="1"/>
    <col min="34" max="34" width="12.85546875" customWidth="1"/>
    <col min="37" max="37" width="11.85546875" customWidth="1"/>
    <col min="38" max="38" width="14.5703125" customWidth="1"/>
    <col min="39" max="39" width="10.85546875" customWidth="1"/>
    <col min="41" max="41" width="15" customWidth="1"/>
  </cols>
  <sheetData>
    <row r="1" spans="16:42"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</row>
    <row r="2" spans="16:42"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</row>
    <row r="3" spans="16:42"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</row>
    <row r="4" spans="16:42"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</row>
    <row r="5" spans="16:42"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</row>
    <row r="6" spans="16:42"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</row>
    <row r="7" spans="16:42"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</row>
    <row r="8" spans="16:42"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</row>
    <row r="9" spans="16:42"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</row>
    <row r="10" spans="16:42"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</row>
    <row r="11" spans="16:42"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</row>
    <row r="12" spans="16:42"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</row>
    <row r="13" spans="16:42"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</row>
    <row r="14" spans="16:42"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</row>
    <row r="15" spans="16:42"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</row>
    <row r="16" spans="16:42"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</row>
    <row r="17" spans="2:42"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</row>
    <row r="18" spans="2:42"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</row>
    <row r="19" spans="2:42"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</row>
    <row r="20" spans="2:42"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</row>
    <row r="21" spans="2:42"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</row>
    <row r="22" spans="2:42"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</row>
    <row r="23" spans="2:42"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</row>
    <row r="24" spans="2:42">
      <c r="C24" s="57" t="s">
        <v>30</v>
      </c>
      <c r="D24" s="16" t="e">
        <f ca="1">+IF(D46=0,0,D28/D46)</f>
        <v>#VALUE!</v>
      </c>
      <c r="E24" s="16" t="e">
        <f ca="1">+IF(E28=E46,0,E28/E46)</f>
        <v>#VALUE!</v>
      </c>
      <c r="F24" s="16" t="e">
        <f ca="1">+IF(F46=0,0,F28/F46)</f>
        <v>#VALUE!</v>
      </c>
      <c r="G24" s="16"/>
      <c r="H24" s="223" t="s">
        <v>31</v>
      </c>
      <c r="I24" s="223"/>
      <c r="J24" s="223"/>
      <c r="K24" s="223"/>
      <c r="P24" s="181"/>
      <c r="Q24" s="181"/>
      <c r="R24" s="57"/>
      <c r="S24" s="16"/>
      <c r="T24" s="16"/>
      <c r="U24" s="16"/>
      <c r="V24" s="181"/>
      <c r="W24" s="181"/>
      <c r="X24" s="181"/>
      <c r="Y24" s="57"/>
      <c r="Z24" s="16"/>
      <c r="AA24" s="16"/>
      <c r="AB24" s="16"/>
      <c r="AC24" s="182"/>
      <c r="AD24" s="182"/>
      <c r="AE24" s="182"/>
      <c r="AF24" s="57"/>
      <c r="AG24" s="16"/>
      <c r="AH24" s="16"/>
      <c r="AI24" s="16"/>
      <c r="AJ24" s="182"/>
      <c r="AK24" s="182"/>
      <c r="AL24" s="182"/>
      <c r="AM24" s="57"/>
      <c r="AN24" s="16"/>
      <c r="AO24" s="16"/>
      <c r="AP24" s="16"/>
    </row>
    <row r="25" spans="2:42" ht="13.5" thickBot="1"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</row>
    <row r="26" spans="2:42" ht="13.5" thickTop="1">
      <c r="B26" s="1"/>
      <c r="C26" s="5" t="s">
        <v>0</v>
      </c>
      <c r="D26" s="61" t="s">
        <v>10</v>
      </c>
      <c r="E26" s="61" t="s">
        <v>11</v>
      </c>
      <c r="F26" s="62" t="s">
        <v>29</v>
      </c>
      <c r="G26" s="12"/>
      <c r="H26" s="5" t="s">
        <v>0</v>
      </c>
      <c r="I26" s="61" t="s">
        <v>10</v>
      </c>
      <c r="J26" s="61" t="s">
        <v>11</v>
      </c>
      <c r="K26" s="62" t="s">
        <v>29</v>
      </c>
      <c r="P26" s="5" t="s">
        <v>0</v>
      </c>
      <c r="Q26" s="62" t="s">
        <v>123</v>
      </c>
      <c r="R26" s="12"/>
      <c r="S26" s="5" t="s">
        <v>0</v>
      </c>
      <c r="T26" s="62" t="s">
        <v>123</v>
      </c>
      <c r="V26" s="181"/>
      <c r="W26" s="5" t="s">
        <v>0</v>
      </c>
      <c r="X26" s="62" t="s">
        <v>123</v>
      </c>
      <c r="Y26" s="12"/>
      <c r="Z26" s="5" t="s">
        <v>0</v>
      </c>
      <c r="AA26" s="62" t="s">
        <v>123</v>
      </c>
      <c r="AB26" s="181"/>
      <c r="AC26" s="182"/>
      <c r="AD26" s="5" t="s">
        <v>0</v>
      </c>
      <c r="AE26" s="62" t="s">
        <v>123</v>
      </c>
      <c r="AF26" s="12"/>
      <c r="AG26" s="5" t="s">
        <v>0</v>
      </c>
      <c r="AH26" s="62" t="s">
        <v>123</v>
      </c>
      <c r="AI26" s="182"/>
      <c r="AJ26" s="182"/>
      <c r="AK26" s="5" t="s">
        <v>0</v>
      </c>
      <c r="AL26" s="62" t="s">
        <v>123</v>
      </c>
      <c r="AM26" s="12"/>
      <c r="AN26" s="5" t="s">
        <v>0</v>
      </c>
      <c r="AO26" s="62" t="s">
        <v>123</v>
      </c>
      <c r="AP26" s="182"/>
    </row>
    <row r="27" spans="2:42" ht="3.75" customHeight="1">
      <c r="B27" s="1"/>
      <c r="C27" s="54"/>
      <c r="D27" s="55"/>
      <c r="E27" s="55"/>
      <c r="F27" s="56"/>
      <c r="G27" s="12"/>
      <c r="H27" s="54"/>
      <c r="I27" s="55"/>
      <c r="J27" s="55"/>
      <c r="K27" s="56"/>
      <c r="P27" s="54"/>
      <c r="Q27" s="56"/>
      <c r="R27" s="12"/>
      <c r="S27" s="54"/>
      <c r="T27" s="56"/>
      <c r="V27" s="181"/>
      <c r="W27" s="54"/>
      <c r="X27" s="56"/>
      <c r="Y27" s="12"/>
      <c r="Z27" s="54"/>
      <c r="AA27" s="56"/>
      <c r="AB27" s="181"/>
      <c r="AC27" s="182"/>
      <c r="AD27" s="54"/>
      <c r="AE27" s="56"/>
      <c r="AF27" s="12"/>
      <c r="AG27" s="54"/>
      <c r="AH27" s="56"/>
      <c r="AI27" s="182"/>
      <c r="AJ27" s="182"/>
      <c r="AK27" s="54"/>
      <c r="AL27" s="56"/>
      <c r="AM27" s="12"/>
      <c r="AN27" s="54"/>
      <c r="AO27" s="56"/>
      <c r="AP27" s="182"/>
    </row>
    <row r="28" spans="2:42">
      <c r="B28" s="1"/>
      <c r="C28" s="6">
        <v>0.05</v>
      </c>
      <c r="D28" s="7" t="e">
        <f ca="1">+_xll.RiskPercentile(Main!$Q$54,(1-C28))</f>
        <v>#VALUE!</v>
      </c>
      <c r="E28" s="7" t="e">
        <f ca="1">+_xll.RiskPercentile(Main!$Q$55,(1-C28))</f>
        <v>#VALUE!</v>
      </c>
      <c r="F28" s="8" t="e">
        <f ca="1">+_xll.RiskPercentile(Main!$Q$56,(1-C28))</f>
        <v>#VALUE!</v>
      </c>
      <c r="G28" s="15"/>
      <c r="H28" s="6">
        <v>0.05</v>
      </c>
      <c r="I28" s="7" t="e">
        <f ca="1">+_xll.RiskPercentile(Main!$S$54,(1-H28))</f>
        <v>#VALUE!</v>
      </c>
      <c r="J28" s="7" t="e">
        <f ca="1">+_xll.RiskPercentile(Main!$S$55,(1-H28))</f>
        <v>#VALUE!</v>
      </c>
      <c r="K28" s="8" t="e">
        <f ca="1">+_xll.RiskPercentile(Main!$S$56,(1-H28))</f>
        <v>#VALUE!</v>
      </c>
      <c r="P28" s="6">
        <v>0.05</v>
      </c>
      <c r="Q28" s="8" t="e">
        <f ca="1">+_xll.RiskPercentile(Main!$Q$64,(1-P28))/1000000</f>
        <v>#VALUE!</v>
      </c>
      <c r="R28" s="15"/>
      <c r="S28" s="6">
        <v>0.05</v>
      </c>
      <c r="T28" s="8" t="e">
        <f ca="1">+_xll.RiskPercentile(Main!$S$64,(1-S28))/1000000</f>
        <v>#VALUE!</v>
      </c>
      <c r="V28" s="181"/>
      <c r="W28" s="6">
        <v>0.05</v>
      </c>
      <c r="X28" s="8" t="e">
        <f ca="1">+_xll.RiskPercentile(Main!$Q$68,(1-W28))/1000000</f>
        <v>#VALUE!</v>
      </c>
      <c r="Y28" s="15"/>
      <c r="Z28" s="6">
        <v>0.05</v>
      </c>
      <c r="AA28" s="8" t="e">
        <f ca="1">+_xll.RiskPercentile(Main!$S$68,(1-Z28))/1000000</f>
        <v>#VALUE!</v>
      </c>
      <c r="AB28" s="181"/>
      <c r="AC28" s="182"/>
      <c r="AD28" s="6">
        <v>0.05</v>
      </c>
      <c r="AE28" s="8" t="e">
        <f ca="1">+_xll.RiskPercentile(Main!$Q$72,(1-AD28))/1000000</f>
        <v>#VALUE!</v>
      </c>
      <c r="AF28" s="15"/>
      <c r="AG28" s="6">
        <v>0.05</v>
      </c>
      <c r="AH28" s="8" t="e">
        <f ca="1">+_xll.RiskPercentile(Main!$S$72,(1-AG28))/1000000</f>
        <v>#VALUE!</v>
      </c>
      <c r="AI28" s="182"/>
      <c r="AJ28" s="182"/>
      <c r="AK28" s="6">
        <v>0.05</v>
      </c>
      <c r="AL28" s="8" t="e">
        <f ca="1">+_xll.RiskPercentile(Main!$Q$79,(1-AK28))/1000000</f>
        <v>#VALUE!</v>
      </c>
      <c r="AM28" s="15"/>
      <c r="AN28" s="6">
        <v>0.05</v>
      </c>
      <c r="AO28" s="8" t="e">
        <f ca="1">+_xll.RiskPercentile(Main!$S$79,(1-AN28))/1000000</f>
        <v>#VALUE!</v>
      </c>
      <c r="AP28" s="182"/>
    </row>
    <row r="29" spans="2:42">
      <c r="B29" s="1"/>
      <c r="C29" s="6">
        <f>+C28+0.05</f>
        <v>0.1</v>
      </c>
      <c r="D29" s="7" t="e">
        <f ca="1">+_xll.RiskPercentile(Main!$Q$54,(1-C29))</f>
        <v>#VALUE!</v>
      </c>
      <c r="E29" s="7" t="e">
        <f ca="1">+_xll.RiskPercentile(Main!$Q$55,(1-C29))</f>
        <v>#VALUE!</v>
      </c>
      <c r="F29" s="8" t="e">
        <f ca="1">+_xll.RiskPercentile(Main!$Q$56,(1-C29))</f>
        <v>#VALUE!</v>
      </c>
      <c r="G29" s="15"/>
      <c r="H29" s="6">
        <f>+H28+0.05</f>
        <v>0.1</v>
      </c>
      <c r="I29" s="7" t="e">
        <f ca="1">+_xll.RiskPercentile(Main!$S$54,(1-H29))</f>
        <v>#VALUE!</v>
      </c>
      <c r="J29" s="7" t="e">
        <f ca="1">+_xll.RiskPercentile(Main!$S$55,(1-H29))</f>
        <v>#VALUE!</v>
      </c>
      <c r="K29" s="8" t="e">
        <f ca="1">+_xll.RiskPercentile(Main!$S$56,(1-H29))</f>
        <v>#VALUE!</v>
      </c>
      <c r="P29" s="6">
        <f>+P28+0.05</f>
        <v>0.1</v>
      </c>
      <c r="Q29" s="8" t="e">
        <f ca="1">+_xll.RiskPercentile(Main!$Q$64,(1-P29))/1000000</f>
        <v>#VALUE!</v>
      </c>
      <c r="R29" s="15"/>
      <c r="S29" s="6">
        <f>+S28+0.05</f>
        <v>0.1</v>
      </c>
      <c r="T29" s="8" t="e">
        <f ca="1">+_xll.RiskPercentile(Main!$S$64,(1-S29))/1000000</f>
        <v>#VALUE!</v>
      </c>
      <c r="V29" s="181"/>
      <c r="W29" s="6">
        <f>+W28+0.05</f>
        <v>0.1</v>
      </c>
      <c r="X29" s="8" t="e">
        <f ca="1">+_xll.RiskPercentile(Main!$Q$68,(1-W29))/1000000</f>
        <v>#VALUE!</v>
      </c>
      <c r="Y29" s="15"/>
      <c r="Z29" s="6">
        <f>+Z28+0.05</f>
        <v>0.1</v>
      </c>
      <c r="AA29" s="8" t="e">
        <f ca="1">+_xll.RiskPercentile(Main!$S$68,(1-Z29))/1000000</f>
        <v>#VALUE!</v>
      </c>
      <c r="AB29" s="181"/>
      <c r="AC29" s="182"/>
      <c r="AD29" s="6">
        <f>+AD28+0.05</f>
        <v>0.1</v>
      </c>
      <c r="AE29" s="8" t="e">
        <f ca="1">+_xll.RiskPercentile(Main!$Q$72,(1-AD29))/1000000</f>
        <v>#VALUE!</v>
      </c>
      <c r="AF29" s="15"/>
      <c r="AG29" s="6">
        <f>+AG28+0.05</f>
        <v>0.1</v>
      </c>
      <c r="AH29" s="8" t="e">
        <f ca="1">+_xll.RiskPercentile(Main!$S$72,(1-AG29))/1000000</f>
        <v>#VALUE!</v>
      </c>
      <c r="AI29" s="182"/>
      <c r="AJ29" s="182"/>
      <c r="AK29" s="6">
        <f>+AK28+0.05</f>
        <v>0.1</v>
      </c>
      <c r="AL29" s="8" t="e">
        <f ca="1">+_xll.RiskPercentile(Main!$Q$79,(1-AK29))/1000000</f>
        <v>#VALUE!</v>
      </c>
      <c r="AM29" s="15"/>
      <c r="AN29" s="6">
        <f>+AN28+0.05</f>
        <v>0.1</v>
      </c>
      <c r="AO29" s="8" t="e">
        <f ca="1">+_xll.RiskPercentile(Main!$S$79,(1-AN29))/1000000</f>
        <v>#VALUE!</v>
      </c>
      <c r="AP29" s="182"/>
    </row>
    <row r="30" spans="2:42">
      <c r="B30" s="1"/>
      <c r="C30" s="6">
        <f t="shared" ref="C30:C46" si="0">+C29+0.05</f>
        <v>0.15000000000000002</v>
      </c>
      <c r="D30" s="7" t="e">
        <f ca="1">+_xll.RiskPercentile(Main!$Q$54,(1-C30))</f>
        <v>#VALUE!</v>
      </c>
      <c r="E30" s="7" t="e">
        <f ca="1">+_xll.RiskPercentile(Main!$Q$55,(1-C30))</f>
        <v>#VALUE!</v>
      </c>
      <c r="F30" s="8" t="e">
        <f ca="1">+_xll.RiskPercentile(Main!$Q$56,(1-C30))</f>
        <v>#VALUE!</v>
      </c>
      <c r="G30" s="15"/>
      <c r="H30" s="6">
        <f t="shared" ref="H30:H46" si="1">+H29+0.05</f>
        <v>0.15000000000000002</v>
      </c>
      <c r="I30" s="7" t="e">
        <f ca="1">+_xll.RiskPercentile(Main!$S$54,(1-H30))</f>
        <v>#VALUE!</v>
      </c>
      <c r="J30" s="7" t="e">
        <f ca="1">+_xll.RiskPercentile(Main!$S$55,(1-H30))</f>
        <v>#VALUE!</v>
      </c>
      <c r="K30" s="8" t="e">
        <f ca="1">+_xll.RiskPercentile(Main!$S$56,(1-H30))</f>
        <v>#VALUE!</v>
      </c>
      <c r="P30" s="6">
        <f t="shared" ref="P30:P46" si="2">+P29+0.05</f>
        <v>0.15000000000000002</v>
      </c>
      <c r="Q30" s="8" t="e">
        <f ca="1">+_xll.RiskPercentile(Main!$Q$64,(1-P30))/1000000</f>
        <v>#VALUE!</v>
      </c>
      <c r="R30" s="15"/>
      <c r="S30" s="6">
        <f t="shared" ref="S30:S46" si="3">+S29+0.05</f>
        <v>0.15000000000000002</v>
      </c>
      <c r="T30" s="8" t="e">
        <f ca="1">+_xll.RiskPercentile(Main!$S$64,(1-S30))/1000000</f>
        <v>#VALUE!</v>
      </c>
      <c r="V30" s="181"/>
      <c r="W30" s="6">
        <f t="shared" ref="W30:W46" si="4">+W29+0.05</f>
        <v>0.15000000000000002</v>
      </c>
      <c r="X30" s="8" t="e">
        <f ca="1">+_xll.RiskPercentile(Main!$Q$68,(1-W30))/1000000</f>
        <v>#VALUE!</v>
      </c>
      <c r="Y30" s="15"/>
      <c r="Z30" s="6">
        <f t="shared" ref="Z30:Z46" si="5">+Z29+0.05</f>
        <v>0.15000000000000002</v>
      </c>
      <c r="AA30" s="8" t="e">
        <f ca="1">+_xll.RiskPercentile(Main!$S$68,(1-Z30))/1000000</f>
        <v>#VALUE!</v>
      </c>
      <c r="AB30" s="181"/>
      <c r="AC30" s="182"/>
      <c r="AD30" s="6">
        <f t="shared" ref="AD30:AD46" si="6">+AD29+0.05</f>
        <v>0.15000000000000002</v>
      </c>
      <c r="AE30" s="8" t="e">
        <f ca="1">+_xll.RiskPercentile(Main!$Q$72,(1-AD30))/1000000</f>
        <v>#VALUE!</v>
      </c>
      <c r="AF30" s="15"/>
      <c r="AG30" s="6">
        <f t="shared" ref="AG30:AG46" si="7">+AG29+0.05</f>
        <v>0.15000000000000002</v>
      </c>
      <c r="AH30" s="8" t="e">
        <f ca="1">+_xll.RiskPercentile(Main!$S$72,(1-AG30))/1000000</f>
        <v>#VALUE!</v>
      </c>
      <c r="AI30" s="182"/>
      <c r="AJ30" s="182"/>
      <c r="AK30" s="6">
        <f t="shared" ref="AK30:AK46" si="8">+AK29+0.05</f>
        <v>0.15000000000000002</v>
      </c>
      <c r="AL30" s="8" t="e">
        <f ca="1">+_xll.RiskPercentile(Main!$Q$79,(1-AK30))/1000000</f>
        <v>#VALUE!</v>
      </c>
      <c r="AM30" s="15"/>
      <c r="AN30" s="6">
        <f t="shared" ref="AN30:AN46" si="9">+AN29+0.05</f>
        <v>0.15000000000000002</v>
      </c>
      <c r="AO30" s="8" t="e">
        <f ca="1">+_xll.RiskPercentile(Main!$S$79,(1-AN30))/1000000</f>
        <v>#VALUE!</v>
      </c>
      <c r="AP30" s="182"/>
    </row>
    <row r="31" spans="2:42">
      <c r="B31" s="1"/>
      <c r="C31" s="6">
        <f t="shared" si="0"/>
        <v>0.2</v>
      </c>
      <c r="D31" s="7" t="e">
        <f ca="1">+_xll.RiskPercentile(Main!$Q$54,(1-C31))</f>
        <v>#VALUE!</v>
      </c>
      <c r="E31" s="7" t="e">
        <f ca="1">+_xll.RiskPercentile(Main!$Q$55,(1-C31))</f>
        <v>#VALUE!</v>
      </c>
      <c r="F31" s="8" t="e">
        <f ca="1">+_xll.RiskPercentile(Main!$Q$56,(1-C31))</f>
        <v>#VALUE!</v>
      </c>
      <c r="G31" s="15"/>
      <c r="H31" s="6">
        <f t="shared" si="1"/>
        <v>0.2</v>
      </c>
      <c r="I31" s="7" t="e">
        <f ca="1">+_xll.RiskPercentile(Main!$S$54,(1-H31))</f>
        <v>#VALUE!</v>
      </c>
      <c r="J31" s="7" t="e">
        <f ca="1">+_xll.RiskPercentile(Main!$S$55,(1-H31))</f>
        <v>#VALUE!</v>
      </c>
      <c r="K31" s="8" t="e">
        <f ca="1">+_xll.RiskPercentile(Main!$S$56,(1-H31))</f>
        <v>#VALUE!</v>
      </c>
      <c r="P31" s="6">
        <f t="shared" si="2"/>
        <v>0.2</v>
      </c>
      <c r="Q31" s="8" t="e">
        <f ca="1">+_xll.RiskPercentile(Main!$Q$64,(1-P31))/1000000</f>
        <v>#VALUE!</v>
      </c>
      <c r="R31" s="15"/>
      <c r="S31" s="6">
        <f t="shared" si="3"/>
        <v>0.2</v>
      </c>
      <c r="T31" s="8" t="e">
        <f ca="1">+_xll.RiskPercentile(Main!$S$64,(1-S31))/1000000</f>
        <v>#VALUE!</v>
      </c>
      <c r="V31" s="181"/>
      <c r="W31" s="6">
        <f t="shared" si="4"/>
        <v>0.2</v>
      </c>
      <c r="X31" s="8" t="e">
        <f ca="1">+_xll.RiskPercentile(Main!$Q$68,(1-W31))/1000000</f>
        <v>#VALUE!</v>
      </c>
      <c r="Y31" s="15"/>
      <c r="Z31" s="6">
        <f t="shared" si="5"/>
        <v>0.2</v>
      </c>
      <c r="AA31" s="8" t="e">
        <f ca="1">+_xll.RiskPercentile(Main!$S$68,(1-Z31))/1000000</f>
        <v>#VALUE!</v>
      </c>
      <c r="AB31" s="181"/>
      <c r="AC31" s="182"/>
      <c r="AD31" s="6">
        <f t="shared" si="6"/>
        <v>0.2</v>
      </c>
      <c r="AE31" s="8" t="e">
        <f ca="1">+_xll.RiskPercentile(Main!$Q$72,(1-AD31))/1000000</f>
        <v>#VALUE!</v>
      </c>
      <c r="AF31" s="15"/>
      <c r="AG31" s="6">
        <f t="shared" si="7"/>
        <v>0.2</v>
      </c>
      <c r="AH31" s="8" t="e">
        <f ca="1">+_xll.RiskPercentile(Main!$S$72,(1-AG31))/1000000</f>
        <v>#VALUE!</v>
      </c>
      <c r="AI31" s="182"/>
      <c r="AJ31" s="182"/>
      <c r="AK31" s="6">
        <f t="shared" si="8"/>
        <v>0.2</v>
      </c>
      <c r="AL31" s="8" t="e">
        <f ca="1">+_xll.RiskPercentile(Main!$Q$79,(1-AK31))/1000000</f>
        <v>#VALUE!</v>
      </c>
      <c r="AM31" s="15"/>
      <c r="AN31" s="6">
        <f t="shared" si="9"/>
        <v>0.2</v>
      </c>
      <c r="AO31" s="8" t="e">
        <f ca="1">+_xll.RiskPercentile(Main!$S$79,(1-AN31))/1000000</f>
        <v>#VALUE!</v>
      </c>
      <c r="AP31" s="182"/>
    </row>
    <row r="32" spans="2:42">
      <c r="B32" s="1"/>
      <c r="C32" s="6">
        <f t="shared" si="0"/>
        <v>0.25</v>
      </c>
      <c r="D32" s="7" t="e">
        <f ca="1">+_xll.RiskPercentile(Main!$Q$54,(1-C32))</f>
        <v>#VALUE!</v>
      </c>
      <c r="E32" s="7" t="e">
        <f ca="1">+_xll.RiskPercentile(Main!$Q$55,(1-C32))</f>
        <v>#VALUE!</v>
      </c>
      <c r="F32" s="8" t="e">
        <f ca="1">+_xll.RiskPercentile(Main!$Q$56,(1-C32))</f>
        <v>#VALUE!</v>
      </c>
      <c r="G32" s="15"/>
      <c r="H32" s="6">
        <f t="shared" si="1"/>
        <v>0.25</v>
      </c>
      <c r="I32" s="7" t="e">
        <f ca="1">+_xll.RiskPercentile(Main!$S$54,(1-H32))</f>
        <v>#VALUE!</v>
      </c>
      <c r="J32" s="7" t="e">
        <f ca="1">+_xll.RiskPercentile(Main!$S$55,(1-H32))</f>
        <v>#VALUE!</v>
      </c>
      <c r="K32" s="8" t="e">
        <f ca="1">+_xll.RiskPercentile(Main!$S$56,(1-H32))</f>
        <v>#VALUE!</v>
      </c>
      <c r="P32" s="6">
        <f t="shared" si="2"/>
        <v>0.25</v>
      </c>
      <c r="Q32" s="8" t="e">
        <f ca="1">+_xll.RiskPercentile(Main!$Q$64,(1-P32))/1000000</f>
        <v>#VALUE!</v>
      </c>
      <c r="R32" s="15"/>
      <c r="S32" s="6">
        <f t="shared" si="3"/>
        <v>0.25</v>
      </c>
      <c r="T32" s="8" t="e">
        <f ca="1">+_xll.RiskPercentile(Main!$S$64,(1-S32))/1000000</f>
        <v>#VALUE!</v>
      </c>
      <c r="V32" s="181"/>
      <c r="W32" s="6">
        <f t="shared" si="4"/>
        <v>0.25</v>
      </c>
      <c r="X32" s="8" t="e">
        <f ca="1">+_xll.RiskPercentile(Main!$Q$68,(1-W32))/1000000</f>
        <v>#VALUE!</v>
      </c>
      <c r="Y32" s="15"/>
      <c r="Z32" s="6">
        <f t="shared" si="5"/>
        <v>0.25</v>
      </c>
      <c r="AA32" s="8" t="e">
        <f ca="1">+_xll.RiskPercentile(Main!$S$68,(1-Z32))/1000000</f>
        <v>#VALUE!</v>
      </c>
      <c r="AB32" s="181"/>
      <c r="AC32" s="182"/>
      <c r="AD32" s="6">
        <f t="shared" si="6"/>
        <v>0.25</v>
      </c>
      <c r="AE32" s="8" t="e">
        <f ca="1">+_xll.RiskPercentile(Main!$Q$72,(1-AD32))/1000000</f>
        <v>#VALUE!</v>
      </c>
      <c r="AF32" s="15"/>
      <c r="AG32" s="6">
        <f t="shared" si="7"/>
        <v>0.25</v>
      </c>
      <c r="AH32" s="8" t="e">
        <f ca="1">+_xll.RiskPercentile(Main!$S$72,(1-AG32))/1000000</f>
        <v>#VALUE!</v>
      </c>
      <c r="AI32" s="182"/>
      <c r="AJ32" s="182"/>
      <c r="AK32" s="6">
        <f t="shared" si="8"/>
        <v>0.25</v>
      </c>
      <c r="AL32" s="8" t="e">
        <f ca="1">+_xll.RiskPercentile(Main!$Q$79,(1-AK32))/1000000</f>
        <v>#VALUE!</v>
      </c>
      <c r="AM32" s="15"/>
      <c r="AN32" s="6">
        <f t="shared" si="9"/>
        <v>0.25</v>
      </c>
      <c r="AO32" s="8" t="e">
        <f ca="1">+_xll.RiskPercentile(Main!$S$79,(1-AN32))/1000000</f>
        <v>#VALUE!</v>
      </c>
      <c r="AP32" s="182"/>
    </row>
    <row r="33" spans="2:42">
      <c r="B33" s="1"/>
      <c r="C33" s="6">
        <f t="shared" si="0"/>
        <v>0.3</v>
      </c>
      <c r="D33" s="7" t="e">
        <f ca="1">+_xll.RiskPercentile(Main!$Q$54,(1-C33))</f>
        <v>#VALUE!</v>
      </c>
      <c r="E33" s="7" t="e">
        <f ca="1">+_xll.RiskPercentile(Main!$Q$55,(1-C33))</f>
        <v>#VALUE!</v>
      </c>
      <c r="F33" s="8" t="e">
        <f ca="1">+_xll.RiskPercentile(Main!$Q$56,(1-C33))</f>
        <v>#VALUE!</v>
      </c>
      <c r="G33" s="224" t="s">
        <v>58</v>
      </c>
      <c r="H33" s="6">
        <f t="shared" si="1"/>
        <v>0.3</v>
      </c>
      <c r="I33" s="7" t="e">
        <f ca="1">+_xll.RiskPercentile(Main!$S$54,(1-H33))</f>
        <v>#VALUE!</v>
      </c>
      <c r="J33" s="7" t="e">
        <f ca="1">+_xll.RiskPercentile(Main!$S$55,(1-H33))</f>
        <v>#VALUE!</v>
      </c>
      <c r="K33" s="8" t="e">
        <f ca="1">+_xll.RiskPercentile(Main!$S$56,(1-H33))</f>
        <v>#VALUE!</v>
      </c>
      <c r="P33" s="6">
        <f t="shared" si="2"/>
        <v>0.3</v>
      </c>
      <c r="Q33" s="8" t="e">
        <f ca="1">+_xll.RiskPercentile(Main!$Q$64,(1-P33))/1000000</f>
        <v>#VALUE!</v>
      </c>
      <c r="R33" s="221" t="s">
        <v>122</v>
      </c>
      <c r="S33" s="6">
        <f t="shared" si="3"/>
        <v>0.3</v>
      </c>
      <c r="T33" s="8" t="e">
        <f ca="1">+_xll.RiskPercentile(Main!$S$64,(1-S33))/1000000</f>
        <v>#VALUE!</v>
      </c>
      <c r="V33" s="181"/>
      <c r="W33" s="6">
        <f t="shared" si="4"/>
        <v>0.3</v>
      </c>
      <c r="X33" s="8" t="e">
        <f ca="1">+_xll.RiskPercentile(Main!$Q$68,(1-W33))/1000000</f>
        <v>#VALUE!</v>
      </c>
      <c r="Y33" s="221" t="s">
        <v>124</v>
      </c>
      <c r="Z33" s="6">
        <f t="shared" si="5"/>
        <v>0.3</v>
      </c>
      <c r="AA33" s="8" t="e">
        <f ca="1">+_xll.RiskPercentile(Main!$S$68,(1-Z33))/1000000</f>
        <v>#VALUE!</v>
      </c>
      <c r="AB33" s="181"/>
      <c r="AC33" s="182"/>
      <c r="AD33" s="6">
        <f t="shared" si="6"/>
        <v>0.3</v>
      </c>
      <c r="AE33" s="8" t="e">
        <f ca="1">+_xll.RiskPercentile(Main!$Q$72,(1-AD33))/1000000</f>
        <v>#VALUE!</v>
      </c>
      <c r="AF33" s="221" t="s">
        <v>126</v>
      </c>
      <c r="AG33" s="6">
        <f t="shared" si="7"/>
        <v>0.3</v>
      </c>
      <c r="AH33" s="8" t="e">
        <f ca="1">+_xll.RiskPercentile(Main!$S$72,(1-AG33))/1000000</f>
        <v>#VALUE!</v>
      </c>
      <c r="AI33" s="182"/>
      <c r="AJ33" s="182"/>
      <c r="AK33" s="6">
        <f t="shared" si="8"/>
        <v>0.3</v>
      </c>
      <c r="AL33" s="8" t="e">
        <f ca="1">+_xll.RiskPercentile(Main!$Q$79,(1-AK33))/1000000</f>
        <v>#VALUE!</v>
      </c>
      <c r="AM33" s="221" t="s">
        <v>125</v>
      </c>
      <c r="AN33" s="6">
        <f t="shared" si="9"/>
        <v>0.3</v>
      </c>
      <c r="AO33" s="8" t="e">
        <f ca="1">+_xll.RiskPercentile(Main!$S$79,(1-AN33))/1000000</f>
        <v>#VALUE!</v>
      </c>
      <c r="AP33" s="182"/>
    </row>
    <row r="34" spans="2:42" ht="12.75" customHeight="1">
      <c r="B34" s="1"/>
      <c r="C34" s="6">
        <f t="shared" si="0"/>
        <v>0.35</v>
      </c>
      <c r="D34" s="7" t="e">
        <f ca="1">+_xll.RiskPercentile(Main!$Q$54,(1-C34))</f>
        <v>#VALUE!</v>
      </c>
      <c r="E34" s="7" t="e">
        <f ca="1">+_xll.RiskPercentile(Main!$Q$55,(1-C34))</f>
        <v>#VALUE!</v>
      </c>
      <c r="F34" s="8" t="e">
        <f ca="1">+_xll.RiskPercentile(Main!$Q$56,(1-C34))</f>
        <v>#VALUE!</v>
      </c>
      <c r="G34" s="225"/>
      <c r="H34" s="6">
        <f t="shared" si="1"/>
        <v>0.35</v>
      </c>
      <c r="I34" s="7" t="e">
        <f ca="1">+_xll.RiskPercentile(Main!$S$54,(1-H34))</f>
        <v>#VALUE!</v>
      </c>
      <c r="J34" s="7" t="e">
        <f ca="1">+_xll.RiskPercentile(Main!$S$55,(1-H34))</f>
        <v>#VALUE!</v>
      </c>
      <c r="K34" s="8" t="e">
        <f ca="1">+_xll.RiskPercentile(Main!$S$56,(1-H34))</f>
        <v>#VALUE!</v>
      </c>
      <c r="P34" s="6">
        <f t="shared" si="2"/>
        <v>0.35</v>
      </c>
      <c r="Q34" s="8" t="e">
        <f ca="1">+_xll.RiskPercentile(Main!$Q$64,(1-P34))/1000000</f>
        <v>#VALUE!</v>
      </c>
      <c r="R34" s="222"/>
      <c r="S34" s="6">
        <f t="shared" si="3"/>
        <v>0.35</v>
      </c>
      <c r="T34" s="8" t="e">
        <f ca="1">+_xll.RiskPercentile(Main!$S$64,(1-S34))/1000000</f>
        <v>#VALUE!</v>
      </c>
      <c r="V34" s="181"/>
      <c r="W34" s="6">
        <f t="shared" si="4"/>
        <v>0.35</v>
      </c>
      <c r="X34" s="8" t="e">
        <f ca="1">+_xll.RiskPercentile(Main!$Q$68,(1-W34))/1000000</f>
        <v>#VALUE!</v>
      </c>
      <c r="Y34" s="222"/>
      <c r="Z34" s="6">
        <f t="shared" si="5"/>
        <v>0.35</v>
      </c>
      <c r="AA34" s="8" t="e">
        <f ca="1">+_xll.RiskPercentile(Main!$S$68,(1-Z34))/1000000</f>
        <v>#VALUE!</v>
      </c>
      <c r="AB34" s="181"/>
      <c r="AC34" s="182"/>
      <c r="AD34" s="6">
        <f t="shared" si="6"/>
        <v>0.35</v>
      </c>
      <c r="AE34" s="8" t="e">
        <f ca="1">+_xll.RiskPercentile(Main!$Q$72,(1-AD34))/1000000</f>
        <v>#VALUE!</v>
      </c>
      <c r="AF34" s="222"/>
      <c r="AG34" s="6">
        <f t="shared" si="7"/>
        <v>0.35</v>
      </c>
      <c r="AH34" s="8" t="e">
        <f ca="1">+_xll.RiskPercentile(Main!$S$72,(1-AG34))/1000000</f>
        <v>#VALUE!</v>
      </c>
      <c r="AI34" s="182"/>
      <c r="AJ34" s="182"/>
      <c r="AK34" s="6">
        <f t="shared" si="8"/>
        <v>0.35</v>
      </c>
      <c r="AL34" s="8" t="e">
        <f ca="1">+_xll.RiskPercentile(Main!$Q$79,(1-AK34))/1000000</f>
        <v>#VALUE!</v>
      </c>
      <c r="AM34" s="222"/>
      <c r="AN34" s="6">
        <f t="shared" si="9"/>
        <v>0.35</v>
      </c>
      <c r="AO34" s="8" t="e">
        <f ca="1">+_xll.RiskPercentile(Main!$S$79,(1-AN34))/1000000</f>
        <v>#VALUE!</v>
      </c>
      <c r="AP34" s="182"/>
    </row>
    <row r="35" spans="2:42" ht="12.75" customHeight="1">
      <c r="B35" s="1"/>
      <c r="C35" s="6">
        <f t="shared" si="0"/>
        <v>0.39999999999999997</v>
      </c>
      <c r="D35" s="7" t="e">
        <f ca="1">+_xll.RiskPercentile(Main!$Q$54,(1-C35))</f>
        <v>#VALUE!</v>
      </c>
      <c r="E35" s="7" t="e">
        <f ca="1">+_xll.RiskPercentile(Main!$Q$55,(1-C35))</f>
        <v>#VALUE!</v>
      </c>
      <c r="F35" s="8" t="e">
        <f ca="1">+_xll.RiskPercentile(Main!$Q$56,(1-C35))</f>
        <v>#VALUE!</v>
      </c>
      <c r="G35" s="225"/>
      <c r="H35" s="6">
        <f t="shared" si="1"/>
        <v>0.39999999999999997</v>
      </c>
      <c r="I35" s="7" t="e">
        <f ca="1">+_xll.RiskPercentile(Main!$S$54,(1-H35))</f>
        <v>#VALUE!</v>
      </c>
      <c r="J35" s="7" t="e">
        <f ca="1">+_xll.RiskPercentile(Main!$S$55,(1-H35))</f>
        <v>#VALUE!</v>
      </c>
      <c r="K35" s="8" t="e">
        <f ca="1">+_xll.RiskPercentile(Main!$S$56,(1-H35))</f>
        <v>#VALUE!</v>
      </c>
      <c r="P35" s="6">
        <f t="shared" si="2"/>
        <v>0.39999999999999997</v>
      </c>
      <c r="Q35" s="8" t="e">
        <f ca="1">+_xll.RiskPercentile(Main!$Q$64,(1-P35))/1000000</f>
        <v>#VALUE!</v>
      </c>
      <c r="R35" s="222"/>
      <c r="S35" s="6">
        <f t="shared" si="3"/>
        <v>0.39999999999999997</v>
      </c>
      <c r="T35" s="8" t="e">
        <f ca="1">+_xll.RiskPercentile(Main!$S$64,(1-S35))/1000000</f>
        <v>#VALUE!</v>
      </c>
      <c r="V35" s="181"/>
      <c r="W35" s="6">
        <f t="shared" si="4"/>
        <v>0.39999999999999997</v>
      </c>
      <c r="X35" s="8" t="e">
        <f ca="1">+_xll.RiskPercentile(Main!$Q$68,(1-W35))/1000000</f>
        <v>#VALUE!</v>
      </c>
      <c r="Y35" s="222"/>
      <c r="Z35" s="6">
        <f t="shared" si="5"/>
        <v>0.39999999999999997</v>
      </c>
      <c r="AA35" s="8" t="e">
        <f ca="1">+_xll.RiskPercentile(Main!$S$68,(1-Z35))/1000000</f>
        <v>#VALUE!</v>
      </c>
      <c r="AB35" s="181"/>
      <c r="AC35" s="182"/>
      <c r="AD35" s="6">
        <f t="shared" si="6"/>
        <v>0.39999999999999997</v>
      </c>
      <c r="AE35" s="8" t="e">
        <f ca="1">+_xll.RiskPercentile(Main!$Q$72,(1-AD35))/1000000</f>
        <v>#VALUE!</v>
      </c>
      <c r="AF35" s="222"/>
      <c r="AG35" s="6">
        <f t="shared" si="7"/>
        <v>0.39999999999999997</v>
      </c>
      <c r="AH35" s="8" t="e">
        <f ca="1">+_xll.RiskPercentile(Main!$S$72,(1-AG35))/1000000</f>
        <v>#VALUE!</v>
      </c>
      <c r="AI35" s="182"/>
      <c r="AJ35" s="182"/>
      <c r="AK35" s="6">
        <f t="shared" si="8"/>
        <v>0.39999999999999997</v>
      </c>
      <c r="AL35" s="8" t="e">
        <f ca="1">+_xll.RiskPercentile(Main!$Q$79,(1-AK35))/1000000</f>
        <v>#VALUE!</v>
      </c>
      <c r="AM35" s="222"/>
      <c r="AN35" s="6">
        <f t="shared" si="9"/>
        <v>0.39999999999999997</v>
      </c>
      <c r="AO35" s="8" t="e">
        <f ca="1">+_xll.RiskPercentile(Main!$S$79,(1-AN35))/1000000</f>
        <v>#VALUE!</v>
      </c>
      <c r="AP35" s="182"/>
    </row>
    <row r="36" spans="2:42" ht="12.75" customHeight="1">
      <c r="B36" s="1"/>
      <c r="C36" s="6">
        <f t="shared" si="0"/>
        <v>0.44999999999999996</v>
      </c>
      <c r="D36" s="7" t="e">
        <f ca="1">+_xll.RiskPercentile(Main!$Q$54,(1-C36))</f>
        <v>#VALUE!</v>
      </c>
      <c r="E36" s="7" t="e">
        <f ca="1">+_xll.RiskPercentile(Main!$Q$55,(1-C36))</f>
        <v>#VALUE!</v>
      </c>
      <c r="F36" s="8" t="e">
        <f ca="1">+_xll.RiskPercentile(Main!$Q$56,(1-C36))</f>
        <v>#VALUE!</v>
      </c>
      <c r="G36" s="225"/>
      <c r="H36" s="6">
        <f t="shared" si="1"/>
        <v>0.44999999999999996</v>
      </c>
      <c r="I36" s="7" t="e">
        <f ca="1">+_xll.RiskPercentile(Main!$S$54,(1-H36))</f>
        <v>#VALUE!</v>
      </c>
      <c r="J36" s="7" t="e">
        <f ca="1">+_xll.RiskPercentile(Main!$S$55,(1-H36))</f>
        <v>#VALUE!</v>
      </c>
      <c r="K36" s="8" t="e">
        <f ca="1">+_xll.RiskPercentile(Main!$S$56,(1-H36))</f>
        <v>#VALUE!</v>
      </c>
      <c r="P36" s="6">
        <f t="shared" si="2"/>
        <v>0.44999999999999996</v>
      </c>
      <c r="Q36" s="8" t="e">
        <f ca="1">+_xll.RiskPercentile(Main!$Q$64,(1-P36))/1000000</f>
        <v>#VALUE!</v>
      </c>
      <c r="R36" s="222"/>
      <c r="S36" s="6">
        <f t="shared" si="3"/>
        <v>0.44999999999999996</v>
      </c>
      <c r="T36" s="8" t="e">
        <f ca="1">+_xll.RiskPercentile(Main!$S$64,(1-S36))/1000000</f>
        <v>#VALUE!</v>
      </c>
      <c r="V36" s="181"/>
      <c r="W36" s="6">
        <f t="shared" si="4"/>
        <v>0.44999999999999996</v>
      </c>
      <c r="X36" s="8" t="e">
        <f ca="1">+_xll.RiskPercentile(Main!$Q$68,(1-W36))/1000000</f>
        <v>#VALUE!</v>
      </c>
      <c r="Y36" s="222"/>
      <c r="Z36" s="6">
        <f t="shared" si="5"/>
        <v>0.44999999999999996</v>
      </c>
      <c r="AA36" s="8" t="e">
        <f ca="1">+_xll.RiskPercentile(Main!$S$68,(1-Z36))/1000000</f>
        <v>#VALUE!</v>
      </c>
      <c r="AB36" s="181"/>
      <c r="AC36" s="182"/>
      <c r="AD36" s="6">
        <f t="shared" si="6"/>
        <v>0.44999999999999996</v>
      </c>
      <c r="AE36" s="8" t="e">
        <f ca="1">+_xll.RiskPercentile(Main!$Q$72,(1-AD36))/1000000</f>
        <v>#VALUE!</v>
      </c>
      <c r="AF36" s="222"/>
      <c r="AG36" s="6">
        <f t="shared" si="7"/>
        <v>0.44999999999999996</v>
      </c>
      <c r="AH36" s="8" t="e">
        <f ca="1">+_xll.RiskPercentile(Main!$S$72,(1-AG36))/1000000</f>
        <v>#VALUE!</v>
      </c>
      <c r="AI36" s="182"/>
      <c r="AJ36" s="182"/>
      <c r="AK36" s="6">
        <f t="shared" si="8"/>
        <v>0.44999999999999996</v>
      </c>
      <c r="AL36" s="8" t="e">
        <f ca="1">+_xll.RiskPercentile(Main!$Q$79,(1-AK36))/1000000</f>
        <v>#VALUE!</v>
      </c>
      <c r="AM36" s="222"/>
      <c r="AN36" s="6">
        <f t="shared" si="9"/>
        <v>0.44999999999999996</v>
      </c>
      <c r="AO36" s="8" t="e">
        <f ca="1">+_xll.RiskPercentile(Main!$S$79,(1-AN36))/1000000</f>
        <v>#VALUE!</v>
      </c>
      <c r="AP36" s="182"/>
    </row>
    <row r="37" spans="2:42" ht="12.75" customHeight="1">
      <c r="B37" s="1"/>
      <c r="C37" s="6">
        <f t="shared" si="0"/>
        <v>0.49999999999999994</v>
      </c>
      <c r="D37" s="7" t="e">
        <f ca="1">+_xll.RiskPercentile(Main!$Q$54,(1-C37))</f>
        <v>#VALUE!</v>
      </c>
      <c r="E37" s="7" t="e">
        <f ca="1">+_xll.RiskPercentile(Main!$Q$55,(1-C37))</f>
        <v>#VALUE!</v>
      </c>
      <c r="F37" s="8" t="e">
        <f ca="1">+_xll.RiskPercentile(Main!$Q$56,(1-C37))</f>
        <v>#VALUE!</v>
      </c>
      <c r="G37" s="225"/>
      <c r="H37" s="6">
        <f t="shared" si="1"/>
        <v>0.49999999999999994</v>
      </c>
      <c r="I37" s="7" t="e">
        <f ca="1">+_xll.RiskPercentile(Main!$S$54,(1-H37))</f>
        <v>#VALUE!</v>
      </c>
      <c r="J37" s="7" t="e">
        <f ca="1">+_xll.RiskPercentile(Main!$S$55,(1-H37))</f>
        <v>#VALUE!</v>
      </c>
      <c r="K37" s="8" t="e">
        <f ca="1">+_xll.RiskPercentile(Main!$S$56,(1-H37))</f>
        <v>#VALUE!</v>
      </c>
      <c r="P37" s="6">
        <f t="shared" si="2"/>
        <v>0.49999999999999994</v>
      </c>
      <c r="Q37" s="8" t="e">
        <f ca="1">+_xll.RiskPercentile(Main!$Q$64,(1-P37))/1000000</f>
        <v>#VALUE!</v>
      </c>
      <c r="R37" s="222"/>
      <c r="S37" s="6">
        <f t="shared" si="3"/>
        <v>0.49999999999999994</v>
      </c>
      <c r="T37" s="8" t="e">
        <f ca="1">+_xll.RiskPercentile(Main!$S$64,(1-S37))/1000000</f>
        <v>#VALUE!</v>
      </c>
      <c r="V37" s="181"/>
      <c r="W37" s="6">
        <f t="shared" si="4"/>
        <v>0.49999999999999994</v>
      </c>
      <c r="X37" s="8" t="e">
        <f ca="1">+_xll.RiskPercentile(Main!$Q$68,(1-W37))/1000000</f>
        <v>#VALUE!</v>
      </c>
      <c r="Y37" s="222"/>
      <c r="Z37" s="6">
        <f t="shared" si="5"/>
        <v>0.49999999999999994</v>
      </c>
      <c r="AA37" s="8" t="e">
        <f ca="1">+_xll.RiskPercentile(Main!$S$68,(1-Z37))/1000000</f>
        <v>#VALUE!</v>
      </c>
      <c r="AB37" s="181"/>
      <c r="AC37" s="182"/>
      <c r="AD37" s="6">
        <f t="shared" si="6"/>
        <v>0.49999999999999994</v>
      </c>
      <c r="AE37" s="8" t="e">
        <f ca="1">+_xll.RiskPercentile(Main!$Q$72,(1-AD37))/1000000</f>
        <v>#VALUE!</v>
      </c>
      <c r="AF37" s="222"/>
      <c r="AG37" s="6">
        <f t="shared" si="7"/>
        <v>0.49999999999999994</v>
      </c>
      <c r="AH37" s="8" t="e">
        <f ca="1">+_xll.RiskPercentile(Main!$S$72,(1-AG37))/1000000</f>
        <v>#VALUE!</v>
      </c>
      <c r="AI37" s="182"/>
      <c r="AJ37" s="182"/>
      <c r="AK37" s="6">
        <f t="shared" si="8"/>
        <v>0.49999999999999994</v>
      </c>
      <c r="AL37" s="8" t="e">
        <f ca="1">+_xll.RiskPercentile(Main!$Q$79,(1-AK37))/1000000</f>
        <v>#VALUE!</v>
      </c>
      <c r="AM37" s="222"/>
      <c r="AN37" s="6">
        <f t="shared" si="9"/>
        <v>0.49999999999999994</v>
      </c>
      <c r="AO37" s="8" t="e">
        <f ca="1">+_xll.RiskPercentile(Main!$S$79,(1-AN37))/1000000</f>
        <v>#VALUE!</v>
      </c>
      <c r="AP37" s="182"/>
    </row>
    <row r="38" spans="2:42" ht="12.75" customHeight="1">
      <c r="B38" s="1"/>
      <c r="C38" s="6">
        <f t="shared" si="0"/>
        <v>0.54999999999999993</v>
      </c>
      <c r="D38" s="7" t="e">
        <f ca="1">+_xll.RiskPercentile(Main!$Q$54,(1-C38))</f>
        <v>#VALUE!</v>
      </c>
      <c r="E38" s="7" t="e">
        <f ca="1">+_xll.RiskPercentile(Main!$Q$55,(1-C38))</f>
        <v>#VALUE!</v>
      </c>
      <c r="F38" s="8" t="e">
        <f ca="1">+_xll.RiskPercentile(Main!$Q$56,(1-C38))</f>
        <v>#VALUE!</v>
      </c>
      <c r="G38" s="15"/>
      <c r="H38" s="6">
        <f t="shared" si="1"/>
        <v>0.54999999999999993</v>
      </c>
      <c r="I38" s="7" t="e">
        <f ca="1">+_xll.RiskPercentile(Main!$S$54,(1-H38))</f>
        <v>#VALUE!</v>
      </c>
      <c r="J38" s="7" t="e">
        <f ca="1">+_xll.RiskPercentile(Main!$S$55,(1-H38))</f>
        <v>#VALUE!</v>
      </c>
      <c r="K38" s="8" t="e">
        <f ca="1">+_xll.RiskPercentile(Main!$S$56,(1-H38))</f>
        <v>#VALUE!</v>
      </c>
      <c r="P38" s="6">
        <f t="shared" si="2"/>
        <v>0.54999999999999993</v>
      </c>
      <c r="Q38" s="8" t="e">
        <f ca="1">+_xll.RiskPercentile(Main!$Q$64,(1-P38))/1000000</f>
        <v>#VALUE!</v>
      </c>
      <c r="R38" s="15"/>
      <c r="S38" s="6">
        <f t="shared" si="3"/>
        <v>0.54999999999999993</v>
      </c>
      <c r="T38" s="8" t="e">
        <f ca="1">+_xll.RiskPercentile(Main!$S$64,(1-S38))/1000000</f>
        <v>#VALUE!</v>
      </c>
      <c r="V38" s="181"/>
      <c r="W38" s="6">
        <f t="shared" si="4"/>
        <v>0.54999999999999993</v>
      </c>
      <c r="X38" s="8" t="e">
        <f ca="1">+_xll.RiskPercentile(Main!$Q$68,(1-W38))/1000000</f>
        <v>#VALUE!</v>
      </c>
      <c r="Y38" s="15"/>
      <c r="Z38" s="6">
        <f t="shared" si="5"/>
        <v>0.54999999999999993</v>
      </c>
      <c r="AA38" s="8" t="e">
        <f ca="1">+_xll.RiskPercentile(Main!$S$68,(1-Z38))/1000000</f>
        <v>#VALUE!</v>
      </c>
      <c r="AB38" s="181"/>
      <c r="AC38" s="182"/>
      <c r="AD38" s="6">
        <f t="shared" si="6"/>
        <v>0.54999999999999993</v>
      </c>
      <c r="AE38" s="8" t="e">
        <f ca="1">+_xll.RiskPercentile(Main!$Q$72,(1-AD38))/1000000</f>
        <v>#VALUE!</v>
      </c>
      <c r="AF38" s="15"/>
      <c r="AG38" s="6">
        <f t="shared" si="7"/>
        <v>0.54999999999999993</v>
      </c>
      <c r="AH38" s="8" t="e">
        <f ca="1">+_xll.RiskPercentile(Main!$S$72,(1-AG38))/1000000</f>
        <v>#VALUE!</v>
      </c>
      <c r="AI38" s="182"/>
      <c r="AJ38" s="182"/>
      <c r="AK38" s="6">
        <f t="shared" si="8"/>
        <v>0.54999999999999993</v>
      </c>
      <c r="AL38" s="8" t="e">
        <f ca="1">+_xll.RiskPercentile(Main!$Q$79,(1-AK38))/1000000</f>
        <v>#VALUE!</v>
      </c>
      <c r="AM38" s="15"/>
      <c r="AN38" s="6">
        <f t="shared" si="9"/>
        <v>0.54999999999999993</v>
      </c>
      <c r="AO38" s="8" t="e">
        <f ca="1">+_xll.RiskPercentile(Main!$S$79,(1-AN38))/1000000</f>
        <v>#VALUE!</v>
      </c>
      <c r="AP38" s="182"/>
    </row>
    <row r="39" spans="2:42">
      <c r="B39" s="1"/>
      <c r="C39" s="6">
        <f t="shared" si="0"/>
        <v>0.6</v>
      </c>
      <c r="D39" s="7" t="e">
        <f ca="1">+_xll.RiskPercentile(Main!$Q$54,(1-C39))</f>
        <v>#VALUE!</v>
      </c>
      <c r="E39" s="7" t="e">
        <f ca="1">+_xll.RiskPercentile(Main!$Q$55,(1-C39))</f>
        <v>#VALUE!</v>
      </c>
      <c r="F39" s="8" t="e">
        <f ca="1">+_xll.RiskPercentile(Main!$Q$56,(1-C39))</f>
        <v>#VALUE!</v>
      </c>
      <c r="G39" s="15"/>
      <c r="H39" s="6">
        <f t="shared" si="1"/>
        <v>0.6</v>
      </c>
      <c r="I39" s="7" t="e">
        <f ca="1">+_xll.RiskPercentile(Main!$S$54,(1-H39))</f>
        <v>#VALUE!</v>
      </c>
      <c r="J39" s="7" t="e">
        <f ca="1">+_xll.RiskPercentile(Main!$S$55,(1-H39))</f>
        <v>#VALUE!</v>
      </c>
      <c r="K39" s="8" t="e">
        <f ca="1">+_xll.RiskPercentile(Main!$S$56,(1-H39))</f>
        <v>#VALUE!</v>
      </c>
      <c r="P39" s="6">
        <f t="shared" si="2"/>
        <v>0.6</v>
      </c>
      <c r="Q39" s="8" t="e">
        <f ca="1">+_xll.RiskPercentile(Main!$Q$64,(1-P39))/1000000</f>
        <v>#VALUE!</v>
      </c>
      <c r="R39" s="15"/>
      <c r="S39" s="6">
        <f t="shared" si="3"/>
        <v>0.6</v>
      </c>
      <c r="T39" s="8" t="e">
        <f ca="1">+_xll.RiskPercentile(Main!$S$64,(1-S39))/1000000</f>
        <v>#VALUE!</v>
      </c>
      <c r="V39" s="181"/>
      <c r="W39" s="6">
        <f t="shared" si="4"/>
        <v>0.6</v>
      </c>
      <c r="X39" s="8" t="e">
        <f ca="1">+_xll.RiskPercentile(Main!$Q$68,(1-W39))/1000000</f>
        <v>#VALUE!</v>
      </c>
      <c r="Y39" s="15"/>
      <c r="Z39" s="6">
        <f t="shared" si="5"/>
        <v>0.6</v>
      </c>
      <c r="AA39" s="8" t="e">
        <f ca="1">+_xll.RiskPercentile(Main!$S$68,(1-Z39))/1000000</f>
        <v>#VALUE!</v>
      </c>
      <c r="AB39" s="181"/>
      <c r="AC39" s="182"/>
      <c r="AD39" s="6">
        <f t="shared" si="6"/>
        <v>0.6</v>
      </c>
      <c r="AE39" s="8" t="e">
        <f ca="1">+_xll.RiskPercentile(Main!$Q$72,(1-AD39))/1000000</f>
        <v>#VALUE!</v>
      </c>
      <c r="AF39" s="15"/>
      <c r="AG39" s="6">
        <f t="shared" si="7"/>
        <v>0.6</v>
      </c>
      <c r="AH39" s="8" t="e">
        <f ca="1">+_xll.RiskPercentile(Main!$S$72,(1-AG39))/1000000</f>
        <v>#VALUE!</v>
      </c>
      <c r="AI39" s="182"/>
      <c r="AJ39" s="182"/>
      <c r="AK39" s="6">
        <f t="shared" si="8"/>
        <v>0.6</v>
      </c>
      <c r="AL39" s="8" t="e">
        <f ca="1">+_xll.RiskPercentile(Main!$Q$79,(1-AK39))/1000000</f>
        <v>#VALUE!</v>
      </c>
      <c r="AM39" s="15"/>
      <c r="AN39" s="6">
        <f t="shared" si="9"/>
        <v>0.6</v>
      </c>
      <c r="AO39" s="8" t="e">
        <f ca="1">+_xll.RiskPercentile(Main!$S$79,(1-AN39))/1000000</f>
        <v>#VALUE!</v>
      </c>
      <c r="AP39" s="182"/>
    </row>
    <row r="40" spans="2:42">
      <c r="B40" s="1"/>
      <c r="C40" s="6">
        <f t="shared" si="0"/>
        <v>0.65</v>
      </c>
      <c r="D40" s="7" t="e">
        <f ca="1">+_xll.RiskPercentile(Main!$Q$54,(1-C40))</f>
        <v>#VALUE!</v>
      </c>
      <c r="E40" s="7" t="e">
        <f ca="1">+_xll.RiskPercentile(Main!$Q$55,(1-C40))</f>
        <v>#VALUE!</v>
      </c>
      <c r="F40" s="8" t="e">
        <f ca="1">+_xll.RiskPercentile(Main!$Q$56,(1-C40))</f>
        <v>#VALUE!</v>
      </c>
      <c r="G40" s="15"/>
      <c r="H40" s="6">
        <f t="shared" si="1"/>
        <v>0.65</v>
      </c>
      <c r="I40" s="7" t="e">
        <f ca="1">+_xll.RiskPercentile(Main!$S$54,(1-H40))</f>
        <v>#VALUE!</v>
      </c>
      <c r="J40" s="7" t="e">
        <f ca="1">+_xll.RiskPercentile(Main!$S$55,(1-H40))</f>
        <v>#VALUE!</v>
      </c>
      <c r="K40" s="8" t="e">
        <f ca="1">+_xll.RiskPercentile(Main!$S$56,(1-H40))</f>
        <v>#VALUE!</v>
      </c>
      <c r="P40" s="6">
        <f t="shared" si="2"/>
        <v>0.65</v>
      </c>
      <c r="Q40" s="8" t="e">
        <f ca="1">+_xll.RiskPercentile(Main!$Q$64,(1-P40))/1000000</f>
        <v>#VALUE!</v>
      </c>
      <c r="R40" s="15"/>
      <c r="S40" s="6">
        <f t="shared" si="3"/>
        <v>0.65</v>
      </c>
      <c r="T40" s="8" t="e">
        <f ca="1">+_xll.RiskPercentile(Main!$S$64,(1-S40))/1000000</f>
        <v>#VALUE!</v>
      </c>
      <c r="V40" s="181"/>
      <c r="W40" s="6">
        <f t="shared" si="4"/>
        <v>0.65</v>
      </c>
      <c r="X40" s="8" t="e">
        <f ca="1">+_xll.RiskPercentile(Main!$Q$68,(1-W40))/1000000</f>
        <v>#VALUE!</v>
      </c>
      <c r="Y40" s="15"/>
      <c r="Z40" s="6">
        <f t="shared" si="5"/>
        <v>0.65</v>
      </c>
      <c r="AA40" s="8" t="e">
        <f ca="1">+_xll.RiskPercentile(Main!$S$68,(1-Z40))/1000000</f>
        <v>#VALUE!</v>
      </c>
      <c r="AB40" s="181"/>
      <c r="AC40" s="182"/>
      <c r="AD40" s="6">
        <f t="shared" si="6"/>
        <v>0.65</v>
      </c>
      <c r="AE40" s="8" t="e">
        <f ca="1">+_xll.RiskPercentile(Main!$Q$72,(1-AD40))/1000000</f>
        <v>#VALUE!</v>
      </c>
      <c r="AF40" s="15"/>
      <c r="AG40" s="6">
        <f t="shared" si="7"/>
        <v>0.65</v>
      </c>
      <c r="AH40" s="8" t="e">
        <f ca="1">+_xll.RiskPercentile(Main!$S$72,(1-AG40))/1000000</f>
        <v>#VALUE!</v>
      </c>
      <c r="AI40" s="182"/>
      <c r="AJ40" s="182"/>
      <c r="AK40" s="6">
        <f t="shared" si="8"/>
        <v>0.65</v>
      </c>
      <c r="AL40" s="8" t="e">
        <f ca="1">+_xll.RiskPercentile(Main!$Q$79,(1-AK40))/1000000</f>
        <v>#VALUE!</v>
      </c>
      <c r="AM40" s="15"/>
      <c r="AN40" s="6">
        <f t="shared" si="9"/>
        <v>0.65</v>
      </c>
      <c r="AO40" s="8" t="e">
        <f ca="1">+_xll.RiskPercentile(Main!$S$79,(1-AN40))/1000000</f>
        <v>#VALUE!</v>
      </c>
      <c r="AP40" s="182"/>
    </row>
    <row r="41" spans="2:42">
      <c r="B41" s="1"/>
      <c r="C41" s="6">
        <f t="shared" si="0"/>
        <v>0.70000000000000007</v>
      </c>
      <c r="D41" s="7" t="e">
        <f ca="1">+_xll.RiskPercentile(Main!$Q$54,(1-C41))</f>
        <v>#VALUE!</v>
      </c>
      <c r="E41" s="7" t="e">
        <f ca="1">+_xll.RiskPercentile(Main!$Q$55,(1-C41))</f>
        <v>#VALUE!</v>
      </c>
      <c r="F41" s="8" t="e">
        <f ca="1">+_xll.RiskPercentile(Main!$Q$56,(1-C41))</f>
        <v>#VALUE!</v>
      </c>
      <c r="G41" s="15"/>
      <c r="H41" s="6">
        <f t="shared" si="1"/>
        <v>0.70000000000000007</v>
      </c>
      <c r="I41" s="7" t="e">
        <f ca="1">+_xll.RiskPercentile(Main!$S$54,(1-H41))</f>
        <v>#VALUE!</v>
      </c>
      <c r="J41" s="7" t="e">
        <f ca="1">+_xll.RiskPercentile(Main!$S$55,(1-H41))</f>
        <v>#VALUE!</v>
      </c>
      <c r="K41" s="8" t="e">
        <f ca="1">+_xll.RiskPercentile(Main!$S$56,(1-H41))</f>
        <v>#VALUE!</v>
      </c>
      <c r="P41" s="6">
        <f t="shared" si="2"/>
        <v>0.70000000000000007</v>
      </c>
      <c r="Q41" s="8" t="e">
        <f ca="1">+_xll.RiskPercentile(Main!$Q$64,(1-P41))/1000000</f>
        <v>#VALUE!</v>
      </c>
      <c r="R41" s="15"/>
      <c r="S41" s="6">
        <f t="shared" si="3"/>
        <v>0.70000000000000007</v>
      </c>
      <c r="T41" s="8" t="e">
        <f ca="1">+_xll.RiskPercentile(Main!$S$64,(1-S41))/1000000</f>
        <v>#VALUE!</v>
      </c>
      <c r="V41" s="181"/>
      <c r="W41" s="6">
        <f t="shared" si="4"/>
        <v>0.70000000000000007</v>
      </c>
      <c r="X41" s="8" t="e">
        <f ca="1">+_xll.RiskPercentile(Main!$Q$68,(1-W41))/1000000</f>
        <v>#VALUE!</v>
      </c>
      <c r="Y41" s="15"/>
      <c r="Z41" s="6">
        <f t="shared" si="5"/>
        <v>0.70000000000000007</v>
      </c>
      <c r="AA41" s="8" t="e">
        <f ca="1">+_xll.RiskPercentile(Main!$S$68,(1-Z41))/1000000</f>
        <v>#VALUE!</v>
      </c>
      <c r="AB41" s="181"/>
      <c r="AC41" s="182"/>
      <c r="AD41" s="6">
        <f t="shared" si="6"/>
        <v>0.70000000000000007</v>
      </c>
      <c r="AE41" s="8" t="e">
        <f ca="1">+_xll.RiskPercentile(Main!$Q$72,(1-AD41))/1000000</f>
        <v>#VALUE!</v>
      </c>
      <c r="AF41" s="15"/>
      <c r="AG41" s="6">
        <f t="shared" si="7"/>
        <v>0.70000000000000007</v>
      </c>
      <c r="AH41" s="8" t="e">
        <f ca="1">+_xll.RiskPercentile(Main!$S$72,(1-AG41))/1000000</f>
        <v>#VALUE!</v>
      </c>
      <c r="AI41" s="182"/>
      <c r="AJ41" s="182"/>
      <c r="AK41" s="6">
        <f t="shared" si="8"/>
        <v>0.70000000000000007</v>
      </c>
      <c r="AL41" s="8" t="e">
        <f ca="1">+_xll.RiskPercentile(Main!$Q$79,(1-AK41))/1000000</f>
        <v>#VALUE!</v>
      </c>
      <c r="AM41" s="15"/>
      <c r="AN41" s="6">
        <f t="shared" si="9"/>
        <v>0.70000000000000007</v>
      </c>
      <c r="AO41" s="8" t="e">
        <f ca="1">+_xll.RiskPercentile(Main!$S$79,(1-AN41))/1000000</f>
        <v>#VALUE!</v>
      </c>
      <c r="AP41" s="182"/>
    </row>
    <row r="42" spans="2:42">
      <c r="B42" s="1"/>
      <c r="C42" s="6">
        <f t="shared" si="0"/>
        <v>0.75000000000000011</v>
      </c>
      <c r="D42" s="7" t="e">
        <f ca="1">+_xll.RiskPercentile(Main!$Q$54,(1-C42))</f>
        <v>#VALUE!</v>
      </c>
      <c r="E42" s="7" t="e">
        <f ca="1">+_xll.RiskPercentile(Main!$Q$55,(1-C42))</f>
        <v>#VALUE!</v>
      </c>
      <c r="F42" s="8" t="e">
        <f ca="1">+_xll.RiskPercentile(Main!$Q$56,(1-C42))</f>
        <v>#VALUE!</v>
      </c>
      <c r="G42" s="15"/>
      <c r="H42" s="6">
        <f t="shared" si="1"/>
        <v>0.75000000000000011</v>
      </c>
      <c r="I42" s="7" t="e">
        <f ca="1">+_xll.RiskPercentile(Main!$S$54,(1-H42))</f>
        <v>#VALUE!</v>
      </c>
      <c r="J42" s="7" t="e">
        <f ca="1">+_xll.RiskPercentile(Main!$S$55,(1-H42))</f>
        <v>#VALUE!</v>
      </c>
      <c r="K42" s="8" t="e">
        <f ca="1">+_xll.RiskPercentile(Main!$S$56,(1-H42))</f>
        <v>#VALUE!</v>
      </c>
      <c r="P42" s="6">
        <f t="shared" si="2"/>
        <v>0.75000000000000011</v>
      </c>
      <c r="Q42" s="8" t="e">
        <f ca="1">+_xll.RiskPercentile(Main!$Q$64,(1-P42))/1000000</f>
        <v>#VALUE!</v>
      </c>
      <c r="R42" s="15"/>
      <c r="S42" s="6">
        <f t="shared" si="3"/>
        <v>0.75000000000000011</v>
      </c>
      <c r="T42" s="8" t="e">
        <f ca="1">+_xll.RiskPercentile(Main!$S$64,(1-S42))/1000000</f>
        <v>#VALUE!</v>
      </c>
      <c r="V42" s="181"/>
      <c r="W42" s="6">
        <f t="shared" si="4"/>
        <v>0.75000000000000011</v>
      </c>
      <c r="X42" s="8" t="e">
        <f ca="1">+_xll.RiskPercentile(Main!$Q$68,(1-W42))/1000000</f>
        <v>#VALUE!</v>
      </c>
      <c r="Y42" s="15"/>
      <c r="Z42" s="6">
        <f t="shared" si="5"/>
        <v>0.75000000000000011</v>
      </c>
      <c r="AA42" s="8" t="e">
        <f ca="1">+_xll.RiskPercentile(Main!$S$68,(1-Z42))/1000000</f>
        <v>#VALUE!</v>
      </c>
      <c r="AB42" s="181"/>
      <c r="AC42" s="182"/>
      <c r="AD42" s="6">
        <f t="shared" si="6"/>
        <v>0.75000000000000011</v>
      </c>
      <c r="AE42" s="8" t="e">
        <f ca="1">+_xll.RiskPercentile(Main!$Q$72,(1-AD42))/1000000</f>
        <v>#VALUE!</v>
      </c>
      <c r="AF42" s="15"/>
      <c r="AG42" s="6">
        <f t="shared" si="7"/>
        <v>0.75000000000000011</v>
      </c>
      <c r="AH42" s="8" t="e">
        <f ca="1">+_xll.RiskPercentile(Main!$S$72,(1-AG42))/1000000</f>
        <v>#VALUE!</v>
      </c>
      <c r="AI42" s="182"/>
      <c r="AJ42" s="182"/>
      <c r="AK42" s="6">
        <f t="shared" si="8"/>
        <v>0.75000000000000011</v>
      </c>
      <c r="AL42" s="8" t="e">
        <f ca="1">+_xll.RiskPercentile(Main!$Q$79,(1-AK42))/1000000</f>
        <v>#VALUE!</v>
      </c>
      <c r="AM42" s="15"/>
      <c r="AN42" s="6">
        <f t="shared" si="9"/>
        <v>0.75000000000000011</v>
      </c>
      <c r="AO42" s="8" t="e">
        <f ca="1">+_xll.RiskPercentile(Main!$S$79,(1-AN42))/1000000</f>
        <v>#VALUE!</v>
      </c>
      <c r="AP42" s="182"/>
    </row>
    <row r="43" spans="2:42">
      <c r="B43" s="1"/>
      <c r="C43" s="6">
        <f t="shared" si="0"/>
        <v>0.80000000000000016</v>
      </c>
      <c r="D43" s="7" t="e">
        <f ca="1">+_xll.RiskPercentile(Main!$Q$54,(1-C43))</f>
        <v>#VALUE!</v>
      </c>
      <c r="E43" s="7" t="e">
        <f ca="1">+_xll.RiskPercentile(Main!$Q$55,(1-C43))</f>
        <v>#VALUE!</v>
      </c>
      <c r="F43" s="8" t="e">
        <f ca="1">+_xll.RiskPercentile(Main!$Q$56,(1-C43))</f>
        <v>#VALUE!</v>
      </c>
      <c r="G43" s="15"/>
      <c r="H43" s="6">
        <f t="shared" si="1"/>
        <v>0.80000000000000016</v>
      </c>
      <c r="I43" s="7" t="e">
        <f ca="1">+_xll.RiskPercentile(Main!$S$54,(1-H43))</f>
        <v>#VALUE!</v>
      </c>
      <c r="J43" s="7" t="e">
        <f ca="1">+_xll.RiskPercentile(Main!$S$55,(1-H43))</f>
        <v>#VALUE!</v>
      </c>
      <c r="K43" s="8" t="e">
        <f ca="1">+_xll.RiskPercentile(Main!$S$56,(1-H43))</f>
        <v>#VALUE!</v>
      </c>
      <c r="P43" s="6">
        <f t="shared" si="2"/>
        <v>0.80000000000000016</v>
      </c>
      <c r="Q43" s="8" t="e">
        <f ca="1">+_xll.RiskPercentile(Main!$Q$64,(1-P43))/1000000</f>
        <v>#VALUE!</v>
      </c>
      <c r="R43" s="15"/>
      <c r="S43" s="6">
        <f t="shared" si="3"/>
        <v>0.80000000000000016</v>
      </c>
      <c r="T43" s="8" t="e">
        <f ca="1">+_xll.RiskPercentile(Main!$S$64,(1-S43))/1000000</f>
        <v>#VALUE!</v>
      </c>
      <c r="V43" s="181"/>
      <c r="W43" s="6">
        <f t="shared" si="4"/>
        <v>0.80000000000000016</v>
      </c>
      <c r="X43" s="8" t="e">
        <f ca="1">+_xll.RiskPercentile(Main!$Q$68,(1-W43))/1000000</f>
        <v>#VALUE!</v>
      </c>
      <c r="Y43" s="15"/>
      <c r="Z43" s="6">
        <f t="shared" si="5"/>
        <v>0.80000000000000016</v>
      </c>
      <c r="AA43" s="8" t="e">
        <f ca="1">+_xll.RiskPercentile(Main!$S$68,(1-Z43))/1000000</f>
        <v>#VALUE!</v>
      </c>
      <c r="AB43" s="181"/>
      <c r="AC43" s="182"/>
      <c r="AD43" s="6">
        <f t="shared" si="6"/>
        <v>0.80000000000000016</v>
      </c>
      <c r="AE43" s="8" t="e">
        <f ca="1">+_xll.RiskPercentile(Main!$Q$72,(1-AD43))/1000000</f>
        <v>#VALUE!</v>
      </c>
      <c r="AF43" s="15"/>
      <c r="AG43" s="6">
        <f t="shared" si="7"/>
        <v>0.80000000000000016</v>
      </c>
      <c r="AH43" s="8" t="e">
        <f ca="1">+_xll.RiskPercentile(Main!$S$72,(1-AG43))/1000000</f>
        <v>#VALUE!</v>
      </c>
      <c r="AI43" s="182"/>
      <c r="AJ43" s="182"/>
      <c r="AK43" s="6">
        <f t="shared" si="8"/>
        <v>0.80000000000000016</v>
      </c>
      <c r="AL43" s="8" t="e">
        <f ca="1">+_xll.RiskPercentile(Main!$Q$79,(1-AK43))/1000000</f>
        <v>#VALUE!</v>
      </c>
      <c r="AM43" s="15"/>
      <c r="AN43" s="6">
        <f t="shared" si="9"/>
        <v>0.80000000000000016</v>
      </c>
      <c r="AO43" s="8" t="e">
        <f ca="1">+_xll.RiskPercentile(Main!$S$79,(1-AN43))/1000000</f>
        <v>#VALUE!</v>
      </c>
      <c r="AP43" s="182"/>
    </row>
    <row r="44" spans="2:42">
      <c r="B44" s="1"/>
      <c r="C44" s="6">
        <f t="shared" si="0"/>
        <v>0.8500000000000002</v>
      </c>
      <c r="D44" s="7" t="e">
        <f ca="1">+_xll.RiskPercentile(Main!$Q$54,(1-C44))</f>
        <v>#VALUE!</v>
      </c>
      <c r="E44" s="7" t="e">
        <f ca="1">+_xll.RiskPercentile(Main!$Q$55,(1-C44))</f>
        <v>#VALUE!</v>
      </c>
      <c r="F44" s="8" t="e">
        <f ca="1">+_xll.RiskPercentile(Main!$Q$56,(1-C44))</f>
        <v>#VALUE!</v>
      </c>
      <c r="G44" s="15"/>
      <c r="H44" s="6">
        <f t="shared" si="1"/>
        <v>0.8500000000000002</v>
      </c>
      <c r="I44" s="7" t="e">
        <f ca="1">+_xll.RiskPercentile(Main!$S$54,(1-H44))</f>
        <v>#VALUE!</v>
      </c>
      <c r="J44" s="7" t="e">
        <f ca="1">+_xll.RiskPercentile(Main!$S$55,(1-H44))</f>
        <v>#VALUE!</v>
      </c>
      <c r="K44" s="8" t="e">
        <f ca="1">+_xll.RiskPercentile(Main!$S$56,(1-H44))</f>
        <v>#VALUE!</v>
      </c>
      <c r="P44" s="6">
        <f t="shared" si="2"/>
        <v>0.8500000000000002</v>
      </c>
      <c r="Q44" s="8" t="e">
        <f ca="1">+_xll.RiskPercentile(Main!$Q$64,(1-P44))/1000000</f>
        <v>#VALUE!</v>
      </c>
      <c r="R44" s="15"/>
      <c r="S44" s="6">
        <f t="shared" si="3"/>
        <v>0.8500000000000002</v>
      </c>
      <c r="T44" s="8" t="e">
        <f ca="1">+_xll.RiskPercentile(Main!$S$64,(1-S44))/1000000</f>
        <v>#VALUE!</v>
      </c>
      <c r="V44" s="181"/>
      <c r="W44" s="6">
        <f t="shared" si="4"/>
        <v>0.8500000000000002</v>
      </c>
      <c r="X44" s="8" t="e">
        <f ca="1">+_xll.RiskPercentile(Main!$Q$68,(1-W44))/1000000</f>
        <v>#VALUE!</v>
      </c>
      <c r="Y44" s="15"/>
      <c r="Z44" s="6">
        <f t="shared" si="5"/>
        <v>0.8500000000000002</v>
      </c>
      <c r="AA44" s="8" t="e">
        <f ca="1">+_xll.RiskPercentile(Main!$S$68,(1-Z44))/1000000</f>
        <v>#VALUE!</v>
      </c>
      <c r="AB44" s="181"/>
      <c r="AC44" s="182"/>
      <c r="AD44" s="6">
        <f t="shared" si="6"/>
        <v>0.8500000000000002</v>
      </c>
      <c r="AE44" s="8" t="e">
        <f ca="1">+_xll.RiskPercentile(Main!$Q$72,(1-AD44))/1000000</f>
        <v>#VALUE!</v>
      </c>
      <c r="AF44" s="15"/>
      <c r="AG44" s="6">
        <f t="shared" si="7"/>
        <v>0.8500000000000002</v>
      </c>
      <c r="AH44" s="8" t="e">
        <f ca="1">+_xll.RiskPercentile(Main!$S$72,(1-AG44))/1000000</f>
        <v>#VALUE!</v>
      </c>
      <c r="AI44" s="182"/>
      <c r="AJ44" s="182"/>
      <c r="AK44" s="6">
        <f t="shared" si="8"/>
        <v>0.8500000000000002</v>
      </c>
      <c r="AL44" s="8" t="e">
        <f ca="1">+_xll.RiskPercentile(Main!$Q$79,(1-AK44))/1000000</f>
        <v>#VALUE!</v>
      </c>
      <c r="AM44" s="15"/>
      <c r="AN44" s="6">
        <f t="shared" si="9"/>
        <v>0.8500000000000002</v>
      </c>
      <c r="AO44" s="8" t="e">
        <f ca="1">+_xll.RiskPercentile(Main!$S$79,(1-AN44))/1000000</f>
        <v>#VALUE!</v>
      </c>
      <c r="AP44" s="182"/>
    </row>
    <row r="45" spans="2:42">
      <c r="B45" s="1"/>
      <c r="C45" s="6">
        <f t="shared" si="0"/>
        <v>0.90000000000000024</v>
      </c>
      <c r="D45" s="7" t="e">
        <f ca="1">+_xll.RiskPercentile(Main!$Q$54,(1-C45))</f>
        <v>#VALUE!</v>
      </c>
      <c r="E45" s="7" t="e">
        <f ca="1">+_xll.RiskPercentile(Main!$Q$55,(1-C45))</f>
        <v>#VALUE!</v>
      </c>
      <c r="F45" s="8" t="e">
        <f ca="1">+_xll.RiskPercentile(Main!$Q$56,(1-C45))</f>
        <v>#VALUE!</v>
      </c>
      <c r="G45" s="15"/>
      <c r="H45" s="6">
        <f t="shared" si="1"/>
        <v>0.90000000000000024</v>
      </c>
      <c r="I45" s="7" t="e">
        <f ca="1">+_xll.RiskPercentile(Main!$S$54,(1-H45))</f>
        <v>#VALUE!</v>
      </c>
      <c r="J45" s="7" t="e">
        <f ca="1">+_xll.RiskPercentile(Main!$S$55,(1-H45))</f>
        <v>#VALUE!</v>
      </c>
      <c r="K45" s="8" t="e">
        <f ca="1">+_xll.RiskPercentile(Main!$S$56,(1-H45))</f>
        <v>#VALUE!</v>
      </c>
      <c r="P45" s="6">
        <f t="shared" si="2"/>
        <v>0.90000000000000024</v>
      </c>
      <c r="Q45" s="8" t="e">
        <f ca="1">+_xll.RiskPercentile(Main!$Q$64,(1-P45))/1000000</f>
        <v>#VALUE!</v>
      </c>
      <c r="R45" s="15"/>
      <c r="S45" s="6">
        <f t="shared" si="3"/>
        <v>0.90000000000000024</v>
      </c>
      <c r="T45" s="8" t="e">
        <f ca="1">+_xll.RiskPercentile(Main!$S$64,(1-S45))/1000000</f>
        <v>#VALUE!</v>
      </c>
      <c r="V45" s="181"/>
      <c r="W45" s="6">
        <f t="shared" si="4"/>
        <v>0.90000000000000024</v>
      </c>
      <c r="X45" s="8" t="e">
        <f ca="1">+_xll.RiskPercentile(Main!$Q$68,(1-W45))/1000000</f>
        <v>#VALUE!</v>
      </c>
      <c r="Y45" s="15"/>
      <c r="Z45" s="6">
        <f t="shared" si="5"/>
        <v>0.90000000000000024</v>
      </c>
      <c r="AA45" s="8" t="e">
        <f ca="1">+_xll.RiskPercentile(Main!$S$68,(1-Z45))/1000000</f>
        <v>#VALUE!</v>
      </c>
      <c r="AB45" s="181"/>
      <c r="AC45" s="182"/>
      <c r="AD45" s="6">
        <f t="shared" si="6"/>
        <v>0.90000000000000024</v>
      </c>
      <c r="AE45" s="8" t="e">
        <f ca="1">+_xll.RiskPercentile(Main!$Q$72,(1-AD45))/1000000</f>
        <v>#VALUE!</v>
      </c>
      <c r="AF45" s="15"/>
      <c r="AG45" s="6">
        <f t="shared" si="7"/>
        <v>0.90000000000000024</v>
      </c>
      <c r="AH45" s="8" t="e">
        <f ca="1">+_xll.RiskPercentile(Main!$S$72,(1-AG45))/1000000</f>
        <v>#VALUE!</v>
      </c>
      <c r="AI45" s="182"/>
      <c r="AJ45" s="182"/>
      <c r="AK45" s="6">
        <f t="shared" si="8"/>
        <v>0.90000000000000024</v>
      </c>
      <c r="AL45" s="8" t="e">
        <f ca="1">+_xll.RiskPercentile(Main!$Q$79,(1-AK45))/1000000</f>
        <v>#VALUE!</v>
      </c>
      <c r="AM45" s="15"/>
      <c r="AN45" s="6">
        <f t="shared" si="9"/>
        <v>0.90000000000000024</v>
      </c>
      <c r="AO45" s="8" t="e">
        <f ca="1">+_xll.RiskPercentile(Main!$S$79,(1-AN45))/1000000</f>
        <v>#VALUE!</v>
      </c>
      <c r="AP45" s="182"/>
    </row>
    <row r="46" spans="2:42" ht="13.5" thickBot="1">
      <c r="B46" s="1"/>
      <c r="C46" s="9">
        <f t="shared" si="0"/>
        <v>0.95000000000000029</v>
      </c>
      <c r="D46" s="10" t="e">
        <f ca="1">+_xll.RiskPercentile(Main!$Q$54,(1-C46))</f>
        <v>#VALUE!</v>
      </c>
      <c r="E46" s="10" t="e">
        <f ca="1">+_xll.RiskPercentile(Main!$Q$55,(1-C46))</f>
        <v>#VALUE!</v>
      </c>
      <c r="F46" s="11" t="e">
        <f ca="1">+_xll.RiskPercentile(Main!$Q$56,(1-C46))</f>
        <v>#VALUE!</v>
      </c>
      <c r="G46" s="15"/>
      <c r="H46" s="9">
        <f t="shared" si="1"/>
        <v>0.95000000000000029</v>
      </c>
      <c r="I46" s="10" t="e">
        <f ca="1">+_xll.RiskPercentile(Main!$S$54,(1-H46))</f>
        <v>#VALUE!</v>
      </c>
      <c r="J46" s="10" t="e">
        <f ca="1">+_xll.RiskPercentile(Main!$S$55,(1-H46))</f>
        <v>#VALUE!</v>
      </c>
      <c r="K46" s="11" t="e">
        <f ca="1">+_xll.RiskPercentile(Main!$S$56,(1-H46))</f>
        <v>#VALUE!</v>
      </c>
      <c r="P46" s="9">
        <f t="shared" si="2"/>
        <v>0.95000000000000029</v>
      </c>
      <c r="Q46" s="11" t="e">
        <f ca="1">+_xll.RiskPercentile(Main!$Q$64,(1-P46))/1000000</f>
        <v>#VALUE!</v>
      </c>
      <c r="R46" s="15"/>
      <c r="S46" s="9">
        <f t="shared" si="3"/>
        <v>0.95000000000000029</v>
      </c>
      <c r="T46" s="11" t="e">
        <f ca="1">+_xll.RiskPercentile(Main!$S$64,(1-S46))/1000000</f>
        <v>#VALUE!</v>
      </c>
      <c r="V46" s="181"/>
      <c r="W46" s="9">
        <f t="shared" si="4"/>
        <v>0.95000000000000029</v>
      </c>
      <c r="X46" s="11" t="e">
        <f ca="1">+_xll.RiskPercentile(Main!$Q$68,(1-W46))/1000000</f>
        <v>#VALUE!</v>
      </c>
      <c r="Y46" s="15"/>
      <c r="Z46" s="9">
        <f t="shared" si="5"/>
        <v>0.95000000000000029</v>
      </c>
      <c r="AA46" s="11" t="e">
        <f ca="1">+_xll.RiskPercentile(Main!$S$68,(1-Z46))/1000000</f>
        <v>#VALUE!</v>
      </c>
      <c r="AB46" s="181"/>
      <c r="AC46" s="182"/>
      <c r="AD46" s="9">
        <f t="shared" si="6"/>
        <v>0.95000000000000029</v>
      </c>
      <c r="AE46" s="11" t="e">
        <f ca="1">+_xll.RiskPercentile(Main!$Q$72,(1-AD46))/1000000</f>
        <v>#VALUE!</v>
      </c>
      <c r="AF46" s="15"/>
      <c r="AG46" s="9">
        <f t="shared" si="7"/>
        <v>0.95000000000000029</v>
      </c>
      <c r="AH46" s="11" t="e">
        <f ca="1">+_xll.RiskPercentile(Main!$S$72,(1-AG46))/1000000</f>
        <v>#VALUE!</v>
      </c>
      <c r="AI46" s="182"/>
      <c r="AJ46" s="182"/>
      <c r="AK46" s="9">
        <f t="shared" si="8"/>
        <v>0.95000000000000029</v>
      </c>
      <c r="AL46" s="11" t="e">
        <f ca="1">+_xll.RiskPercentile(Main!$Q$79,(1-AK46))/1000000</f>
        <v>#VALUE!</v>
      </c>
      <c r="AM46" s="15"/>
      <c r="AN46" s="9">
        <f t="shared" si="9"/>
        <v>0.95000000000000029</v>
      </c>
      <c r="AO46" s="11" t="e">
        <f ca="1">+_xll.RiskPercentile(Main!$S$79,(1-AN46))/1000000</f>
        <v>#VALUE!</v>
      </c>
      <c r="AP46" s="182"/>
    </row>
    <row r="47" spans="2:42" ht="13.5" thickTop="1">
      <c r="P47" s="91" t="s">
        <v>57</v>
      </c>
      <c r="Q47" s="181"/>
      <c r="R47" s="181"/>
      <c r="S47" s="91" t="s">
        <v>42</v>
      </c>
      <c r="U47" s="181"/>
      <c r="V47" s="181"/>
      <c r="W47" s="91" t="s">
        <v>57</v>
      </c>
      <c r="X47" s="181"/>
      <c r="Y47" s="181"/>
      <c r="Z47" s="91" t="s">
        <v>42</v>
      </c>
      <c r="AA47" s="181"/>
      <c r="AB47" s="181"/>
      <c r="AC47" s="182"/>
      <c r="AD47" s="91" t="s">
        <v>57</v>
      </c>
      <c r="AE47" s="182"/>
      <c r="AF47" s="182"/>
      <c r="AG47" s="91" t="s">
        <v>42</v>
      </c>
      <c r="AH47" s="182"/>
      <c r="AI47" s="182"/>
      <c r="AJ47" s="182"/>
      <c r="AK47" s="91" t="s">
        <v>57</v>
      </c>
      <c r="AL47" s="182"/>
      <c r="AM47" s="182"/>
      <c r="AN47" s="91" t="s">
        <v>42</v>
      </c>
      <c r="AO47" s="182"/>
      <c r="AP47" s="182"/>
    </row>
    <row r="48" spans="2:42">
      <c r="D48" s="16" t="e">
        <f ca="1">+IF(D70=0,0,D52/D70)</f>
        <v>#VALUE!</v>
      </c>
      <c r="E48" s="16" t="e">
        <f ca="1">+IF(E52=E70,0,E52/E70)</f>
        <v>#VALUE!</v>
      </c>
      <c r="F48" s="16" t="e">
        <f ca="1">+IF(F70=0,0,F52/F70)</f>
        <v>#VALUE!</v>
      </c>
      <c r="P48" s="181"/>
      <c r="Q48" s="181"/>
      <c r="R48" s="181"/>
      <c r="S48" s="181"/>
      <c r="T48" s="181"/>
      <c r="U48" s="181"/>
      <c r="V48" s="181"/>
    </row>
    <row r="49" spans="3:22" ht="13.5" thickBot="1">
      <c r="P49" s="181"/>
      <c r="Q49" s="181"/>
      <c r="R49" s="181"/>
      <c r="S49" s="181"/>
      <c r="T49" s="181"/>
      <c r="U49" s="181"/>
      <c r="V49" s="181"/>
    </row>
    <row r="50" spans="3:22" ht="13.5" thickTop="1">
      <c r="C50" s="5" t="s">
        <v>0</v>
      </c>
      <c r="D50" s="61" t="s">
        <v>10</v>
      </c>
      <c r="E50" s="61" t="s">
        <v>11</v>
      </c>
      <c r="F50" s="62" t="s">
        <v>29</v>
      </c>
      <c r="H50" s="5" t="s">
        <v>0</v>
      </c>
      <c r="I50" s="61" t="s">
        <v>10</v>
      </c>
      <c r="J50" s="61" t="s">
        <v>11</v>
      </c>
      <c r="K50" s="62" t="s">
        <v>29</v>
      </c>
      <c r="P50" s="181"/>
      <c r="Q50" s="181"/>
      <c r="R50" s="181"/>
      <c r="S50" s="181"/>
      <c r="T50" s="181"/>
      <c r="U50" s="181"/>
      <c r="V50" s="181"/>
    </row>
    <row r="51" spans="3:22">
      <c r="C51" s="54"/>
      <c r="D51" s="55"/>
      <c r="E51" s="55"/>
      <c r="F51" s="56"/>
      <c r="H51" s="54"/>
      <c r="I51" s="55"/>
      <c r="J51" s="55"/>
      <c r="K51" s="56"/>
      <c r="P51" s="181"/>
      <c r="Q51" s="181"/>
      <c r="R51" s="181"/>
      <c r="S51" s="181"/>
      <c r="T51" s="181"/>
      <c r="U51" s="181"/>
      <c r="V51" s="181"/>
    </row>
    <row r="52" spans="3:22">
      <c r="C52" s="6">
        <v>0.05</v>
      </c>
      <c r="D52" s="7" t="e">
        <f ca="1">+_xll.RiskPercentile(Main!$Q$50,(1-C52))</f>
        <v>#VALUE!</v>
      </c>
      <c r="E52" s="7" t="e">
        <f ca="1">+_xll.RiskPercentile(Main!$Q$51,(1-C52))</f>
        <v>#VALUE!</v>
      </c>
      <c r="F52" s="8" t="e">
        <f ca="1">+_xll.RiskPercentile(Main!$Q$52,(1-C52))</f>
        <v>#VALUE!</v>
      </c>
      <c r="H52" s="6">
        <v>0.05</v>
      </c>
      <c r="I52" s="7" t="e">
        <f ca="1">+_xll.RiskPercentile(Main!$S$50,(1-H52))</f>
        <v>#VALUE!</v>
      </c>
      <c r="J52" s="7" t="e">
        <f ca="1">+_xll.RiskPercentile(Main!$S$51,(1-H52))</f>
        <v>#VALUE!</v>
      </c>
      <c r="K52" s="8" t="e">
        <f ca="1">+_xll.RiskPercentile(Main!$S$52,(1-H52))</f>
        <v>#VALUE!</v>
      </c>
      <c r="P52" s="181"/>
      <c r="Q52" s="181"/>
      <c r="R52" s="181"/>
      <c r="S52" s="181"/>
      <c r="T52" s="181"/>
      <c r="U52" s="181"/>
      <c r="V52" s="181"/>
    </row>
    <row r="53" spans="3:22">
      <c r="C53" s="6">
        <f>+C52+0.05</f>
        <v>0.1</v>
      </c>
      <c r="D53" s="7" t="e">
        <f ca="1">+_xll.RiskPercentile(Main!$Q$50,(1-C53))</f>
        <v>#VALUE!</v>
      </c>
      <c r="E53" s="7" t="e">
        <f ca="1">+_xll.RiskPercentile(Main!$Q$51,(1-C53))</f>
        <v>#VALUE!</v>
      </c>
      <c r="F53" s="8" t="e">
        <f ca="1">+_xll.RiskPercentile(Main!$Q$52,(1-C53))</f>
        <v>#VALUE!</v>
      </c>
      <c r="H53" s="6">
        <f>+H52+0.05</f>
        <v>0.1</v>
      </c>
      <c r="I53" s="7" t="e">
        <f ca="1">+_xll.RiskPercentile(Main!$S$50,(1-H53))</f>
        <v>#VALUE!</v>
      </c>
      <c r="J53" s="7" t="e">
        <f ca="1">+_xll.RiskPercentile(Main!$S$51,(1-H53))</f>
        <v>#VALUE!</v>
      </c>
      <c r="K53" s="8" t="e">
        <f ca="1">+_xll.RiskPercentile(Main!$S$52,(1-H53))</f>
        <v>#VALUE!</v>
      </c>
      <c r="P53" s="181"/>
      <c r="Q53" s="181"/>
      <c r="R53" s="181"/>
      <c r="S53" s="181"/>
      <c r="T53" s="181"/>
      <c r="U53" s="181"/>
      <c r="V53" s="181"/>
    </row>
    <row r="54" spans="3:22">
      <c r="C54" s="6">
        <f t="shared" ref="C54:C70" si="10">+C53+0.05</f>
        <v>0.15000000000000002</v>
      </c>
      <c r="D54" s="7" t="e">
        <f ca="1">+_xll.RiskPercentile(Main!$Q$50,(1-C54))</f>
        <v>#VALUE!</v>
      </c>
      <c r="E54" s="7" t="e">
        <f ca="1">+_xll.RiskPercentile(Main!$Q$51,(1-C54))</f>
        <v>#VALUE!</v>
      </c>
      <c r="F54" s="8" t="e">
        <f ca="1">+_xll.RiskPercentile(Main!$Q$52,(1-C54))</f>
        <v>#VALUE!</v>
      </c>
      <c r="H54" s="6">
        <f t="shared" ref="H54:H70" si="11">+H53+0.05</f>
        <v>0.15000000000000002</v>
      </c>
      <c r="I54" s="7" t="e">
        <f ca="1">+_xll.RiskPercentile(Main!$S$50,(1-H54))</f>
        <v>#VALUE!</v>
      </c>
      <c r="J54" s="7" t="e">
        <f ca="1">+_xll.RiskPercentile(Main!$S$51,(1-H54))</f>
        <v>#VALUE!</v>
      </c>
      <c r="K54" s="8" t="e">
        <f ca="1">+_xll.RiskPercentile(Main!$S$52,(1-H54))</f>
        <v>#VALUE!</v>
      </c>
      <c r="P54" s="181"/>
      <c r="Q54" s="181"/>
      <c r="R54" s="181"/>
      <c r="S54" s="181"/>
      <c r="T54" s="181"/>
      <c r="U54" s="181"/>
      <c r="V54" s="181"/>
    </row>
    <row r="55" spans="3:22">
      <c r="C55" s="6">
        <f t="shared" si="10"/>
        <v>0.2</v>
      </c>
      <c r="D55" s="7" t="e">
        <f ca="1">+_xll.RiskPercentile(Main!$Q$50,(1-C55))</f>
        <v>#VALUE!</v>
      </c>
      <c r="E55" s="7" t="e">
        <f ca="1">+_xll.RiskPercentile(Main!$Q$51,(1-C55))</f>
        <v>#VALUE!</v>
      </c>
      <c r="F55" s="8" t="e">
        <f ca="1">+_xll.RiskPercentile(Main!$Q$52,(1-C55))</f>
        <v>#VALUE!</v>
      </c>
      <c r="G55" s="225" t="s">
        <v>59</v>
      </c>
      <c r="H55" s="6">
        <f t="shared" si="11"/>
        <v>0.2</v>
      </c>
      <c r="I55" s="7" t="e">
        <f ca="1">+_xll.RiskPercentile(Main!$S$50,(1-H55))</f>
        <v>#VALUE!</v>
      </c>
      <c r="J55" s="7" t="e">
        <f ca="1">+_xll.RiskPercentile(Main!$S$51,(1-H55))</f>
        <v>#VALUE!</v>
      </c>
      <c r="K55" s="8" t="e">
        <f ca="1">+_xll.RiskPercentile(Main!$S$52,(1-H55))</f>
        <v>#VALUE!</v>
      </c>
      <c r="P55" s="181"/>
      <c r="Q55" s="181"/>
      <c r="R55" s="181"/>
      <c r="S55" s="181"/>
      <c r="T55" s="181"/>
      <c r="U55" s="181"/>
      <c r="V55" s="226"/>
    </row>
    <row r="56" spans="3:22" ht="12.75" customHeight="1">
      <c r="C56" s="6">
        <f t="shared" si="10"/>
        <v>0.25</v>
      </c>
      <c r="D56" s="7" t="e">
        <f ca="1">+_xll.RiskPercentile(Main!$Q$50,(1-C56))</f>
        <v>#VALUE!</v>
      </c>
      <c r="E56" s="7" t="e">
        <f ca="1">+_xll.RiskPercentile(Main!$Q$51,(1-C56))</f>
        <v>#VALUE!</v>
      </c>
      <c r="F56" s="8" t="e">
        <f ca="1">+_xll.RiskPercentile(Main!$Q$52,(1-C56))</f>
        <v>#VALUE!</v>
      </c>
      <c r="G56" s="225"/>
      <c r="H56" s="6">
        <f t="shared" si="11"/>
        <v>0.25</v>
      </c>
      <c r="I56" s="7" t="e">
        <f ca="1">+_xll.RiskPercentile(Main!$S$50,(1-H56))</f>
        <v>#VALUE!</v>
      </c>
      <c r="J56" s="7" t="e">
        <f ca="1">+_xll.RiskPercentile(Main!$S$51,(1-H56))</f>
        <v>#VALUE!</v>
      </c>
      <c r="K56" s="8" t="e">
        <f ca="1">+_xll.RiskPercentile(Main!$S$52,(1-H56))</f>
        <v>#VALUE!</v>
      </c>
      <c r="P56" s="181"/>
      <c r="Q56" s="181"/>
      <c r="R56" s="181"/>
      <c r="S56" s="181"/>
      <c r="T56" s="181"/>
      <c r="U56" s="181"/>
      <c r="V56" s="226"/>
    </row>
    <row r="57" spans="3:22" ht="12.75" customHeight="1">
      <c r="C57" s="6">
        <f t="shared" si="10"/>
        <v>0.3</v>
      </c>
      <c r="D57" s="7" t="e">
        <f ca="1">+_xll.RiskPercentile(Main!$Q$50,(1-C57))</f>
        <v>#VALUE!</v>
      </c>
      <c r="E57" s="7" t="e">
        <f ca="1">+_xll.RiskPercentile(Main!$Q$51,(1-C57))</f>
        <v>#VALUE!</v>
      </c>
      <c r="F57" s="8" t="e">
        <f ca="1">+_xll.RiskPercentile(Main!$Q$52,(1-C57))</f>
        <v>#VALUE!</v>
      </c>
      <c r="G57" s="225"/>
      <c r="H57" s="6">
        <f t="shared" si="11"/>
        <v>0.3</v>
      </c>
      <c r="I57" s="7" t="e">
        <f ca="1">+_xll.RiskPercentile(Main!$S$50,(1-H57))</f>
        <v>#VALUE!</v>
      </c>
      <c r="J57" s="7" t="e">
        <f ca="1">+_xll.RiskPercentile(Main!$S$51,(1-H57))</f>
        <v>#VALUE!</v>
      </c>
      <c r="K57" s="8" t="e">
        <f ca="1">+_xll.RiskPercentile(Main!$S$52,(1-H57))</f>
        <v>#VALUE!</v>
      </c>
      <c r="P57" s="181"/>
      <c r="Q57" s="181"/>
      <c r="R57" s="181"/>
      <c r="S57" s="181"/>
      <c r="T57" s="181"/>
      <c r="U57" s="181"/>
      <c r="V57" s="226"/>
    </row>
    <row r="58" spans="3:22" ht="12.75" customHeight="1">
      <c r="C58" s="6">
        <f t="shared" si="10"/>
        <v>0.35</v>
      </c>
      <c r="D58" s="7" t="e">
        <f ca="1">+_xll.RiskPercentile(Main!$Q$50,(1-C58))</f>
        <v>#VALUE!</v>
      </c>
      <c r="E58" s="7" t="e">
        <f ca="1">+_xll.RiskPercentile(Main!$Q$51,(1-C58))</f>
        <v>#VALUE!</v>
      </c>
      <c r="F58" s="8" t="e">
        <f ca="1">+_xll.RiskPercentile(Main!$Q$52,(1-C58))</f>
        <v>#VALUE!</v>
      </c>
      <c r="G58" s="225"/>
      <c r="H58" s="6">
        <f t="shared" si="11"/>
        <v>0.35</v>
      </c>
      <c r="I58" s="7" t="e">
        <f ca="1">+_xll.RiskPercentile(Main!$S$50,(1-H58))</f>
        <v>#VALUE!</v>
      </c>
      <c r="J58" s="7" t="e">
        <f ca="1">+_xll.RiskPercentile(Main!$S$51,(1-H58))</f>
        <v>#VALUE!</v>
      </c>
      <c r="K58" s="8" t="e">
        <f ca="1">+_xll.RiskPercentile(Main!$S$52,(1-H58))</f>
        <v>#VALUE!</v>
      </c>
      <c r="P58" s="181"/>
      <c r="Q58" s="181"/>
      <c r="R58" s="181"/>
      <c r="S58" s="181"/>
      <c r="T58" s="181"/>
      <c r="U58" s="181"/>
      <c r="V58" s="226"/>
    </row>
    <row r="59" spans="3:22" ht="12.75" customHeight="1">
      <c r="C59" s="6">
        <f t="shared" si="10"/>
        <v>0.39999999999999997</v>
      </c>
      <c r="D59" s="7" t="e">
        <f ca="1">+_xll.RiskPercentile(Main!$Q$50,(1-C59))</f>
        <v>#VALUE!</v>
      </c>
      <c r="E59" s="7" t="e">
        <f ca="1">+_xll.RiskPercentile(Main!$Q$51,(1-C59))</f>
        <v>#VALUE!</v>
      </c>
      <c r="F59" s="8" t="e">
        <f ca="1">+_xll.RiskPercentile(Main!$Q$52,(1-C59))</f>
        <v>#VALUE!</v>
      </c>
      <c r="G59" s="225"/>
      <c r="H59" s="6">
        <f t="shared" si="11"/>
        <v>0.39999999999999997</v>
      </c>
      <c r="I59" s="7" t="e">
        <f ca="1">+_xll.RiskPercentile(Main!$S$50,(1-H59))</f>
        <v>#VALUE!</v>
      </c>
      <c r="J59" s="7" t="e">
        <f ca="1">+_xll.RiskPercentile(Main!$S$51,(1-H59))</f>
        <v>#VALUE!</v>
      </c>
      <c r="K59" s="8" t="e">
        <f ca="1">+_xll.RiskPercentile(Main!$S$52,(1-H59))</f>
        <v>#VALUE!</v>
      </c>
      <c r="P59" s="181"/>
      <c r="Q59" s="181"/>
      <c r="R59" s="181"/>
      <c r="S59" s="181"/>
      <c r="T59" s="181"/>
      <c r="U59" s="181"/>
      <c r="V59" s="226"/>
    </row>
    <row r="60" spans="3:22" ht="12.75" customHeight="1">
      <c r="C60" s="6">
        <f t="shared" si="10"/>
        <v>0.44999999999999996</v>
      </c>
      <c r="D60" s="7" t="e">
        <f ca="1">+_xll.RiskPercentile(Main!$Q$50,(1-C60))</f>
        <v>#VALUE!</v>
      </c>
      <c r="E60" s="7" t="e">
        <f ca="1">+_xll.RiskPercentile(Main!$Q$51,(1-C60))</f>
        <v>#VALUE!</v>
      </c>
      <c r="F60" s="8" t="e">
        <f ca="1">+_xll.RiskPercentile(Main!$Q$52,(1-C60))</f>
        <v>#VALUE!</v>
      </c>
      <c r="H60" s="6">
        <f t="shared" si="11"/>
        <v>0.44999999999999996</v>
      </c>
      <c r="I60" s="7" t="e">
        <f ca="1">+_xll.RiskPercentile(Main!$S$50,(1-H60))</f>
        <v>#VALUE!</v>
      </c>
      <c r="J60" s="7" t="e">
        <f ca="1">+_xll.RiskPercentile(Main!$S$51,(1-H60))</f>
        <v>#VALUE!</v>
      </c>
      <c r="K60" s="8" t="e">
        <f ca="1">+_xll.RiskPercentile(Main!$S$52,(1-H60))</f>
        <v>#VALUE!</v>
      </c>
      <c r="P60" s="181"/>
      <c r="Q60" s="181"/>
      <c r="R60" s="181"/>
      <c r="S60" s="181"/>
      <c r="T60" s="181"/>
      <c r="U60" s="181"/>
      <c r="V60" s="181"/>
    </row>
    <row r="61" spans="3:22">
      <c r="C61" s="6">
        <f t="shared" si="10"/>
        <v>0.49999999999999994</v>
      </c>
      <c r="D61" s="7" t="e">
        <f ca="1">+_xll.RiskPercentile(Main!$Q$50,(1-C61))</f>
        <v>#VALUE!</v>
      </c>
      <c r="E61" s="7" t="e">
        <f ca="1">+_xll.RiskPercentile(Main!$Q$51,(1-C61))</f>
        <v>#VALUE!</v>
      </c>
      <c r="F61" s="8" t="e">
        <f ca="1">+_xll.RiskPercentile(Main!$Q$52,(1-C61))</f>
        <v>#VALUE!</v>
      </c>
      <c r="H61" s="6">
        <f t="shared" si="11"/>
        <v>0.49999999999999994</v>
      </c>
      <c r="I61" s="7" t="e">
        <f ca="1">+_xll.RiskPercentile(Main!$S$50,(1-H61))</f>
        <v>#VALUE!</v>
      </c>
      <c r="J61" s="7" t="e">
        <f ca="1">+_xll.RiskPercentile(Main!$S$51,(1-H61))</f>
        <v>#VALUE!</v>
      </c>
      <c r="K61" s="8" t="e">
        <f ca="1">+_xll.RiskPercentile(Main!$S$52,(1-H61))</f>
        <v>#VALUE!</v>
      </c>
      <c r="P61" s="181"/>
      <c r="Q61" s="181"/>
      <c r="R61" s="181"/>
      <c r="S61" s="181"/>
      <c r="T61" s="181"/>
      <c r="U61" s="181"/>
      <c r="V61" s="181"/>
    </row>
    <row r="62" spans="3:22">
      <c r="C62" s="6">
        <f t="shared" si="10"/>
        <v>0.54999999999999993</v>
      </c>
      <c r="D62" s="7" t="e">
        <f ca="1">+_xll.RiskPercentile(Main!$Q$50,(1-C62))</f>
        <v>#VALUE!</v>
      </c>
      <c r="E62" s="7" t="e">
        <f ca="1">+_xll.RiskPercentile(Main!$Q$51,(1-C62))</f>
        <v>#VALUE!</v>
      </c>
      <c r="F62" s="8" t="e">
        <f ca="1">+_xll.RiskPercentile(Main!$Q$52,(1-C62))</f>
        <v>#VALUE!</v>
      </c>
      <c r="H62" s="6">
        <f t="shared" si="11"/>
        <v>0.54999999999999993</v>
      </c>
      <c r="I62" s="7" t="e">
        <f ca="1">+_xll.RiskPercentile(Main!$S$50,(1-H62))</f>
        <v>#VALUE!</v>
      </c>
      <c r="J62" s="7" t="e">
        <f ca="1">+_xll.RiskPercentile(Main!$S$51,(1-H62))</f>
        <v>#VALUE!</v>
      </c>
      <c r="K62" s="8" t="e">
        <f ca="1">+_xll.RiskPercentile(Main!$S$52,(1-H62))</f>
        <v>#VALUE!</v>
      </c>
      <c r="P62" s="181"/>
      <c r="Q62" s="181"/>
      <c r="R62" s="181"/>
      <c r="S62" s="181"/>
      <c r="T62" s="181"/>
      <c r="U62" s="181"/>
      <c r="V62" s="181"/>
    </row>
    <row r="63" spans="3:22">
      <c r="C63" s="6">
        <f t="shared" si="10"/>
        <v>0.6</v>
      </c>
      <c r="D63" s="7" t="e">
        <f ca="1">+_xll.RiskPercentile(Main!$Q$50,(1-C63))</f>
        <v>#VALUE!</v>
      </c>
      <c r="E63" s="7" t="e">
        <f ca="1">+_xll.RiskPercentile(Main!$Q$51,(1-C63))</f>
        <v>#VALUE!</v>
      </c>
      <c r="F63" s="8" t="e">
        <f ca="1">+_xll.RiskPercentile(Main!$Q$52,(1-C63))</f>
        <v>#VALUE!</v>
      </c>
      <c r="H63" s="6">
        <f t="shared" si="11"/>
        <v>0.6</v>
      </c>
      <c r="I63" s="7" t="e">
        <f ca="1">+_xll.RiskPercentile(Main!$S$50,(1-H63))</f>
        <v>#VALUE!</v>
      </c>
      <c r="J63" s="7" t="e">
        <f ca="1">+_xll.RiskPercentile(Main!$S$51,(1-H63))</f>
        <v>#VALUE!</v>
      </c>
      <c r="K63" s="8" t="e">
        <f ca="1">+_xll.RiskPercentile(Main!$S$52,(1-H63))</f>
        <v>#VALUE!</v>
      </c>
      <c r="P63" s="181"/>
      <c r="Q63" s="181"/>
      <c r="R63" s="181"/>
      <c r="S63" s="181"/>
      <c r="T63" s="181"/>
      <c r="U63" s="181"/>
      <c r="V63" s="181"/>
    </row>
    <row r="64" spans="3:22">
      <c r="C64" s="6">
        <f t="shared" si="10"/>
        <v>0.65</v>
      </c>
      <c r="D64" s="7" t="e">
        <f ca="1">+_xll.RiskPercentile(Main!$Q$50,(1-C64))</f>
        <v>#VALUE!</v>
      </c>
      <c r="E64" s="7" t="e">
        <f ca="1">+_xll.RiskPercentile(Main!$Q$51,(1-C64))</f>
        <v>#VALUE!</v>
      </c>
      <c r="F64" s="8" t="e">
        <f ca="1">+_xll.RiskPercentile(Main!$Q$52,(1-C64))</f>
        <v>#VALUE!</v>
      </c>
      <c r="H64" s="6">
        <f t="shared" si="11"/>
        <v>0.65</v>
      </c>
      <c r="I64" s="7" t="e">
        <f ca="1">+_xll.RiskPercentile(Main!$S$50,(1-H64))</f>
        <v>#VALUE!</v>
      </c>
      <c r="J64" s="7" t="e">
        <f ca="1">+_xll.RiskPercentile(Main!$S$51,(1-H64))</f>
        <v>#VALUE!</v>
      </c>
      <c r="K64" s="8" t="e">
        <f ca="1">+_xll.RiskPercentile(Main!$S$52,(1-H64))</f>
        <v>#VALUE!</v>
      </c>
      <c r="P64" s="181"/>
      <c r="Q64" s="181"/>
      <c r="R64" s="181"/>
      <c r="S64" s="181"/>
      <c r="T64" s="181"/>
      <c r="U64" s="181"/>
      <c r="V64" s="181"/>
    </row>
    <row r="65" spans="3:22">
      <c r="C65" s="6">
        <f t="shared" si="10"/>
        <v>0.70000000000000007</v>
      </c>
      <c r="D65" s="7" t="e">
        <f ca="1">+_xll.RiskPercentile(Main!$Q$50,(1-C65))</f>
        <v>#VALUE!</v>
      </c>
      <c r="E65" s="7" t="e">
        <f ca="1">+_xll.RiskPercentile(Main!$Q$51,(1-C65))</f>
        <v>#VALUE!</v>
      </c>
      <c r="F65" s="8" t="e">
        <f ca="1">+_xll.RiskPercentile(Main!$Q$52,(1-C65))</f>
        <v>#VALUE!</v>
      </c>
      <c r="H65" s="6">
        <f t="shared" si="11"/>
        <v>0.70000000000000007</v>
      </c>
      <c r="I65" s="7" t="e">
        <f ca="1">+_xll.RiskPercentile(Main!$S$50,(1-H65))</f>
        <v>#VALUE!</v>
      </c>
      <c r="J65" s="7" t="e">
        <f ca="1">+_xll.RiskPercentile(Main!$S$51,(1-H65))</f>
        <v>#VALUE!</v>
      </c>
      <c r="K65" s="8" t="e">
        <f ca="1">+_xll.RiskPercentile(Main!$S$52,(1-H65))</f>
        <v>#VALUE!</v>
      </c>
      <c r="P65" s="181"/>
      <c r="Q65" s="181"/>
      <c r="R65" s="181"/>
      <c r="S65" s="181"/>
      <c r="T65" s="181"/>
      <c r="U65" s="181"/>
      <c r="V65" s="181"/>
    </row>
    <row r="66" spans="3:22">
      <c r="C66" s="6">
        <f t="shared" si="10"/>
        <v>0.75000000000000011</v>
      </c>
      <c r="D66" s="7" t="e">
        <f ca="1">+_xll.RiskPercentile(Main!$Q$50,(1-C66))</f>
        <v>#VALUE!</v>
      </c>
      <c r="E66" s="7" t="e">
        <f ca="1">+_xll.RiskPercentile(Main!$Q$51,(1-C66))</f>
        <v>#VALUE!</v>
      </c>
      <c r="F66" s="8" t="e">
        <f ca="1">+_xll.RiskPercentile(Main!$Q$52,(1-C66))</f>
        <v>#VALUE!</v>
      </c>
      <c r="H66" s="6">
        <f t="shared" si="11"/>
        <v>0.75000000000000011</v>
      </c>
      <c r="I66" s="7" t="e">
        <f ca="1">+_xll.RiskPercentile(Main!$S$50,(1-H66))</f>
        <v>#VALUE!</v>
      </c>
      <c r="J66" s="7" t="e">
        <f ca="1">+_xll.RiskPercentile(Main!$S$51,(1-H66))</f>
        <v>#VALUE!</v>
      </c>
      <c r="K66" s="8" t="e">
        <f ca="1">+_xll.RiskPercentile(Main!$S$52,(1-H66))</f>
        <v>#VALUE!</v>
      </c>
      <c r="P66" s="181"/>
      <c r="Q66" s="181"/>
      <c r="R66" s="181"/>
      <c r="S66" s="181"/>
      <c r="T66" s="181"/>
      <c r="U66" s="181"/>
      <c r="V66" s="181"/>
    </row>
    <row r="67" spans="3:22">
      <c r="C67" s="6">
        <f t="shared" si="10"/>
        <v>0.80000000000000016</v>
      </c>
      <c r="D67" s="7" t="e">
        <f ca="1">+_xll.RiskPercentile(Main!$Q$50,(1-C67))</f>
        <v>#VALUE!</v>
      </c>
      <c r="E67" s="7" t="e">
        <f ca="1">+_xll.RiskPercentile(Main!$Q$51,(1-C67))</f>
        <v>#VALUE!</v>
      </c>
      <c r="F67" s="8" t="e">
        <f ca="1">+_xll.RiskPercentile(Main!$Q$52,(1-C67))</f>
        <v>#VALUE!</v>
      </c>
      <c r="H67" s="6">
        <f t="shared" si="11"/>
        <v>0.80000000000000016</v>
      </c>
      <c r="I67" s="7" t="e">
        <f ca="1">+_xll.RiskPercentile(Main!$S$50,(1-H67))</f>
        <v>#VALUE!</v>
      </c>
      <c r="J67" s="7" t="e">
        <f ca="1">+_xll.RiskPercentile(Main!$S$51,(1-H67))</f>
        <v>#VALUE!</v>
      </c>
      <c r="K67" s="8" t="e">
        <f ca="1">+_xll.RiskPercentile(Main!$S$52,(1-H67))</f>
        <v>#VALUE!</v>
      </c>
      <c r="P67" s="181"/>
      <c r="Q67" s="181"/>
      <c r="R67" s="181"/>
      <c r="S67" s="181"/>
      <c r="T67" s="181"/>
      <c r="U67" s="181"/>
      <c r="V67" s="181"/>
    </row>
    <row r="68" spans="3:22">
      <c r="C68" s="6">
        <f t="shared" si="10"/>
        <v>0.8500000000000002</v>
      </c>
      <c r="D68" s="7" t="e">
        <f ca="1">+_xll.RiskPercentile(Main!$Q$50,(1-C68))</f>
        <v>#VALUE!</v>
      </c>
      <c r="E68" s="7" t="e">
        <f ca="1">+_xll.RiskPercentile(Main!$Q$51,(1-C68))</f>
        <v>#VALUE!</v>
      </c>
      <c r="F68" s="8" t="e">
        <f ca="1">+_xll.RiskPercentile(Main!$Q$52,(1-C68))</f>
        <v>#VALUE!</v>
      </c>
      <c r="H68" s="6">
        <f t="shared" si="11"/>
        <v>0.8500000000000002</v>
      </c>
      <c r="I68" s="7" t="e">
        <f ca="1">+_xll.RiskPercentile(Main!$S$50,(1-H68))</f>
        <v>#VALUE!</v>
      </c>
      <c r="J68" s="7" t="e">
        <f ca="1">+_xll.RiskPercentile(Main!$S$51,(1-H68))</f>
        <v>#VALUE!</v>
      </c>
      <c r="K68" s="8" t="e">
        <f ca="1">+_xll.RiskPercentile(Main!$S$52,(1-H68))</f>
        <v>#VALUE!</v>
      </c>
      <c r="P68" s="181"/>
      <c r="Q68" s="181"/>
      <c r="R68" s="181"/>
      <c r="S68" s="181"/>
      <c r="T68" s="181"/>
      <c r="U68" s="181"/>
      <c r="V68" s="181"/>
    </row>
    <row r="69" spans="3:22">
      <c r="C69" s="6">
        <f t="shared" si="10"/>
        <v>0.90000000000000024</v>
      </c>
      <c r="D69" s="7" t="e">
        <f ca="1">+_xll.RiskPercentile(Main!$Q$50,(1-C69))</f>
        <v>#VALUE!</v>
      </c>
      <c r="E69" s="7" t="e">
        <f ca="1">+_xll.RiskPercentile(Main!$Q$51,(1-C69))</f>
        <v>#VALUE!</v>
      </c>
      <c r="F69" s="8" t="e">
        <f ca="1">+_xll.RiskPercentile(Main!$Q$52,(1-C69))</f>
        <v>#VALUE!</v>
      </c>
      <c r="H69" s="6">
        <f t="shared" si="11"/>
        <v>0.90000000000000024</v>
      </c>
      <c r="I69" s="7" t="e">
        <f ca="1">+_xll.RiskPercentile(Main!$S$50,(1-H69))</f>
        <v>#VALUE!</v>
      </c>
      <c r="J69" s="7" t="e">
        <f ca="1">+_xll.RiskPercentile(Main!$S$51,(1-H69))</f>
        <v>#VALUE!</v>
      </c>
      <c r="K69" s="8" t="e">
        <f ca="1">+_xll.RiskPercentile(Main!$S$52,(1-H69))</f>
        <v>#VALUE!</v>
      </c>
      <c r="P69" s="181"/>
      <c r="Q69" s="181"/>
      <c r="R69" s="181"/>
      <c r="S69" s="181"/>
      <c r="T69" s="181"/>
      <c r="U69" s="181"/>
      <c r="V69" s="181"/>
    </row>
    <row r="70" spans="3:22" ht="13.5" thickBot="1">
      <c r="C70" s="9">
        <f t="shared" si="10"/>
        <v>0.95000000000000029</v>
      </c>
      <c r="D70" s="10" t="e">
        <f ca="1">+_xll.RiskPercentile(Main!$Q$50,(1-C70))</f>
        <v>#VALUE!</v>
      </c>
      <c r="E70" s="10" t="e">
        <f ca="1">+_xll.RiskPercentile(Main!$Q$51,(1-C70))</f>
        <v>#VALUE!</v>
      </c>
      <c r="F70" s="11" t="e">
        <f ca="1">+_xll.RiskPercentile(Main!$Q$52,(1-C70))</f>
        <v>#VALUE!</v>
      </c>
      <c r="H70" s="9">
        <f t="shared" si="11"/>
        <v>0.95000000000000029</v>
      </c>
      <c r="I70" s="10" t="e">
        <f ca="1">+_xll.RiskPercentile(Main!$S$50,(1-H70))</f>
        <v>#VALUE!</v>
      </c>
      <c r="J70" s="10" t="e">
        <f ca="1">+_xll.RiskPercentile(Main!$S$51,(1-H70))</f>
        <v>#VALUE!</v>
      </c>
      <c r="K70" s="11" t="e">
        <f ca="1">+_xll.RiskPercentile(Main!$S$52,(1-H70))</f>
        <v>#VALUE!</v>
      </c>
      <c r="P70" s="181"/>
      <c r="Q70" s="181"/>
      <c r="R70" s="181"/>
      <c r="S70" s="181"/>
      <c r="T70" s="181"/>
      <c r="U70" s="181"/>
      <c r="V70" s="181"/>
    </row>
    <row r="71" spans="3:22" ht="13.5" thickTop="1">
      <c r="P71" s="181"/>
      <c r="Q71" s="181"/>
      <c r="R71" s="181"/>
      <c r="S71" s="181"/>
      <c r="T71" s="181"/>
      <c r="U71" s="181"/>
      <c r="V71" s="181"/>
    </row>
  </sheetData>
  <mergeCells count="8">
    <mergeCell ref="G55:G59"/>
    <mergeCell ref="R33:R37"/>
    <mergeCell ref="V55:V59"/>
    <mergeCell ref="AF33:AF37"/>
    <mergeCell ref="AM33:AM37"/>
    <mergeCell ref="Y33:Y37"/>
    <mergeCell ref="H24:K24"/>
    <mergeCell ref="G33:G37"/>
  </mergeCells>
  <phoneticPr fontId="2" type="noConversion"/>
  <pageMargins left="0.75" right="0.75" top="1" bottom="1" header="0.5" footer="0.5"/>
  <pageSetup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53"/>
  <sheetViews>
    <sheetView workbookViewId="0">
      <selection activeCell="K35" sqref="K35"/>
    </sheetView>
  </sheetViews>
  <sheetFormatPr defaultRowHeight="12.75"/>
  <cols>
    <col min="1" max="1" width="23.7109375" customWidth="1"/>
    <col min="2" max="2" width="21.7109375" customWidth="1"/>
    <col min="3" max="3" width="42.140625" customWidth="1"/>
    <col min="4" max="4" width="15.85546875" customWidth="1"/>
    <col min="5" max="5" width="2.7109375" customWidth="1"/>
    <col min="6" max="9" width="15.85546875" customWidth="1"/>
    <col min="10" max="10" width="3.28515625" customWidth="1"/>
    <col min="11" max="11" width="15.85546875" customWidth="1"/>
  </cols>
  <sheetData>
    <row r="1" spans="1:11" ht="16.5" customHeight="1" thickBo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3.5" customHeight="1" thickBot="1">
      <c r="A2" s="1"/>
      <c r="F2" s="1"/>
      <c r="I2" s="217" t="str">
        <f>+Main!I2</f>
        <v>version 1.0 - February 2, 2015</v>
      </c>
      <c r="J2" s="218"/>
      <c r="K2" s="219"/>
    </row>
    <row r="3" spans="1:11" ht="13.5" customHeight="1" thickBot="1">
      <c r="A3" s="1"/>
      <c r="D3" s="1"/>
      <c r="E3" s="125"/>
      <c r="F3" s="125"/>
      <c r="G3" s="125"/>
      <c r="H3" s="125"/>
      <c r="I3" s="87"/>
      <c r="J3" s="87"/>
      <c r="K3" s="87"/>
    </row>
    <row r="4" spans="1:11" ht="13.5" customHeight="1" thickBot="1">
      <c r="A4" s="101" t="s">
        <v>60</v>
      </c>
      <c r="B4" s="214" t="str">
        <f>IF(Main!B4="", "", Main!B4)</f>
        <v/>
      </c>
      <c r="C4" s="215"/>
      <c r="D4" s="215"/>
      <c r="E4" s="215"/>
      <c r="F4" s="215"/>
      <c r="G4" s="215"/>
      <c r="H4" s="216"/>
      <c r="I4" s="125"/>
      <c r="J4" s="58" t="s">
        <v>19</v>
      </c>
      <c r="K4" s="127" t="str">
        <f>IF(Main!K4="", "", Main!K4)</f>
        <v/>
      </c>
    </row>
    <row r="5" spans="1:11" ht="13.5" customHeight="1">
      <c r="A5" s="58"/>
      <c r="B5" s="51"/>
      <c r="C5" s="51"/>
      <c r="D5" s="51"/>
      <c r="E5" s="51"/>
      <c r="F5" s="51"/>
      <c r="G5" s="68"/>
      <c r="H5" s="68"/>
      <c r="I5" s="125"/>
      <c r="J5" s="125"/>
      <c r="K5" s="1"/>
    </row>
    <row r="6" spans="1:11" ht="13.5" customHeight="1" thickBot="1">
      <c r="A6" s="58"/>
      <c r="B6" s="59" t="s">
        <v>20</v>
      </c>
      <c r="C6" s="60" t="s">
        <v>21</v>
      </c>
      <c r="D6" s="51"/>
      <c r="E6" s="51"/>
      <c r="F6" s="51"/>
      <c r="G6" s="68"/>
      <c r="H6" s="68"/>
      <c r="I6" s="125"/>
      <c r="J6" s="125"/>
      <c r="K6" s="1"/>
    </row>
    <row r="7" spans="1:11" ht="13.5" customHeight="1" thickBot="1">
      <c r="A7" s="58" t="s">
        <v>22</v>
      </c>
      <c r="B7" s="82" t="str">
        <f>IF(Main!B7="", "", Main!B7)</f>
        <v/>
      </c>
      <c r="C7" s="208" t="str">
        <f>IF(Main!C7="", "", Main!C7)</f>
        <v/>
      </c>
      <c r="D7" s="209"/>
      <c r="E7" s="209"/>
      <c r="F7" s="209"/>
      <c r="G7" s="209"/>
      <c r="H7" s="210"/>
      <c r="I7" s="125"/>
      <c r="J7" s="125"/>
      <c r="K7" s="79" t="s">
        <v>33</v>
      </c>
    </row>
    <row r="8" spans="1:11" ht="13.5" customHeight="1" thickBot="1">
      <c r="A8" s="58" t="s">
        <v>23</v>
      </c>
      <c r="B8" s="83" t="str">
        <f>IF(Main!B8="", "", Main!B8)</f>
        <v/>
      </c>
      <c r="C8" s="211" t="str">
        <f>IF(Main!C8="", "", Main!C8)</f>
        <v/>
      </c>
      <c r="D8" s="212"/>
      <c r="E8" s="212"/>
      <c r="F8" s="212"/>
      <c r="G8" s="212"/>
      <c r="H8" s="213"/>
      <c r="I8" s="125"/>
      <c r="J8" s="125"/>
      <c r="K8" s="75" t="str">
        <f>IF(Main!K8="", "", Main!K8)</f>
        <v/>
      </c>
    </row>
    <row r="9" spans="1:11" ht="13.5" customHeight="1">
      <c r="A9" s="58" t="s">
        <v>24</v>
      </c>
      <c r="B9" s="83" t="str">
        <f>IF(Main!B9="", "", Main!B9)</f>
        <v/>
      </c>
      <c r="C9" s="211" t="str">
        <f>IF(Main!C9="", "", Main!C9)</f>
        <v/>
      </c>
      <c r="D9" s="212"/>
      <c r="E9" s="212"/>
      <c r="F9" s="212"/>
      <c r="G9" s="212"/>
      <c r="H9" s="213"/>
      <c r="I9" s="125"/>
      <c r="J9" s="125"/>
      <c r="K9" s="1"/>
    </row>
    <row r="10" spans="1:11" ht="13.5" customHeight="1" thickBot="1">
      <c r="A10" s="58" t="s">
        <v>25</v>
      </c>
      <c r="B10" s="84" t="str">
        <f>IF(Main!B10="", "", Main!B10)</f>
        <v/>
      </c>
      <c r="C10" s="196" t="str">
        <f>IF(Main!C10="", "", Main!C10)</f>
        <v/>
      </c>
      <c r="D10" s="197"/>
      <c r="E10" s="197"/>
      <c r="F10" s="197"/>
      <c r="G10" s="197"/>
      <c r="H10" s="198"/>
      <c r="I10" s="125"/>
      <c r="J10" s="125"/>
      <c r="K10" s="1"/>
    </row>
    <row r="11" spans="1:11" ht="13.5" customHeight="1">
      <c r="A11" s="58"/>
      <c r="B11" s="120"/>
      <c r="C11" s="118"/>
      <c r="D11" s="120"/>
      <c r="E11" s="120"/>
      <c r="F11" s="120"/>
      <c r="G11" s="120"/>
      <c r="H11" s="117"/>
      <c r="I11" s="125"/>
      <c r="J11" s="125"/>
      <c r="K11" s="1"/>
    </row>
    <row r="12" spans="1:11" ht="13.5" customHeight="1" thickBot="1">
      <c r="A12" s="1"/>
      <c r="B12" s="91" t="s">
        <v>90</v>
      </c>
      <c r="C12" s="91" t="s">
        <v>21</v>
      </c>
      <c r="D12" s="91" t="s">
        <v>91</v>
      </c>
      <c r="G12" s="125"/>
      <c r="H12" s="125"/>
      <c r="I12" s="125"/>
      <c r="J12" s="125"/>
      <c r="K12" s="1"/>
    </row>
    <row r="13" spans="1:11" ht="32.25" customHeight="1" thickBot="1">
      <c r="A13" s="119" t="s">
        <v>107</v>
      </c>
      <c r="B13" s="121" t="str">
        <f>IF(Main!B13="", "", Main!B13)</f>
        <v/>
      </c>
      <c r="C13" s="122" t="str">
        <f>IF(Main!C13="", "", Main!C13)</f>
        <v/>
      </c>
      <c r="D13" s="201" t="str">
        <f>IF(Main!D13="", "", Main!D13)</f>
        <v/>
      </c>
      <c r="E13" s="202"/>
      <c r="F13" s="202"/>
      <c r="G13" s="202"/>
      <c r="H13" s="203"/>
      <c r="I13" s="125"/>
      <c r="J13" s="125"/>
      <c r="K13" s="1"/>
    </row>
    <row r="14" spans="1:11" ht="15.75">
      <c r="A14" s="1"/>
      <c r="G14" s="125"/>
      <c r="H14" s="125"/>
      <c r="I14" s="125"/>
      <c r="J14" s="125"/>
      <c r="K14" s="1"/>
    </row>
    <row r="15" spans="1:11" ht="9" customHeight="1">
      <c r="A15" s="1"/>
      <c r="G15" s="125"/>
      <c r="H15" s="125"/>
      <c r="I15" s="125"/>
      <c r="J15" s="125"/>
      <c r="K15" s="1"/>
    </row>
    <row r="16" spans="1:11" ht="15.75">
      <c r="A16" s="1"/>
      <c r="G16" s="125"/>
      <c r="H16" s="125"/>
      <c r="I16" s="125"/>
      <c r="J16" s="125"/>
      <c r="K16" s="1"/>
    </row>
    <row r="17" spans="1:12" ht="17.25" customHeight="1" thickBot="1">
      <c r="A17" s="48" t="s">
        <v>3</v>
      </c>
      <c r="B17" s="49"/>
      <c r="C17" s="49"/>
      <c r="D17" s="48" t="s">
        <v>13</v>
      </c>
      <c r="E17" s="49"/>
      <c r="F17" s="50" t="s">
        <v>15</v>
      </c>
      <c r="G17" s="50" t="s">
        <v>5</v>
      </c>
      <c r="H17" s="50" t="s">
        <v>36</v>
      </c>
      <c r="I17" s="50" t="s">
        <v>16</v>
      </c>
      <c r="J17" s="51"/>
      <c r="K17" s="126" t="s">
        <v>6</v>
      </c>
    </row>
    <row r="18" spans="1:12" ht="13.5" thickBot="1">
      <c r="A18" s="123">
        <v>1</v>
      </c>
      <c r="B18" s="204" t="s">
        <v>41</v>
      </c>
      <c r="C18" s="199"/>
      <c r="D18" s="123" t="s">
        <v>12</v>
      </c>
      <c r="E18" s="20"/>
      <c r="F18" s="24" t="str">
        <f>IF(Main!F18="", "", Main!F18)</f>
        <v/>
      </c>
      <c r="G18" s="24" t="str">
        <f>IF(Main!G18="", "", Main!G18)</f>
        <v/>
      </c>
      <c r="H18" s="128" t="str">
        <f>IF(Main!H18="", "", Main!H18)</f>
        <v/>
      </c>
      <c r="I18" s="24" t="str">
        <f>IF(Main!I18="", "", Main!I18)</f>
        <v/>
      </c>
      <c r="J18" s="26"/>
      <c r="K18" s="132" t="e">
        <f ca="1">IF(Main!K18="", "", Main!K18)</f>
        <v>#VALUE!</v>
      </c>
    </row>
    <row r="19" spans="1:12" ht="9" customHeight="1" thickTop="1" thickBot="1">
      <c r="A19" s="17"/>
      <c r="B19" s="13"/>
      <c r="C19" s="13"/>
      <c r="D19" s="17"/>
      <c r="E19" s="18"/>
      <c r="F19" s="21"/>
      <c r="G19" s="21"/>
      <c r="H19" s="129"/>
      <c r="I19" s="21"/>
      <c r="K19" s="14"/>
    </row>
    <row r="20" spans="1:12" ht="13.5" thickBot="1">
      <c r="A20" s="123">
        <v>2</v>
      </c>
      <c r="B20" s="204" t="s">
        <v>18</v>
      </c>
      <c r="C20" s="199"/>
      <c r="D20" s="123" t="s">
        <v>12</v>
      </c>
      <c r="E20" s="20"/>
      <c r="F20" s="24" t="str">
        <f>IF(Main!F20="", "", Main!F20)</f>
        <v/>
      </c>
      <c r="G20" s="24" t="str">
        <f>IF(Main!G20="", "", Main!G20)</f>
        <v/>
      </c>
      <c r="H20" s="128" t="str">
        <f>IF(Main!H20="", "", Main!H20)</f>
        <v/>
      </c>
      <c r="I20" s="24" t="str">
        <f>IF(Main!I20="", "", Main!I20)</f>
        <v/>
      </c>
      <c r="J20" s="29"/>
      <c r="K20" s="132" t="e">
        <f ca="1">IF(Main!K20="", "", Main!K20)</f>
        <v>#VALUE!</v>
      </c>
      <c r="L20" s="4"/>
    </row>
    <row r="21" spans="1:12" ht="9" customHeight="1" thickTop="1" thickBot="1">
      <c r="A21" s="17"/>
      <c r="B21" s="18"/>
      <c r="C21" s="18"/>
      <c r="D21" s="17"/>
      <c r="E21" s="18"/>
      <c r="F21" s="30"/>
      <c r="G21" s="30"/>
      <c r="H21" s="130"/>
      <c r="I21" s="30"/>
      <c r="J21" s="29"/>
      <c r="K21" s="31"/>
      <c r="L21" s="4"/>
    </row>
    <row r="22" spans="1:12" ht="13.5" customHeight="1" thickBot="1">
      <c r="A22" s="123">
        <v>3</v>
      </c>
      <c r="B22" s="204" t="s">
        <v>17</v>
      </c>
      <c r="C22" s="199"/>
      <c r="D22" s="123" t="s">
        <v>12</v>
      </c>
      <c r="E22" s="20"/>
      <c r="F22" s="167" t="str">
        <f>IF(Main!F22="", "", Main!F22)</f>
        <v/>
      </c>
      <c r="G22" s="167" t="str">
        <f>IF(Main!G22="", "", Main!G22)</f>
        <v/>
      </c>
      <c r="H22" s="168" t="str">
        <f>IF(Main!H22="", "", Main!H22)</f>
        <v/>
      </c>
      <c r="I22" s="167" t="str">
        <f>IF(Main!I22="", "", Main!I22)</f>
        <v/>
      </c>
      <c r="J22" s="169"/>
      <c r="K22" s="170" t="e">
        <f ca="1">IF(Main!K22="", "", Main!K22)</f>
        <v>#VALUE!</v>
      </c>
    </row>
    <row r="23" spans="1:12" ht="14.25" thickTop="1" thickBot="1">
      <c r="A23" s="17"/>
      <c r="B23" s="18"/>
      <c r="C23" s="18"/>
      <c r="D23" s="17"/>
      <c r="E23" s="18"/>
      <c r="F23" s="30"/>
      <c r="G23" s="30"/>
      <c r="H23" s="130"/>
      <c r="I23" s="30"/>
      <c r="J23" s="29"/>
      <c r="K23" s="31"/>
    </row>
    <row r="24" spans="1:12" ht="13.5" customHeight="1" thickBot="1">
      <c r="A24" s="123">
        <v>4</v>
      </c>
      <c r="B24" s="199" t="s">
        <v>7</v>
      </c>
      <c r="C24" s="199"/>
      <c r="D24" s="123" t="s">
        <v>12</v>
      </c>
      <c r="E24" s="20"/>
      <c r="F24" s="167" t="str">
        <f>IF(Main!F24="", "", Main!F24)</f>
        <v/>
      </c>
      <c r="G24" s="167" t="str">
        <f>IF(Main!G24="", "", Main!G24)</f>
        <v/>
      </c>
      <c r="H24" s="168" t="str">
        <f>IF(Main!H24="", "", Main!H24)</f>
        <v/>
      </c>
      <c r="I24" s="167" t="str">
        <f>IF(Main!I24="", "", Main!I24)</f>
        <v/>
      </c>
      <c r="J24" s="169"/>
      <c r="K24" s="170">
        <f>IF(Main!K24="", "", Main!K24)</f>
        <v>0</v>
      </c>
    </row>
    <row r="25" spans="1:12" ht="9" customHeight="1" thickTop="1">
      <c r="A25" s="12"/>
      <c r="B25" s="12"/>
      <c r="C25" s="12"/>
      <c r="D25" s="12"/>
      <c r="E25" s="13"/>
      <c r="F25" s="43"/>
      <c r="G25" s="43"/>
      <c r="H25" s="131"/>
      <c r="I25" s="43"/>
      <c r="J25" s="29"/>
      <c r="K25" s="47"/>
    </row>
    <row r="26" spans="1:12" ht="14.25" customHeight="1" thickBot="1">
      <c r="A26" s="17"/>
      <c r="B26" s="195" t="s">
        <v>10</v>
      </c>
      <c r="C26" s="195"/>
      <c r="D26" s="17"/>
      <c r="E26" s="18"/>
      <c r="F26" s="30"/>
      <c r="G26" s="30"/>
      <c r="H26" s="130"/>
      <c r="I26" s="30"/>
      <c r="J26" s="29"/>
      <c r="K26" s="31"/>
    </row>
    <row r="27" spans="1:12" ht="13.5" thickBot="1">
      <c r="A27" s="123" t="s">
        <v>1</v>
      </c>
      <c r="B27" s="199" t="s">
        <v>8</v>
      </c>
      <c r="C27" s="199"/>
      <c r="D27" s="123" t="s">
        <v>12</v>
      </c>
      <c r="E27" s="20"/>
      <c r="F27" s="167" t="str">
        <f>IF(Main!F27="", "", Main!F27)</f>
        <v/>
      </c>
      <c r="G27" s="167" t="str">
        <f>IF(Main!G27="", "", Main!G27)</f>
        <v/>
      </c>
      <c r="H27" s="168" t="str">
        <f>IF(Main!H27="", "", Main!H27)</f>
        <v/>
      </c>
      <c r="I27" s="167" t="str">
        <f>IF(Main!I27="", "", Main!I27)</f>
        <v/>
      </c>
      <c r="J27" s="169"/>
      <c r="K27" s="170" t="e">
        <f ca="1">IF(Main!K27="", "", Main!K27)</f>
        <v>#VALUE!</v>
      </c>
    </row>
    <row r="28" spans="1:12" ht="13.5" customHeight="1" thickTop="1" thickBot="1">
      <c r="A28" s="124" t="s">
        <v>9</v>
      </c>
      <c r="B28" s="205" t="s">
        <v>67</v>
      </c>
      <c r="C28" s="206"/>
      <c r="D28" s="123" t="s">
        <v>12</v>
      </c>
      <c r="E28" s="23"/>
      <c r="F28" s="167" t="str">
        <f>IF(Main!F28="", "", Main!F28)</f>
        <v/>
      </c>
      <c r="G28" s="167" t="str">
        <f>IF(Main!G28="", "", Main!G28)</f>
        <v/>
      </c>
      <c r="H28" s="168" t="str">
        <f>IF(Main!H28="", "", Main!H28)</f>
        <v/>
      </c>
      <c r="I28" s="167" t="str">
        <f>IF(Main!I28="", "", Main!I28)</f>
        <v/>
      </c>
      <c r="J28" s="169"/>
      <c r="K28" s="170" t="e">
        <f ca="1">IF(Main!K28="", "", Main!K28)</f>
        <v>#VALUE!</v>
      </c>
    </row>
    <row r="29" spans="1:12" ht="13.5" customHeight="1" thickTop="1" thickBot="1">
      <c r="A29" s="123" t="s">
        <v>61</v>
      </c>
      <c r="B29" s="199" t="s">
        <v>132</v>
      </c>
      <c r="C29" s="199"/>
      <c r="D29" s="123" t="s">
        <v>12</v>
      </c>
      <c r="E29" s="20"/>
      <c r="F29" s="24" t="str">
        <f>IF(Main!F29="", "", Main!F29)</f>
        <v/>
      </c>
      <c r="G29" s="24" t="str">
        <f>IF(Main!G29="", "", Main!G29)</f>
        <v/>
      </c>
      <c r="H29" s="128" t="str">
        <f>IF(Main!H29="", "", Main!H29)</f>
        <v/>
      </c>
      <c r="I29" s="24" t="str">
        <f>IF(Main!I29="", "", Main!I29)</f>
        <v/>
      </c>
      <c r="J29" s="115"/>
      <c r="K29" s="132" t="e">
        <f ca="1">IF(Main!K29="", "", Main!K29)</f>
        <v>#VALUE!</v>
      </c>
    </row>
    <row r="30" spans="1:12" ht="13.5" customHeight="1" thickTop="1" thickBot="1">
      <c r="A30" s="124" t="s">
        <v>62</v>
      </c>
      <c r="B30" s="205" t="s">
        <v>164</v>
      </c>
      <c r="C30" s="206"/>
      <c r="D30" s="123" t="s">
        <v>12</v>
      </c>
      <c r="E30" s="20"/>
      <c r="F30" s="24" t="str">
        <f>IF(Main!F30="", "", Main!F30)</f>
        <v/>
      </c>
      <c r="G30" s="24" t="str">
        <f>IF(Main!G30="", "", Main!G30)</f>
        <v/>
      </c>
      <c r="H30" s="128" t="str">
        <f>IF(Main!H30="", "", Main!H30)</f>
        <v/>
      </c>
      <c r="I30" s="24" t="str">
        <f>IF(Main!I30="", "", Main!I30)</f>
        <v/>
      </c>
      <c r="J30" s="115"/>
      <c r="K30" s="133" t="e">
        <f ca="1">IF(Main!K30="", "", Main!K30)</f>
        <v>#VALUE!</v>
      </c>
    </row>
    <row r="31" spans="1:12" s="186" customFormat="1" ht="13.5" customHeight="1" thickTop="1" thickBot="1">
      <c r="A31" s="185" t="s">
        <v>63</v>
      </c>
      <c r="B31" s="205" t="s">
        <v>166</v>
      </c>
      <c r="C31" s="206"/>
      <c r="D31" s="184" t="s">
        <v>12</v>
      </c>
      <c r="E31" s="20"/>
      <c r="F31" s="24" t="str">
        <f>IF(Main!F31="", "", Main!F31)</f>
        <v/>
      </c>
      <c r="G31" s="24" t="str">
        <f>IF(Main!G31="", "", Main!G31)</f>
        <v/>
      </c>
      <c r="H31" s="128" t="str">
        <f>IF(Main!H31="", "", Main!H31)</f>
        <v/>
      </c>
      <c r="I31" s="24" t="str">
        <f>IF(Main!I31="", "", Main!I31)</f>
        <v/>
      </c>
      <c r="J31" s="115"/>
      <c r="K31" s="133" t="e">
        <f ca="1">IF(Main!K31="", "", Main!K31)</f>
        <v>#VALUE!</v>
      </c>
    </row>
    <row r="32" spans="1:12" ht="14.25" thickTop="1" thickBot="1">
      <c r="A32" s="123" t="s">
        <v>64</v>
      </c>
      <c r="B32" s="204" t="s">
        <v>129</v>
      </c>
      <c r="C32" s="199"/>
      <c r="D32" s="123" t="s">
        <v>12</v>
      </c>
      <c r="E32" s="20"/>
      <c r="F32" s="171" t="str">
        <f>IF(Main!F32="", "", Main!F32)</f>
        <v/>
      </c>
      <c r="G32" s="171" t="str">
        <f>IF(Main!G32="", "", Main!G32)</f>
        <v/>
      </c>
      <c r="H32" s="172" t="str">
        <f>IF(Main!H32="", "", Main!H32)</f>
        <v/>
      </c>
      <c r="I32" s="171" t="str">
        <f>IF(Main!I32="", "", Main!I32)</f>
        <v/>
      </c>
      <c r="J32" s="173"/>
      <c r="K32" s="174" t="e">
        <f ca="1">IF(Main!K32="", "", Main!K32)</f>
        <v>#VALUE!</v>
      </c>
    </row>
    <row r="33" spans="1:11" ht="13.5" customHeight="1" thickTop="1" thickBot="1">
      <c r="A33" s="124" t="s">
        <v>65</v>
      </c>
      <c r="B33" s="205" t="s">
        <v>68</v>
      </c>
      <c r="C33" s="206"/>
      <c r="D33" s="123" t="s">
        <v>12</v>
      </c>
      <c r="E33" s="20"/>
      <c r="F33" s="167" t="str">
        <f>IF(Main!F33="", "", Main!F33)</f>
        <v/>
      </c>
      <c r="G33" s="167" t="str">
        <f>IF(Main!G33="", "", Main!G33)</f>
        <v/>
      </c>
      <c r="H33" s="168" t="str">
        <f>IF(Main!H33="", "", Main!H33)</f>
        <v/>
      </c>
      <c r="I33" s="167" t="str">
        <f>IF(Main!I33="", "", Main!I33)</f>
        <v/>
      </c>
      <c r="J33" s="169"/>
      <c r="K33" s="175" t="e">
        <f ca="1">IF(Main!K33="", "", Main!K33)</f>
        <v>#VALUE!</v>
      </c>
    </row>
    <row r="34" spans="1:11" ht="13.5" customHeight="1" thickTop="1" thickBot="1">
      <c r="A34" s="123" t="s">
        <v>66</v>
      </c>
      <c r="B34" s="204" t="s">
        <v>130</v>
      </c>
      <c r="C34" s="199"/>
      <c r="D34" s="123" t="s">
        <v>12</v>
      </c>
      <c r="E34" s="20"/>
      <c r="F34" s="171" t="str">
        <f>IF(Main!F34="", "", Main!F34)</f>
        <v/>
      </c>
      <c r="G34" s="171" t="str">
        <f>IF(Main!G34="", "", Main!G34)</f>
        <v/>
      </c>
      <c r="H34" s="172" t="str">
        <f>IF(Main!H34="", "", Main!H34)</f>
        <v/>
      </c>
      <c r="I34" s="171" t="str">
        <f>IF(Main!I34="", "", Main!I34)</f>
        <v/>
      </c>
      <c r="J34" s="173"/>
      <c r="K34" s="174" t="e">
        <f ca="1">IF(Main!K34="", "", Main!K34)</f>
        <v>#VALUE!</v>
      </c>
    </row>
    <row r="35" spans="1:11" ht="14.25" thickTop="1" thickBot="1">
      <c r="A35" s="124" t="s">
        <v>163</v>
      </c>
      <c r="B35" s="205" t="s">
        <v>32</v>
      </c>
      <c r="C35" s="206"/>
      <c r="D35" s="123" t="s">
        <v>35</v>
      </c>
      <c r="E35" s="23"/>
      <c r="F35" s="176" t="str">
        <f>IF(Main!F35="", "", Main!F35)</f>
        <v/>
      </c>
      <c r="G35" s="177" t="str">
        <f>IF(Main!G35="", "", Main!G35)</f>
        <v/>
      </c>
      <c r="H35" s="176" t="str">
        <f>IF(Main!H35="", "", Main!H35)</f>
        <v/>
      </c>
      <c r="I35" s="176" t="str">
        <f>IF(Main!I35="", "", Main!I35)</f>
        <v/>
      </c>
      <c r="J35" s="178"/>
      <c r="K35" s="179" t="e">
        <f ca="1">IF(Main!K35="", "", Main!K35)</f>
        <v>#VALUE!</v>
      </c>
    </row>
    <row r="36" spans="1:11" ht="9" customHeight="1" thickTop="1">
      <c r="A36" s="12"/>
      <c r="B36" s="42"/>
      <c r="C36" s="42"/>
      <c r="D36" s="12"/>
      <c r="E36" s="13"/>
      <c r="F36" s="44"/>
      <c r="G36" s="44"/>
      <c r="H36" s="44"/>
      <c r="I36" s="44"/>
      <c r="J36" s="45"/>
      <c r="K36" s="46"/>
    </row>
    <row r="37" spans="1:11" ht="18.75" thickBot="1">
      <c r="A37" s="17"/>
      <c r="B37" s="195" t="s">
        <v>11</v>
      </c>
      <c r="C37" s="195"/>
      <c r="D37" s="17"/>
      <c r="E37" s="18"/>
      <c r="F37" s="30"/>
      <c r="G37" s="30"/>
      <c r="H37" s="30"/>
      <c r="I37" s="30"/>
      <c r="J37" s="29"/>
      <c r="K37" s="31"/>
    </row>
    <row r="38" spans="1:11" ht="13.5" thickBot="1">
      <c r="A38" s="123" t="s">
        <v>2</v>
      </c>
      <c r="B38" s="199" t="s">
        <v>8</v>
      </c>
      <c r="C38" s="199"/>
      <c r="D38" s="123" t="s">
        <v>12</v>
      </c>
      <c r="E38" s="20"/>
      <c r="F38" s="167" t="str">
        <f>IF(Main!F38="", "", Main!F38)</f>
        <v/>
      </c>
      <c r="G38" s="167" t="str">
        <f>IF(Main!G38="", "", Main!G38)</f>
        <v/>
      </c>
      <c r="H38" s="168" t="str">
        <f>IF(Main!H38="", "", Main!H38)</f>
        <v/>
      </c>
      <c r="I38" s="167" t="str">
        <f>IF(Main!I38="", "", Main!I38)</f>
        <v/>
      </c>
      <c r="J38" s="169"/>
      <c r="K38" s="180" t="e">
        <f ca="1">IF(Main!K38="", "", Main!K38)</f>
        <v>#VALUE!</v>
      </c>
    </row>
    <row r="39" spans="1:11" ht="13.5" customHeight="1" thickTop="1" thickBot="1">
      <c r="A39" s="124" t="s">
        <v>14</v>
      </c>
      <c r="B39" s="205" t="s">
        <v>67</v>
      </c>
      <c r="C39" s="206"/>
      <c r="D39" s="123" t="s">
        <v>12</v>
      </c>
      <c r="E39" s="23"/>
      <c r="F39" s="167" t="str">
        <f>IF(Main!F39="", "", Main!F39)</f>
        <v/>
      </c>
      <c r="G39" s="167" t="str">
        <f>IF(Main!G39="", "", Main!G39)</f>
        <v/>
      </c>
      <c r="H39" s="168" t="str">
        <f>IF(Main!H39="", "", Main!H39)</f>
        <v/>
      </c>
      <c r="I39" s="167" t="str">
        <f>IF(Main!I39="", "", Main!I39)</f>
        <v/>
      </c>
      <c r="J39" s="169"/>
      <c r="K39" s="175" t="e">
        <f ca="1">IF(Main!K39="", "", Main!K39)</f>
        <v>#VALUE!</v>
      </c>
    </row>
    <row r="40" spans="1:11" ht="13.5" customHeight="1" thickTop="1" thickBot="1">
      <c r="A40" s="123" t="s">
        <v>71</v>
      </c>
      <c r="B40" s="199" t="s">
        <v>132</v>
      </c>
      <c r="C40" s="199"/>
      <c r="D40" s="123" t="s">
        <v>12</v>
      </c>
      <c r="E40" s="20"/>
      <c r="F40" s="24" t="str">
        <f>IF(Main!F40="", "", Main!F40)</f>
        <v/>
      </c>
      <c r="G40" s="24" t="str">
        <f>IF(Main!G40="", "", Main!G40)</f>
        <v/>
      </c>
      <c r="H40" s="128" t="str">
        <f>IF(Main!H40="", "", Main!H40)</f>
        <v/>
      </c>
      <c r="I40" s="24" t="str">
        <f>IF(Main!I40="", "", Main!I40)</f>
        <v/>
      </c>
      <c r="J40" s="115"/>
      <c r="K40" s="134" t="e">
        <f ca="1">IF(Main!K40="", "", Main!K40)</f>
        <v>#VALUE!</v>
      </c>
    </row>
    <row r="41" spans="1:11" ht="13.5" customHeight="1" thickTop="1" thickBot="1">
      <c r="A41" s="124" t="s">
        <v>72</v>
      </c>
      <c r="B41" s="205" t="s">
        <v>164</v>
      </c>
      <c r="C41" s="206"/>
      <c r="D41" s="123" t="s">
        <v>12</v>
      </c>
      <c r="E41" s="20"/>
      <c r="F41" s="24" t="str">
        <f>IF(Main!F41="", "", Main!F41)</f>
        <v/>
      </c>
      <c r="G41" s="24" t="str">
        <f>IF(Main!G41="", "", Main!G41)</f>
        <v/>
      </c>
      <c r="H41" s="128" t="str">
        <f>IF(Main!H41="", "", Main!H41)</f>
        <v/>
      </c>
      <c r="I41" s="24" t="str">
        <f>IF(Main!I41="", "", Main!I41)</f>
        <v/>
      </c>
      <c r="J41" s="115"/>
      <c r="K41" s="134" t="e">
        <f ca="1">IF(Main!K41="", "", Main!K41)</f>
        <v>#VALUE!</v>
      </c>
    </row>
    <row r="42" spans="1:11" s="186" customFormat="1" ht="13.5" customHeight="1" thickTop="1" thickBot="1">
      <c r="A42" s="185" t="s">
        <v>73</v>
      </c>
      <c r="B42" s="205" t="s">
        <v>166</v>
      </c>
      <c r="C42" s="206"/>
      <c r="D42" s="184" t="s">
        <v>12</v>
      </c>
      <c r="E42" s="20"/>
      <c r="F42" s="24" t="str">
        <f>IF(Main!F42="", "", Main!F42)</f>
        <v/>
      </c>
      <c r="G42" s="24" t="str">
        <f>IF(Main!G42="", "", Main!G42)</f>
        <v/>
      </c>
      <c r="H42" s="128" t="str">
        <f>IF(Main!H42="", "", Main!H42)</f>
        <v/>
      </c>
      <c r="I42" s="24" t="str">
        <f>IF(Main!I42="", "", Main!I42)</f>
        <v/>
      </c>
      <c r="J42" s="115"/>
      <c r="K42" s="134" t="e">
        <f ca="1">IF(Main!K42="", "", Main!K42)</f>
        <v>#VALUE!</v>
      </c>
    </row>
    <row r="43" spans="1:11" ht="13.5" customHeight="1" thickTop="1" thickBot="1">
      <c r="A43" s="123" t="s">
        <v>74</v>
      </c>
      <c r="B43" s="204" t="s">
        <v>129</v>
      </c>
      <c r="C43" s="199"/>
      <c r="D43" s="123" t="s">
        <v>12</v>
      </c>
      <c r="E43" s="20"/>
      <c r="F43" s="171" t="str">
        <f>IF(Main!F43="", "", Main!F43)</f>
        <v/>
      </c>
      <c r="G43" s="171" t="str">
        <f>IF(Main!G43="", "", Main!G43)</f>
        <v/>
      </c>
      <c r="H43" s="172" t="str">
        <f>IF(Main!H43="", "", Main!H43)</f>
        <v/>
      </c>
      <c r="I43" s="171" t="str">
        <f>IF(Main!I43="", "", Main!I43)</f>
        <v/>
      </c>
      <c r="J43" s="173"/>
      <c r="K43" s="174" t="e">
        <f ca="1">IF(Main!K43="", "", Main!K43)</f>
        <v>#VALUE!</v>
      </c>
    </row>
    <row r="44" spans="1:11" ht="14.25" thickTop="1" thickBot="1">
      <c r="A44" s="124" t="s">
        <v>75</v>
      </c>
      <c r="B44" s="205" t="s">
        <v>68</v>
      </c>
      <c r="C44" s="206"/>
      <c r="D44" s="123" t="s">
        <v>12</v>
      </c>
      <c r="E44" s="20"/>
      <c r="F44" s="167" t="str">
        <f>IF(Main!F44="", "", Main!F44)</f>
        <v/>
      </c>
      <c r="G44" s="167" t="str">
        <f>IF(Main!G44="", "", Main!G44)</f>
        <v/>
      </c>
      <c r="H44" s="168" t="str">
        <f>IF(Main!H44="", "", Main!H44)</f>
        <v/>
      </c>
      <c r="I44" s="167" t="str">
        <f>IF(Main!I44="", "", Main!I44)</f>
        <v/>
      </c>
      <c r="J44" s="169"/>
      <c r="K44" s="175" t="e">
        <f ca="1">IF(Main!K44="", "", Main!K44)</f>
        <v>#VALUE!</v>
      </c>
    </row>
    <row r="45" spans="1:11" ht="14.25" thickTop="1" thickBot="1">
      <c r="A45" s="123" t="s">
        <v>76</v>
      </c>
      <c r="B45" s="204" t="s">
        <v>130</v>
      </c>
      <c r="C45" s="199"/>
      <c r="D45" s="123" t="s">
        <v>12</v>
      </c>
      <c r="E45" s="20"/>
      <c r="F45" s="171" t="str">
        <f>IF(Main!F45="", "", Main!F45)</f>
        <v/>
      </c>
      <c r="G45" s="171" t="str">
        <f>IF(Main!G45="", "", Main!G45)</f>
        <v/>
      </c>
      <c r="H45" s="172" t="str">
        <f>IF(Main!H45="", "", Main!H45)</f>
        <v/>
      </c>
      <c r="I45" s="171" t="str">
        <f>IF(Main!I45="", "", Main!I45)</f>
        <v/>
      </c>
      <c r="J45" s="173"/>
      <c r="K45" s="174" t="e">
        <f ca="1">IF(Main!K45="", "", Main!K45)</f>
        <v>#VALUE!</v>
      </c>
    </row>
    <row r="46" spans="1:11" ht="14.25" thickTop="1" thickBot="1">
      <c r="A46" s="124" t="s">
        <v>165</v>
      </c>
      <c r="B46" s="205" t="s">
        <v>32</v>
      </c>
      <c r="C46" s="206"/>
      <c r="D46" s="123" t="s">
        <v>35</v>
      </c>
      <c r="E46" s="23"/>
      <c r="F46" s="176" t="str">
        <f>IF(Main!F46="", "", Main!F46)</f>
        <v/>
      </c>
      <c r="G46" s="177" t="str">
        <f>IF(Main!G46="", "", Main!G46)</f>
        <v/>
      </c>
      <c r="H46" s="176" t="str">
        <f>IF(Main!H46="", "", Main!H46)</f>
        <v/>
      </c>
      <c r="I46" s="176" t="str">
        <f>IF(Main!I46="", "", Main!I46)</f>
        <v/>
      </c>
      <c r="J46" s="178"/>
      <c r="K46" s="179">
        <f>IF(Main!K46="", "", Main!K46)</f>
        <v>0</v>
      </c>
    </row>
    <row r="47" spans="1:11" ht="13.5" thickTop="1">
      <c r="A47" s="1"/>
      <c r="K47" s="1"/>
    </row>
    <row r="48" spans="1:11">
      <c r="A48" s="1"/>
      <c r="K48" s="1"/>
    </row>
    <row r="49" spans="1:9" ht="13.5" thickBot="1">
      <c r="A49" s="1"/>
    </row>
    <row r="50" spans="1:9" ht="13.5" thickBot="1">
      <c r="A50" s="1"/>
      <c r="B50" s="58" t="s">
        <v>28</v>
      </c>
      <c r="C50" s="67"/>
    </row>
    <row r="51" spans="1:9">
      <c r="A51" s="1"/>
    </row>
    <row r="52" spans="1:9">
      <c r="A52" s="1"/>
      <c r="F52" s="226"/>
      <c r="G52" s="226"/>
      <c r="H52" s="226"/>
      <c r="I52" s="226"/>
    </row>
    <row r="53" spans="1:9">
      <c r="A53" s="1"/>
      <c r="B53" s="58"/>
      <c r="C53" s="63"/>
    </row>
  </sheetData>
  <mergeCells count="33">
    <mergeCell ref="I2:K2"/>
    <mergeCell ref="B35:C35"/>
    <mergeCell ref="B30:C30"/>
    <mergeCell ref="A1:K1"/>
    <mergeCell ref="C7:H7"/>
    <mergeCell ref="C8:H8"/>
    <mergeCell ref="C9:H9"/>
    <mergeCell ref="C10:H10"/>
    <mergeCell ref="B4:H4"/>
    <mergeCell ref="B18:C18"/>
    <mergeCell ref="B20:C20"/>
    <mergeCell ref="B22:C22"/>
    <mergeCell ref="B32:C32"/>
    <mergeCell ref="B33:C33"/>
    <mergeCell ref="D13:H13"/>
    <mergeCell ref="B29:C29"/>
    <mergeCell ref="B34:C34"/>
    <mergeCell ref="B37:C37"/>
    <mergeCell ref="B38:C38"/>
    <mergeCell ref="B28:C28"/>
    <mergeCell ref="B24:C24"/>
    <mergeCell ref="B26:C26"/>
    <mergeCell ref="B27:C27"/>
    <mergeCell ref="B31:C31"/>
    <mergeCell ref="B45:C45"/>
    <mergeCell ref="B46:C46"/>
    <mergeCell ref="F52:I52"/>
    <mergeCell ref="B39:C39"/>
    <mergeCell ref="B40:C40"/>
    <mergeCell ref="B41:C41"/>
    <mergeCell ref="B43:C43"/>
    <mergeCell ref="B44:C44"/>
    <mergeCell ref="B42:C42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Output_Plots</vt:lpstr>
      <vt:lpstr>Input_Template</vt:lpstr>
      <vt:lpstr>CorrMatrix</vt:lpstr>
      <vt:lpstr>NewMatrix1</vt:lpstr>
      <vt:lpstr>Main!Print_Area</vt:lpstr>
    </vt:vector>
  </TitlesOfParts>
  <Company>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Haines</dc:creator>
  <cp:lastModifiedBy>Haines, Seth S.</cp:lastModifiedBy>
  <cp:lastPrinted>2011-06-17T20:15:51Z</cp:lastPrinted>
  <dcterms:created xsi:type="dcterms:W3CDTF">2010-01-13T18:31:10Z</dcterms:created>
  <dcterms:modified xsi:type="dcterms:W3CDTF">2015-06-08T17:25:42Z</dcterms:modified>
</cp:coreProperties>
</file>