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2675" windowHeight="11370" tabRatio="962" activeTab="10"/>
  </bookViews>
  <sheets>
    <sheet name="Operations Summary" sheetId="1" r:id="rId1"/>
    <sheet name="Time-On-Site" sheetId="2" r:id="rId2"/>
    <sheet name="Site Summary" sheetId="3" r:id="rId3"/>
    <sheet name="Standard+Pressure Core Summary" sheetId="4" r:id="rId4"/>
    <sheet name="Pressure Coring Only Summary" sheetId="5" r:id="rId5"/>
    <sheet name="Pressure Coring Log" sheetId="6" r:id="rId6"/>
    <sheet name="Depth Conversion" sheetId="7" r:id="rId7"/>
    <sheet name="Bit Summary" sheetId="8" r:id="rId8"/>
    <sheet name="Beacon Summary" sheetId="9" r:id="rId9"/>
    <sheet name="Time Distribution" sheetId="10" r:id="rId10"/>
    <sheet name="Temperature Tool Deployment" sheetId="11" r:id="rId11"/>
  </sheets>
  <externalReferences>
    <externalReference r:id="rId14"/>
    <externalReference r:id="rId15"/>
  </externalReferences>
  <definedNames>
    <definedName name="\B" localSheetId="0">'[2]Bit Summary'!#REF!</definedName>
    <definedName name="\B" localSheetId="1">'[1]Bit Summary'!#REF!</definedName>
    <definedName name="\B">'Bit Summary'!#REF!</definedName>
    <definedName name="\D" localSheetId="6">'Depth Conversion'!#REF!</definedName>
    <definedName name="\D" localSheetId="5">'Pressure Coring Log'!#REF!</definedName>
    <definedName name="\D" localSheetId="4">'Pressure Coring Only Summary'!#REF!</definedName>
    <definedName name="\D" localSheetId="2">'Site Summary'!#REF!</definedName>
    <definedName name="\D" localSheetId="3">'Standard+Pressure Core Summary'!#REF!</definedName>
    <definedName name="\D">'Bit Summary'!#REF!</definedName>
    <definedName name="\L">'Bit Summary'!#REF!</definedName>
    <definedName name="\R" localSheetId="8">'Beacon Summary'!#REF!</definedName>
    <definedName name="\R" localSheetId="6">'Depth Conversion'!#REF!</definedName>
    <definedName name="\R" localSheetId="0">'[2]Beacon Summary'!#REF!</definedName>
    <definedName name="\R" localSheetId="5">'Pressure Coring Log'!#REF!</definedName>
    <definedName name="\R" localSheetId="4">'Pressure Coring Only Summary'!#REF!</definedName>
    <definedName name="\R" localSheetId="2">'Site Summary'!#REF!</definedName>
    <definedName name="\R" localSheetId="3">'Standard+Pressure Core Summary'!#REF!</definedName>
    <definedName name="\R" localSheetId="1">'[1]Beacon Summary'!#REF!</definedName>
    <definedName name="\R">'Bit Summary'!#REF!</definedName>
    <definedName name="__123Graph_A" localSheetId="6" hidden="1">'Depth Conversion'!#REF!</definedName>
    <definedName name="__123Graph_A" localSheetId="5" hidden="1">'Pressure Coring Log'!#REF!</definedName>
    <definedName name="__123Graph_A" localSheetId="4" hidden="1">'Pressure Coring Only Summary'!#REF!</definedName>
    <definedName name="__123Graph_A" localSheetId="2" hidden="1">'Site Summary'!#REF!</definedName>
    <definedName name="__123Graph_A" localSheetId="3" hidden="1">'Standard+Pressure Core Summary'!#REF!</definedName>
    <definedName name="__123Graph_B" localSheetId="6" hidden="1">'Depth Conversion'!#REF!</definedName>
    <definedName name="__123Graph_B" localSheetId="5" hidden="1">'Pressure Coring Log'!#REF!</definedName>
    <definedName name="__123Graph_B" localSheetId="4" hidden="1">'Pressure Coring Only Summary'!#REF!</definedName>
    <definedName name="__123Graph_B" localSheetId="2" hidden="1">'Site Summary'!#REF!</definedName>
    <definedName name="__123Graph_B" localSheetId="3" hidden="1">'Standard+Pressure Core Summary'!#REF!</definedName>
    <definedName name="__123Graph_X" localSheetId="6" hidden="1">'Depth Conversion'!#REF!</definedName>
    <definedName name="__123Graph_X" localSheetId="5" hidden="1">'Pressure Coring Log'!#REF!</definedName>
    <definedName name="__123Graph_X" localSheetId="4" hidden="1">'Pressure Coring Only Summary'!#REF!</definedName>
    <definedName name="__123Graph_X" localSheetId="2" hidden="1">'Site Summary'!#REF!</definedName>
    <definedName name="__123Graph_X" localSheetId="3" hidden="1">'Standard+Pressure Core Summary'!#REF!</definedName>
    <definedName name="DATE" localSheetId="0">'[2]Time Distribution'!#REF!</definedName>
    <definedName name="DATE" localSheetId="1">'[1]Time Distribution'!#REF!</definedName>
    <definedName name="DATE">'Time Distribution'!#REF!</definedName>
    <definedName name="_xlnm.Print_Area" localSheetId="8">'Beacon Summary'!$A$1:$N$39</definedName>
    <definedName name="_xlnm.Print_Area" localSheetId="7">'Bit Summary'!$A$1:$N$51</definedName>
    <definedName name="_xlnm.Print_Area" localSheetId="6">'Depth Conversion'!$A$1:$K$47</definedName>
    <definedName name="_xlnm.Print_Area" localSheetId="0">'Operations Summary'!$A$1:$M$48</definedName>
    <definedName name="_xlnm.Print_Area" localSheetId="5">'Pressure Coring Log'!$A$1:$M$111</definedName>
    <definedName name="_xlnm.Print_Area" localSheetId="4">'Pressure Coring Only Summary'!$A$1:$AA$88</definedName>
    <definedName name="_xlnm.Print_Area" localSheetId="2">'Site Summary'!$A$1:$S$92</definedName>
    <definedName name="_xlnm.Print_Area" localSheetId="3">'Standard+Pressure Core Summary'!$A$1:$V$115</definedName>
    <definedName name="_xlnm.Print_Area" localSheetId="9">'Time Distribution'!$A$1:$T$131</definedName>
    <definedName name="_xlnm.Print_Area" localSheetId="1">'Time-On-Site'!$A$1:$J$100</definedName>
    <definedName name="Print_Area_MI">'Time-On-Site'!$A$11:$F$94</definedName>
    <definedName name="_xlnm.Print_Titles" localSheetId="8">'Beacon Summary'!$1:$10</definedName>
    <definedName name="_xlnm.Print_Titles" localSheetId="6">'Depth Conversion'!$1:$8</definedName>
    <definedName name="_xlnm.Print_Titles" localSheetId="5">'Pressure Coring Log'!$1:$9</definedName>
    <definedName name="_xlnm.Print_Titles" localSheetId="4">'Pressure Coring Only Summary'!$1:$9</definedName>
    <definedName name="_xlnm.Print_Titles" localSheetId="2">'Site Summary'!$1:$9</definedName>
    <definedName name="_xlnm.Print_Titles" localSheetId="3">'Standard+Pressure Core Summary'!$1:$9</definedName>
    <definedName name="_xlnm.Print_Titles" localSheetId="9">'Time Distribution'!$1:$10</definedName>
    <definedName name="_xlnm.Print_Titles" localSheetId="1">'Time-On-Site'!$6:$9</definedName>
    <definedName name="RESUME" localSheetId="0">'[2]Time Distribution'!$T$101:$AB$115:'Operations Summary'!$A$9</definedName>
    <definedName name="RESUME" localSheetId="1">'[1]Time Distribution'!$T$99:$AB$113:'[1]Operations Resume'!$A$9</definedName>
    <definedName name="RESUME">'Time Distribution'!$U$132:$AC$144:'Time Distribution'!$V$19</definedName>
    <definedName name="TOTALS" localSheetId="0">'[2]Time Distribution'!$A$66:$F$68:'[2]Time Distribution'!$A$66:$B$69</definedName>
    <definedName name="TOTALS" localSheetId="1">'[1]Time Distribution'!$A$64:$F$66:'[1]Time Distribution'!$A$64:$B$67</definedName>
    <definedName name="TOTALS">'Time Distribution'!$A$127:$P$129:'Time Distribution'!$A$127:$B$130</definedName>
    <definedName name="wrn.CORE._.DATA._.1002." localSheetId="6" hidden="1">{#N/A,#N/A,FALSE,"SITE 1002A APC";#N/A,#N/A,FALSE,"SITE 1002B APC ";#N/A,#N/A,FALSE,"SITE 1002C APC";#N/A,#N/A,FALSE,"SITE 1002D APC";#N/A,#N/A,FALSE,"SITE 1002D XCB ";#N/A,#N/A,FALSE,"SITE 1002E APC "}</definedName>
    <definedName name="wrn.CORE._.DATA._.1002." localSheetId="0" hidden="1">{#N/A,#N/A,FALSE,"SITE 1002A APC";#N/A,#N/A,FALSE,"SITE 1002B APC ";#N/A,#N/A,FALSE,"SITE 1002C APC";#N/A,#N/A,FALSE,"SITE 1002D APC";#N/A,#N/A,FALSE,"SITE 1002D XCB ";#N/A,#N/A,FALSE,"SITE 1002E APC "}</definedName>
    <definedName name="wrn.CORE._.DATA._.1002." localSheetId="5" hidden="1">{#N/A,#N/A,FALSE,"SITE 1002A APC";#N/A,#N/A,FALSE,"SITE 1002B APC ";#N/A,#N/A,FALSE,"SITE 1002C APC";#N/A,#N/A,FALSE,"SITE 1002D APC";#N/A,#N/A,FALSE,"SITE 1002D XCB ";#N/A,#N/A,FALSE,"SITE 1002E APC "}</definedName>
    <definedName name="wrn.CORE._.DATA._.1002." localSheetId="4" hidden="1">{#N/A,#N/A,FALSE,"SITE 1002A APC";#N/A,#N/A,FALSE,"SITE 1002B APC ";#N/A,#N/A,FALSE,"SITE 1002C APC";#N/A,#N/A,FALSE,"SITE 1002D APC";#N/A,#N/A,FALSE,"SITE 1002D XCB ";#N/A,#N/A,FALSE,"SITE 1002E APC "}</definedName>
    <definedName name="wrn.CORE._.DATA._.1002." localSheetId="3" hidden="1">{#N/A,#N/A,FALSE,"SITE 1002A APC";#N/A,#N/A,FALSE,"SITE 1002B APC ";#N/A,#N/A,FALSE,"SITE 1002C APC";#N/A,#N/A,FALSE,"SITE 1002D APC";#N/A,#N/A,FALSE,"SITE 1002D XCB ";#N/A,#N/A,FALSE,"SITE 1002E APC "}</definedName>
    <definedName name="wrn.CORE._.DATA._.1002." localSheetId="1" hidden="1">{#N/A,#N/A,FALSE,"SITE 1002A APC";#N/A,#N/A,FALSE,"SITE 1002B APC ";#N/A,#N/A,FALSE,"SITE 1002C APC";#N/A,#N/A,FALSE,"SITE 1002D APC";#N/A,#N/A,FALSE,"SITE 1002D XCB ";#N/A,#N/A,FALSE,"SITE 1002E APC "}</definedName>
    <definedName name="wrn.CORE._.DATA._.1002." hidden="1">{#N/A,#N/A,FALSE,"SITE 1002A APC";#N/A,#N/A,FALSE,"SITE 1002B APC ";#N/A,#N/A,FALSE,"SITE 1002C APC";#N/A,#N/A,FALSE,"SITE 1002D APC";#N/A,#N/A,FALSE,"SITE 1002D XCB ";#N/A,#N/A,FALSE,"SITE 1002E APC "}</definedName>
    <definedName name="wrn.Leg._.165._.Core._.Sheets." localSheetId="6" hidden="1">{#N/A,#N/A,FALSE,"Hole 998A APC";#N/A,#N/A,FALSE,"Hole 998A XCB";#N/A,#N/A,FALSE,"Hole 998B RCB";#N/A,#N/A,FALSE,"Hole 999A APC";#N/A,#N/A,FALSE,"Hole 999A XCB";#N/A,#N/A,FALSE,"Hole 999B RCB";#N/A,#N/A,FALSE,"Hole 1000A APC";#N/A,#N/A,FALSE,"Hole 1000A XCB";#N/A,#N/A,FALSE,"Hole 1000B RCB";#N/A,#N/A,FALSE,"Hole 1001A RCB";#N/A,#N/A,FALSE," Hole 1001B RCB"}</definedName>
    <definedName name="wrn.Leg._.165._.Core._.Sheets." localSheetId="0" hidden="1">{#N/A,#N/A,FALSE,"Hole 998A APC";#N/A,#N/A,FALSE,"Hole 998A XCB";#N/A,#N/A,FALSE,"Hole 998B RCB";#N/A,#N/A,FALSE,"Hole 999A APC";#N/A,#N/A,FALSE,"Hole 999A XCB";#N/A,#N/A,FALSE,"Hole 999B RCB";#N/A,#N/A,FALSE,"Hole 1000A APC";#N/A,#N/A,FALSE,"Hole 1000A XCB";#N/A,#N/A,FALSE,"Hole 1000B RCB";#N/A,#N/A,FALSE,"Hole 1001A RCB";#N/A,#N/A,FALSE," Hole 1001B RCB"}</definedName>
    <definedName name="wrn.Leg._.165._.Core._.Sheets." localSheetId="5" hidden="1">{#N/A,#N/A,FALSE,"Hole 998A APC";#N/A,#N/A,FALSE,"Hole 998A XCB";#N/A,#N/A,FALSE,"Hole 998B RCB";#N/A,#N/A,FALSE,"Hole 999A APC";#N/A,#N/A,FALSE,"Hole 999A XCB";#N/A,#N/A,FALSE,"Hole 999B RCB";#N/A,#N/A,FALSE,"Hole 1000A APC";#N/A,#N/A,FALSE,"Hole 1000A XCB";#N/A,#N/A,FALSE,"Hole 1000B RCB";#N/A,#N/A,FALSE,"Hole 1001A RCB";#N/A,#N/A,FALSE," Hole 1001B RCB"}</definedName>
    <definedName name="wrn.Leg._.165._.Core._.Sheets." localSheetId="4" hidden="1">{#N/A,#N/A,FALSE,"Hole 998A APC";#N/A,#N/A,FALSE,"Hole 998A XCB";#N/A,#N/A,FALSE,"Hole 998B RCB";#N/A,#N/A,FALSE,"Hole 999A APC";#N/A,#N/A,FALSE,"Hole 999A XCB";#N/A,#N/A,FALSE,"Hole 999B RCB";#N/A,#N/A,FALSE,"Hole 1000A APC";#N/A,#N/A,FALSE,"Hole 1000A XCB";#N/A,#N/A,FALSE,"Hole 1000B RCB";#N/A,#N/A,FALSE,"Hole 1001A RCB";#N/A,#N/A,FALSE," Hole 1001B RCB"}</definedName>
    <definedName name="wrn.Leg._.165._.Core._.Sheets." localSheetId="3" hidden="1">{#N/A,#N/A,FALSE,"Hole 998A APC";#N/A,#N/A,FALSE,"Hole 998A XCB";#N/A,#N/A,FALSE,"Hole 998B RCB";#N/A,#N/A,FALSE,"Hole 999A APC";#N/A,#N/A,FALSE,"Hole 999A XCB";#N/A,#N/A,FALSE,"Hole 999B RCB";#N/A,#N/A,FALSE,"Hole 1000A APC";#N/A,#N/A,FALSE,"Hole 1000A XCB";#N/A,#N/A,FALSE,"Hole 1000B RCB";#N/A,#N/A,FALSE,"Hole 1001A RCB";#N/A,#N/A,FALSE," Hole 1001B RCB"}</definedName>
    <definedName name="wrn.Leg._.165._.Core._.Sheets." localSheetId="1" hidden="1">{#N/A,#N/A,FALSE,"Hole 998A APC";#N/A,#N/A,FALSE,"Hole 998A XCB";#N/A,#N/A,FALSE,"Hole 998B RCB";#N/A,#N/A,FALSE,"Hole 999A APC";#N/A,#N/A,FALSE,"Hole 999A XCB";#N/A,#N/A,FALSE,"Hole 999B RCB";#N/A,#N/A,FALSE,"Hole 1000A APC";#N/A,#N/A,FALSE,"Hole 1000A XCB";#N/A,#N/A,FALSE,"Hole 1000B RCB";#N/A,#N/A,FALSE,"Hole 1001A RCB";#N/A,#N/A,FALSE," Hole 1001B RCB"}</definedName>
    <definedName name="wrn.Leg._.165._.Core._.Sheets." hidden="1">{#N/A,#N/A,FALSE,"Hole 998A APC";#N/A,#N/A,FALSE,"Hole 998A XCB";#N/A,#N/A,FALSE,"Hole 998B RCB";#N/A,#N/A,FALSE,"Hole 999A APC";#N/A,#N/A,FALSE,"Hole 999A XCB";#N/A,#N/A,FALSE,"Hole 999B RCB";#N/A,#N/A,FALSE,"Hole 1000A APC";#N/A,#N/A,FALSE,"Hole 1000A XCB";#N/A,#N/A,FALSE,"Hole 1000B RCB";#N/A,#N/A,FALSE,"Hole 1001A RCB";#N/A,#N/A,FALSE," Hole 1001B RCB"}</definedName>
    <definedName name="wrn.Leg._.165._.Hole._.Summaries." localSheetId="6" hidden="1">{#N/A,#N/A,FALSE,"Hole 998A Summary";#N/A,#N/A,FALSE,"Hole 998B Summary";#N/A,#N/A,FALSE,"Hole 999A Summary";#N/A,#N/A,FALSE,"Hole 999B Summary";#N/A,#N/A,FALSE,"Reentry Cone-16"" Casing";#N/A,#N/A,FALSE,"11.750"" Surface Casing";#N/A,#N/A,FALSE,"Hole 1000A Summary";#N/A,#N/A,FALSE,"Hole 1000B Summary";#N/A,#N/A,FALSE,"Hole 1001A Summary";#N/A,#N/A,FALSE,"Hole 1001B Summary";#N/A,#N/A,FALSE,"Hole 1002A Summary";#N/A,#N/A,FALSE,"Hole 1002B Summary";#N/A,#N/A,FALSE,"Hole 1002C Summary";#N/A,#N/A,FALSE,"Hole 1002D Summary";#N/A,#N/A,FALSE,"Hole 1002E Summary"}</definedName>
    <definedName name="wrn.Leg._.165._.Hole._.Summaries." localSheetId="0" hidden="1">{#N/A,#N/A,FALSE,"Hole 998A Summary";#N/A,#N/A,FALSE,"Hole 998B Summary";#N/A,#N/A,FALSE,"Hole 999A Summary";#N/A,#N/A,FALSE,"Hole 999B Summary";#N/A,#N/A,FALSE,"Reentry Cone-16"" Casing";#N/A,#N/A,FALSE,"11.750"" Surface Casing";#N/A,#N/A,FALSE,"Hole 1000A Summary";#N/A,#N/A,FALSE,"Hole 1000B Summary";#N/A,#N/A,FALSE,"Hole 1001A Summary";#N/A,#N/A,FALSE,"Hole 1001B Summary";#N/A,#N/A,FALSE,"Hole 1002A Summary";#N/A,#N/A,FALSE,"Hole 1002B Summary";#N/A,#N/A,FALSE,"Hole 1002C Summary";#N/A,#N/A,FALSE,"Hole 1002D Summary";#N/A,#N/A,FALSE,"Hole 1002E Summary"}</definedName>
    <definedName name="wrn.Leg._.165._.Hole._.Summaries." localSheetId="5" hidden="1">{#N/A,#N/A,FALSE,"Hole 998A Summary";#N/A,#N/A,FALSE,"Hole 998B Summary";#N/A,#N/A,FALSE,"Hole 999A Summary";#N/A,#N/A,FALSE,"Hole 999B Summary";#N/A,#N/A,FALSE,"Reentry Cone-16"" Casing";#N/A,#N/A,FALSE,"11.750"" Surface Casing";#N/A,#N/A,FALSE,"Hole 1000A Summary";#N/A,#N/A,FALSE,"Hole 1000B Summary";#N/A,#N/A,FALSE,"Hole 1001A Summary";#N/A,#N/A,FALSE,"Hole 1001B Summary";#N/A,#N/A,FALSE,"Hole 1002A Summary";#N/A,#N/A,FALSE,"Hole 1002B Summary";#N/A,#N/A,FALSE,"Hole 1002C Summary";#N/A,#N/A,FALSE,"Hole 1002D Summary";#N/A,#N/A,FALSE,"Hole 1002E Summary"}</definedName>
    <definedName name="wrn.Leg._.165._.Hole._.Summaries." localSheetId="4" hidden="1">{#N/A,#N/A,FALSE,"Hole 998A Summary";#N/A,#N/A,FALSE,"Hole 998B Summary";#N/A,#N/A,FALSE,"Hole 999A Summary";#N/A,#N/A,FALSE,"Hole 999B Summary";#N/A,#N/A,FALSE,"Reentry Cone-16"" Casing";#N/A,#N/A,FALSE,"11.750"" Surface Casing";#N/A,#N/A,FALSE,"Hole 1000A Summary";#N/A,#N/A,FALSE,"Hole 1000B Summary";#N/A,#N/A,FALSE,"Hole 1001A Summary";#N/A,#N/A,FALSE,"Hole 1001B Summary";#N/A,#N/A,FALSE,"Hole 1002A Summary";#N/A,#N/A,FALSE,"Hole 1002B Summary";#N/A,#N/A,FALSE,"Hole 1002C Summary";#N/A,#N/A,FALSE,"Hole 1002D Summary";#N/A,#N/A,FALSE,"Hole 1002E Summary"}</definedName>
    <definedName name="wrn.Leg._.165._.Hole._.Summaries." localSheetId="3" hidden="1">{#N/A,#N/A,FALSE,"Hole 998A Summary";#N/A,#N/A,FALSE,"Hole 998B Summary";#N/A,#N/A,FALSE,"Hole 999A Summary";#N/A,#N/A,FALSE,"Hole 999B Summary";#N/A,#N/A,FALSE,"Reentry Cone-16"" Casing";#N/A,#N/A,FALSE,"11.750"" Surface Casing";#N/A,#N/A,FALSE,"Hole 1000A Summary";#N/A,#N/A,FALSE,"Hole 1000B Summary";#N/A,#N/A,FALSE,"Hole 1001A Summary";#N/A,#N/A,FALSE,"Hole 1001B Summary";#N/A,#N/A,FALSE,"Hole 1002A Summary";#N/A,#N/A,FALSE,"Hole 1002B Summary";#N/A,#N/A,FALSE,"Hole 1002C Summary";#N/A,#N/A,FALSE,"Hole 1002D Summary";#N/A,#N/A,FALSE,"Hole 1002E Summary"}</definedName>
    <definedName name="wrn.Leg._.165._.Hole._.Summaries." localSheetId="1" hidden="1">{#N/A,#N/A,FALSE,"Hole 998A Summary";#N/A,#N/A,FALSE,"Hole 998B Summary";#N/A,#N/A,FALSE,"Hole 999A Summary";#N/A,#N/A,FALSE,"Hole 999B Summary";#N/A,#N/A,FALSE,"Reentry Cone-16"" Casing";#N/A,#N/A,FALSE,"11.750"" Surface Casing";#N/A,#N/A,FALSE,"Hole 1000A Summary";#N/A,#N/A,FALSE,"Hole 1000B Summary";#N/A,#N/A,FALSE,"Hole 1001A Summary";#N/A,#N/A,FALSE,"Hole 1001B Summary";#N/A,#N/A,FALSE,"Hole 1002A Summary";#N/A,#N/A,FALSE,"Hole 1002B Summary";#N/A,#N/A,FALSE,"Hole 1002C Summary";#N/A,#N/A,FALSE,"Hole 1002D Summary";#N/A,#N/A,FALSE,"Hole 1002E Summary"}</definedName>
    <definedName name="wrn.Leg._.165._.Hole._.Summaries." hidden="1">{#N/A,#N/A,FALSE,"Hole 998A Summary";#N/A,#N/A,FALSE,"Hole 998B Summary";#N/A,#N/A,FALSE,"Hole 999A Summary";#N/A,#N/A,FALSE,"Hole 999B Summary";#N/A,#N/A,FALSE,"Reentry Cone-16"" Casing";#N/A,#N/A,FALSE,"11.750"" Surface Casing";#N/A,#N/A,FALSE,"Hole 1000A Summary";#N/A,#N/A,FALSE,"Hole 1000B Summary";#N/A,#N/A,FALSE,"Hole 1001A Summary";#N/A,#N/A,FALSE,"Hole 1001B Summary";#N/A,#N/A,FALSE,"Hole 1002A Summary";#N/A,#N/A,FALSE,"Hole 1002B Summary";#N/A,#N/A,FALSE,"Hole 1002C Summary";#N/A,#N/A,FALSE,"Hole 1002D Summary";#N/A,#N/A,FALSE,"Hole 1002E Summary"}</definedName>
    <definedName name="wrn.Leg._.165._.Inventory._.Data." localSheetId="6" hidden="1">{#N/A,#N/A,FALSE,"Bit Inventory";#N/A,#N/A,FALSE,"Tubulars Inventory";#N/A,#N/A,FALSE,"Bulk Inventory";#N/A,#N/A,FALSE,"Fwd Core Line Runs";#N/A,#N/A,FALSE,"Fwd Core Line Cuts";#N/A,#N/A,FALSE,"Aft Core Line Runs";#N/A,#N/A,FALSE,"Aft Core Line Cuts"}</definedName>
    <definedName name="wrn.Leg._.165._.Inventory._.Data." localSheetId="0" hidden="1">{#N/A,#N/A,FALSE,"Bit Inventory";#N/A,#N/A,FALSE,"Tubulars Inventory";#N/A,#N/A,FALSE,"Bulk Inventory";#N/A,#N/A,FALSE,"Fwd Core Line Runs";#N/A,#N/A,FALSE,"Fwd Core Line Cuts";#N/A,#N/A,FALSE,"Aft Core Line Runs";#N/A,#N/A,FALSE,"Aft Core Line Cuts"}</definedName>
    <definedName name="wrn.Leg._.165._.Inventory._.Data." localSheetId="5" hidden="1">{#N/A,#N/A,FALSE,"Bit Inventory";#N/A,#N/A,FALSE,"Tubulars Inventory";#N/A,#N/A,FALSE,"Bulk Inventory";#N/A,#N/A,FALSE,"Fwd Core Line Runs";#N/A,#N/A,FALSE,"Fwd Core Line Cuts";#N/A,#N/A,FALSE,"Aft Core Line Runs";#N/A,#N/A,FALSE,"Aft Core Line Cuts"}</definedName>
    <definedName name="wrn.Leg._.165._.Inventory._.Data." localSheetId="4" hidden="1">{#N/A,#N/A,FALSE,"Bit Inventory";#N/A,#N/A,FALSE,"Tubulars Inventory";#N/A,#N/A,FALSE,"Bulk Inventory";#N/A,#N/A,FALSE,"Fwd Core Line Runs";#N/A,#N/A,FALSE,"Fwd Core Line Cuts";#N/A,#N/A,FALSE,"Aft Core Line Runs";#N/A,#N/A,FALSE,"Aft Core Line Cuts"}</definedName>
    <definedName name="wrn.Leg._.165._.Inventory._.Data." localSheetId="3" hidden="1">{#N/A,#N/A,FALSE,"Bit Inventory";#N/A,#N/A,FALSE,"Tubulars Inventory";#N/A,#N/A,FALSE,"Bulk Inventory";#N/A,#N/A,FALSE,"Fwd Core Line Runs";#N/A,#N/A,FALSE,"Fwd Core Line Cuts";#N/A,#N/A,FALSE,"Aft Core Line Runs";#N/A,#N/A,FALSE,"Aft Core Line Cuts"}</definedName>
    <definedName name="wrn.Leg._.165._.Inventory._.Data." localSheetId="1" hidden="1">{#N/A,#N/A,FALSE,"Bit Inventory";#N/A,#N/A,FALSE,"Tubulars Inventory";#N/A,#N/A,FALSE,"Bulk Inventory";#N/A,#N/A,FALSE,"Fwd Core Line Runs";#N/A,#N/A,FALSE,"Fwd Core Line Cuts";#N/A,#N/A,FALSE,"Aft Core Line Runs";#N/A,#N/A,FALSE,"Aft Core Line Cuts"}</definedName>
    <definedName name="wrn.Leg._.165._.Inventory._.Data." hidden="1">{#N/A,#N/A,FALSE,"Bit Inventory";#N/A,#N/A,FALSE,"Tubulars Inventory";#N/A,#N/A,FALSE,"Bulk Inventory";#N/A,#N/A,FALSE,"Fwd Core Line Runs";#N/A,#N/A,FALSE,"Fwd Core Line Cuts";#N/A,#N/A,FALSE,"Aft Core Line Runs";#N/A,#N/A,FALSE,"Aft Core Line Cuts"}</definedName>
    <definedName name="wrn.Leg._.165._.Operations._.Spreadsheets." localSheetId="6" hidden="1">{#N/A,#N/A,FALSE,"Time Distribution";#N/A,#N/A,FALSE,"Time On Site";#N/A,#N/A,FALSE,"Site Summary";#N/A,#N/A,FALSE,"Core Summary";#N/A,#N/A,FALSE,"Coring Statistics";#N/A,#N/A,FALSE,"Sea Level Depth";#N/A,#N/A,FALSE,"Bit Summary";#N/A,#N/A,FALSE,"Beacon Summary"}</definedName>
    <definedName name="wrn.Leg._.165._.Operations._.Spreadsheets." localSheetId="0" hidden="1">{#N/A,#N/A,FALSE,"Time Distribution";#N/A,#N/A,FALSE,"Time On Site";#N/A,#N/A,FALSE,"Site Summary";#N/A,#N/A,FALSE,"Core Summary";#N/A,#N/A,FALSE,"Coring Statistics";#N/A,#N/A,FALSE,"Sea Level Depth";#N/A,#N/A,FALSE,"Bit Summary";#N/A,#N/A,FALSE,"Beacon Summary"}</definedName>
    <definedName name="wrn.Leg._.165._.Operations._.Spreadsheets." localSheetId="5" hidden="1">{#N/A,#N/A,FALSE,"Time Distribution";#N/A,#N/A,FALSE,"Time On Site";#N/A,#N/A,FALSE,"Site Summary";#N/A,#N/A,FALSE,"Core Summary";#N/A,#N/A,FALSE,"Coring Statistics";#N/A,#N/A,FALSE,"Sea Level Depth";#N/A,#N/A,FALSE,"Bit Summary";#N/A,#N/A,FALSE,"Beacon Summary"}</definedName>
    <definedName name="wrn.Leg._.165._.Operations._.Spreadsheets." localSheetId="4" hidden="1">{#N/A,#N/A,FALSE,"Time Distribution";#N/A,#N/A,FALSE,"Time On Site";#N/A,#N/A,FALSE,"Site Summary";#N/A,#N/A,FALSE,"Core Summary";#N/A,#N/A,FALSE,"Coring Statistics";#N/A,#N/A,FALSE,"Sea Level Depth";#N/A,#N/A,FALSE,"Bit Summary";#N/A,#N/A,FALSE,"Beacon Summary"}</definedName>
    <definedName name="wrn.Leg._.165._.Operations._.Spreadsheets." localSheetId="3" hidden="1">{#N/A,#N/A,FALSE,"Time Distribution";#N/A,#N/A,FALSE,"Time On Site";#N/A,#N/A,FALSE,"Site Summary";#N/A,#N/A,FALSE,"Core Summary";#N/A,#N/A,FALSE,"Coring Statistics";#N/A,#N/A,FALSE,"Sea Level Depth";#N/A,#N/A,FALSE,"Bit Summary";#N/A,#N/A,FALSE,"Beacon Summary"}</definedName>
    <definedName name="wrn.Leg._.165._.Operations._.Spreadsheets." localSheetId="1" hidden="1">{#N/A,#N/A,FALSE,"Time Distribution";#N/A,#N/A,FALSE,"Time On Site";#N/A,#N/A,FALSE,"Site Summary";#N/A,#N/A,FALSE,"Core Summary";#N/A,#N/A,FALSE,"Coring Statistics";#N/A,#N/A,FALSE,"Sea Level Depth";#N/A,#N/A,FALSE,"Bit Summary";#N/A,#N/A,FALSE,"Beacon Summary"}</definedName>
    <definedName name="wrn.Leg._.165._.Operations._.Spreadsheets." hidden="1">{#N/A,#N/A,FALSE,"Time Distribution";#N/A,#N/A,FALSE,"Time On Site";#N/A,#N/A,FALSE,"Site Summary";#N/A,#N/A,FALSE,"Core Summary";#N/A,#N/A,FALSE,"Coring Statistics";#N/A,#N/A,FALSE,"Sea Level Depth";#N/A,#N/A,FALSE,"Bit Summary";#N/A,#N/A,FALSE,"Beacon Summary"}</definedName>
    <definedName name="wrn.Leg._.165._.Schedules." localSheetId="6" hidden="1">{#N/A,#N/A,FALSE,"Initial Leg Schedule";#N/A,#N/A,FALSE,"Revised Leg Schedule";#N/A,#N/A,FALSE,"Site 998 Schedule";#N/A,#N/A,FALSE,"Site 999 Schedule";#N/A,#N/A,FALSE,"Site 1000 Schedule";#N/A,#N/A,FALSE,"Site 1001 Schedule";#N/A,#N/A,FALSE,"Site 1002 Schedule"}</definedName>
    <definedName name="wrn.Leg._.165._.Schedules." localSheetId="0" hidden="1">{#N/A,#N/A,FALSE,"Initial Leg Schedule";#N/A,#N/A,FALSE,"Revised Leg Schedule";#N/A,#N/A,FALSE,"Site 998 Schedule";#N/A,#N/A,FALSE,"Site 999 Schedule";#N/A,#N/A,FALSE,"Site 1000 Schedule";#N/A,#N/A,FALSE,"Site 1001 Schedule";#N/A,#N/A,FALSE,"Site 1002 Schedule"}</definedName>
    <definedName name="wrn.Leg._.165._.Schedules." localSheetId="5" hidden="1">{#N/A,#N/A,FALSE,"Initial Leg Schedule";#N/A,#N/A,FALSE,"Revised Leg Schedule";#N/A,#N/A,FALSE,"Site 998 Schedule";#N/A,#N/A,FALSE,"Site 999 Schedule";#N/A,#N/A,FALSE,"Site 1000 Schedule";#N/A,#N/A,FALSE,"Site 1001 Schedule";#N/A,#N/A,FALSE,"Site 1002 Schedule"}</definedName>
    <definedName name="wrn.Leg._.165._.Schedules." localSheetId="4" hidden="1">{#N/A,#N/A,FALSE,"Initial Leg Schedule";#N/A,#N/A,FALSE,"Revised Leg Schedule";#N/A,#N/A,FALSE,"Site 998 Schedule";#N/A,#N/A,FALSE,"Site 999 Schedule";#N/A,#N/A,FALSE,"Site 1000 Schedule";#N/A,#N/A,FALSE,"Site 1001 Schedule";#N/A,#N/A,FALSE,"Site 1002 Schedule"}</definedName>
    <definedName name="wrn.Leg._.165._.Schedules." localSheetId="3" hidden="1">{#N/A,#N/A,FALSE,"Initial Leg Schedule";#N/A,#N/A,FALSE,"Revised Leg Schedule";#N/A,#N/A,FALSE,"Site 998 Schedule";#N/A,#N/A,FALSE,"Site 999 Schedule";#N/A,#N/A,FALSE,"Site 1000 Schedule";#N/A,#N/A,FALSE,"Site 1001 Schedule";#N/A,#N/A,FALSE,"Site 1002 Schedule"}</definedName>
    <definedName name="wrn.Leg._.165._.Schedules." localSheetId="1" hidden="1">{#N/A,#N/A,FALSE,"Initial Leg Schedule";#N/A,#N/A,FALSE,"Revised Leg Schedule";#N/A,#N/A,FALSE,"Site 998 Schedule";#N/A,#N/A,FALSE,"Site 999 Schedule";#N/A,#N/A,FALSE,"Site 1000 Schedule";#N/A,#N/A,FALSE,"Site 1001 Schedule";#N/A,#N/A,FALSE,"Site 1002 Schedule"}</definedName>
    <definedName name="wrn.Leg._.165._.Schedules." hidden="1">{#N/A,#N/A,FALSE,"Initial Leg Schedule";#N/A,#N/A,FALSE,"Revised Leg Schedule";#N/A,#N/A,FALSE,"Site 998 Schedule";#N/A,#N/A,FALSE,"Site 999 Schedule";#N/A,#N/A,FALSE,"Site 1000 Schedule";#N/A,#N/A,FALSE,"Site 1001 Schedule";#N/A,#N/A,FALSE,"Site 1002 Schedule"}</definedName>
    <definedName name="wrn.LEG._.165._.SHIPMENT." localSheetId="6" hidden="1">{#N/A,#N/A,FALSE,"165 MASTER LIST";#N/A,#N/A,FALSE,"CT #1";#N/A,#N/A,FALSE,"CT #2";#N/A,#N/A,FALSE,"CT #3";#N/A,#N/A,FALSE,"CT #4";#N/A,#N/A,FALSE,"CT #5";#N/A,#N/A,FALSE,"CT #6";#N/A,#N/A,FALSE,"CT #7"}</definedName>
    <definedName name="wrn.LEG._.165._.SHIPMENT." localSheetId="0" hidden="1">{#N/A,#N/A,FALSE,"165 MASTER LIST";#N/A,#N/A,FALSE,"CT #1";#N/A,#N/A,FALSE,"CT #2";#N/A,#N/A,FALSE,"CT #3";#N/A,#N/A,FALSE,"CT #4";#N/A,#N/A,FALSE,"CT #5";#N/A,#N/A,FALSE,"CT #6";#N/A,#N/A,FALSE,"CT #7"}</definedName>
    <definedName name="wrn.LEG._.165._.SHIPMENT." localSheetId="5" hidden="1">{#N/A,#N/A,FALSE,"165 MASTER LIST";#N/A,#N/A,FALSE,"CT #1";#N/A,#N/A,FALSE,"CT #2";#N/A,#N/A,FALSE,"CT #3";#N/A,#N/A,FALSE,"CT #4";#N/A,#N/A,FALSE,"CT #5";#N/A,#N/A,FALSE,"CT #6";#N/A,#N/A,FALSE,"CT #7"}</definedName>
    <definedName name="wrn.LEG._.165._.SHIPMENT." localSheetId="4" hidden="1">{#N/A,#N/A,FALSE,"165 MASTER LIST";#N/A,#N/A,FALSE,"CT #1";#N/A,#N/A,FALSE,"CT #2";#N/A,#N/A,FALSE,"CT #3";#N/A,#N/A,FALSE,"CT #4";#N/A,#N/A,FALSE,"CT #5";#N/A,#N/A,FALSE,"CT #6";#N/A,#N/A,FALSE,"CT #7"}</definedName>
    <definedName name="wrn.LEG._.165._.SHIPMENT." localSheetId="3" hidden="1">{#N/A,#N/A,FALSE,"165 MASTER LIST";#N/A,#N/A,FALSE,"CT #1";#N/A,#N/A,FALSE,"CT #2";#N/A,#N/A,FALSE,"CT #3";#N/A,#N/A,FALSE,"CT #4";#N/A,#N/A,FALSE,"CT #5";#N/A,#N/A,FALSE,"CT #6";#N/A,#N/A,FALSE,"CT #7"}</definedName>
    <definedName name="wrn.LEG._.165._.SHIPMENT." localSheetId="1" hidden="1">{#N/A,#N/A,FALSE,"165 MASTER LIST";#N/A,#N/A,FALSE,"CT #1";#N/A,#N/A,FALSE,"CT #2";#N/A,#N/A,FALSE,"CT #3";#N/A,#N/A,FALSE,"CT #4";#N/A,#N/A,FALSE,"CT #5";#N/A,#N/A,FALSE,"CT #6";#N/A,#N/A,FALSE,"CT #7"}</definedName>
    <definedName name="wrn.LEG._.165._.SHIPMENT." hidden="1">{#N/A,#N/A,FALSE,"165 MASTER LIST";#N/A,#N/A,FALSE,"CT #1";#N/A,#N/A,FALSE,"CT #2";#N/A,#N/A,FALSE,"CT #3";#N/A,#N/A,FALSE,"CT #4";#N/A,#N/A,FALSE,"CT #5";#N/A,#N/A,FALSE,"CT #6";#N/A,#N/A,FALSE,"CT #7"}</definedName>
    <definedName name="wrn.Leg._.165._.Shipment._.from._.San._.Juan." localSheetId="6" hidden="1">{#N/A,#N/A,FALSE,"MASTER SHIPPING LIST"}</definedName>
    <definedName name="wrn.Leg._.165._.Shipment._.from._.San._.Juan." localSheetId="0" hidden="1">{#N/A,#N/A,FALSE,"MASTER SHIPPING LIST"}</definedName>
    <definedName name="wrn.Leg._.165._.Shipment._.from._.San._.Juan." localSheetId="5" hidden="1">{#N/A,#N/A,FALSE,"MASTER SHIPPING LIST"}</definedName>
    <definedName name="wrn.Leg._.165._.Shipment._.from._.San._.Juan." localSheetId="4" hidden="1">{#N/A,#N/A,FALSE,"MASTER SHIPPING LIST"}</definedName>
    <definedName name="wrn.Leg._.165._.Shipment._.from._.San._.Juan." localSheetId="3" hidden="1">{#N/A,#N/A,FALSE,"MASTER SHIPPING LIST"}</definedName>
    <definedName name="wrn.Leg._.165._.Shipment._.from._.San._.Juan." localSheetId="1" hidden="1">{#N/A,#N/A,FALSE,"MASTER SHIPPING LIST"}</definedName>
    <definedName name="wrn.Leg._.165._.Shipment._.from._.San._.Juan." hidden="1">{#N/A,#N/A,FALSE,"MASTER SHIPPING LIST"}</definedName>
    <definedName name="wrn.Leg._.168._.Hole._.Summaries." localSheetId="6" hidden="1">{#N/A,#N/A,FALSE,"Hole 1023A (HT-2A)";#N/A,#N/A,FALSE,"Hole 1024A (HT-3A)";#N/A,#N/A,FALSE,"Hole 1024B (HT-3A)";#N/A,#N/A,FALSE,"Hole 1025A (HT-4A)";#N/A,#N/A,FALSE,"Hole 1025B (HT-4A)";#N/A,#N/A,FALSE,"Hole 1025C (HT-4A)";#N/A,#N/A,FALSE,"Reentry Cone-16"" Casing";#N/A,#N/A,FALSE,"11.750"" Surface Casing";#N/A,#N/A,FALSE,"Hole 1026A (PP-5A)";#N/A,#N/A,FALSE,"Hole 1027A (PP-4A)";#N/A,#N/A,FALSE,"Hole 1027B (PP-4A)";#N/A,#N/A,FALSE,"Hole 1027C (PP-4A)"}</definedName>
    <definedName name="wrn.Leg._.168._.Hole._.Summaries." localSheetId="0" hidden="1">{#N/A,#N/A,FALSE,"Hole 1023A (HT-2A)";#N/A,#N/A,FALSE,"Hole 1024A (HT-3A)";#N/A,#N/A,FALSE,"Hole 1024B (HT-3A)";#N/A,#N/A,FALSE,"Hole 1025A (HT-4A)";#N/A,#N/A,FALSE,"Hole 1025B (HT-4A)";#N/A,#N/A,FALSE,"Hole 1025C (HT-4A)";#N/A,#N/A,FALSE,"Reentry Cone-16"" Casing";#N/A,#N/A,FALSE,"11.750"" Surface Casing";#N/A,#N/A,FALSE,"Hole 1026A (PP-5A)";#N/A,#N/A,FALSE,"Hole 1027A (PP-4A)";#N/A,#N/A,FALSE,"Hole 1027B (PP-4A)";#N/A,#N/A,FALSE,"Hole 1027C (PP-4A)"}</definedName>
    <definedName name="wrn.Leg._.168._.Hole._.Summaries." localSheetId="5" hidden="1">{#N/A,#N/A,FALSE,"Hole 1023A (HT-2A)";#N/A,#N/A,FALSE,"Hole 1024A (HT-3A)";#N/A,#N/A,FALSE,"Hole 1024B (HT-3A)";#N/A,#N/A,FALSE,"Hole 1025A (HT-4A)";#N/A,#N/A,FALSE,"Hole 1025B (HT-4A)";#N/A,#N/A,FALSE,"Hole 1025C (HT-4A)";#N/A,#N/A,FALSE,"Reentry Cone-16"" Casing";#N/A,#N/A,FALSE,"11.750"" Surface Casing";#N/A,#N/A,FALSE,"Hole 1026A (PP-5A)";#N/A,#N/A,FALSE,"Hole 1027A (PP-4A)";#N/A,#N/A,FALSE,"Hole 1027B (PP-4A)";#N/A,#N/A,FALSE,"Hole 1027C (PP-4A)"}</definedName>
    <definedName name="wrn.Leg._.168._.Hole._.Summaries." localSheetId="4" hidden="1">{#N/A,#N/A,FALSE,"Hole 1023A (HT-2A)";#N/A,#N/A,FALSE,"Hole 1024A (HT-3A)";#N/A,#N/A,FALSE,"Hole 1024B (HT-3A)";#N/A,#N/A,FALSE,"Hole 1025A (HT-4A)";#N/A,#N/A,FALSE,"Hole 1025B (HT-4A)";#N/A,#N/A,FALSE,"Hole 1025C (HT-4A)";#N/A,#N/A,FALSE,"Reentry Cone-16"" Casing";#N/A,#N/A,FALSE,"11.750"" Surface Casing";#N/A,#N/A,FALSE,"Hole 1026A (PP-5A)";#N/A,#N/A,FALSE,"Hole 1027A (PP-4A)";#N/A,#N/A,FALSE,"Hole 1027B (PP-4A)";#N/A,#N/A,FALSE,"Hole 1027C (PP-4A)"}</definedName>
    <definedName name="wrn.Leg._.168._.Hole._.Summaries." localSheetId="3" hidden="1">{#N/A,#N/A,FALSE,"Hole 1023A (HT-2A)";#N/A,#N/A,FALSE,"Hole 1024A (HT-3A)";#N/A,#N/A,FALSE,"Hole 1024B (HT-3A)";#N/A,#N/A,FALSE,"Hole 1025A (HT-4A)";#N/A,#N/A,FALSE,"Hole 1025B (HT-4A)";#N/A,#N/A,FALSE,"Hole 1025C (HT-4A)";#N/A,#N/A,FALSE,"Reentry Cone-16"" Casing";#N/A,#N/A,FALSE,"11.750"" Surface Casing";#N/A,#N/A,FALSE,"Hole 1026A (PP-5A)";#N/A,#N/A,FALSE,"Hole 1027A (PP-4A)";#N/A,#N/A,FALSE,"Hole 1027B (PP-4A)";#N/A,#N/A,FALSE,"Hole 1027C (PP-4A)"}</definedName>
    <definedName name="wrn.Leg._.168._.Hole._.Summaries." hidden="1">{#N/A,#N/A,FALSE,"Hole 1023A (HT-2A)";#N/A,#N/A,FALSE,"Hole 1024A (HT-3A)";#N/A,#N/A,FALSE,"Hole 1024B (HT-3A)";#N/A,#N/A,FALSE,"Hole 1025A (HT-4A)";#N/A,#N/A,FALSE,"Hole 1025B (HT-4A)";#N/A,#N/A,FALSE,"Hole 1025C (HT-4A)";#N/A,#N/A,FALSE,"Reentry Cone-16"" Casing";#N/A,#N/A,FALSE,"11.750"" Surface Casing";#N/A,#N/A,FALSE,"Hole 1026A (PP-5A)";#N/A,#N/A,FALSE,"Hole 1027A (PP-4A)";#N/A,#N/A,FALSE,"Hole 1027B (PP-4A)";#N/A,#N/A,FALSE,"Hole 1027C (PP-4A)"}</definedName>
  </definedNames>
  <calcPr fullCalcOnLoad="1"/>
</workbook>
</file>

<file path=xl/sharedStrings.xml><?xml version="1.0" encoding="utf-8"?>
<sst xmlns="http://schemas.openxmlformats.org/spreadsheetml/2006/main" count="3882" uniqueCount="903">
  <si>
    <t>HOURS</t>
  </si>
  <si>
    <t>HOLE</t>
  </si>
  <si>
    <t>TRIP</t>
  </si>
  <si>
    <t>OTHER</t>
  </si>
  <si>
    <t>TOTAL</t>
  </si>
  <si>
    <t xml:space="preserve"> -----</t>
  </si>
  <si>
    <t xml:space="preserve"> </t>
  </si>
  <si>
    <t>SITE</t>
  </si>
  <si>
    <t>COMMENTS</t>
  </si>
  <si>
    <t>NO.</t>
  </si>
  <si>
    <t>DEPTH</t>
  </si>
  <si>
    <t>METERS</t>
  </si>
  <si>
    <t>CORES</t>
  </si>
  <si>
    <t>CORED</t>
  </si>
  <si>
    <t>MFG</t>
  </si>
  <si>
    <t>SIZE</t>
  </si>
  <si>
    <t>TYPE</t>
  </si>
  <si>
    <t>SN</t>
  </si>
  <si>
    <t>METER CORED</t>
  </si>
  <si>
    <t>HOURS TOTAL</t>
  </si>
  <si>
    <t>Total Days in Port</t>
  </si>
  <si>
    <t>Total Days on Site</t>
  </si>
  <si>
    <t>ACTIVITY</t>
  </si>
  <si>
    <t>TIME</t>
  </si>
  <si>
    <t>DATE</t>
  </si>
  <si>
    <t>ON-HOLE</t>
  </si>
  <si>
    <t>ON-SITE</t>
  </si>
  <si>
    <t>REMARKS</t>
  </si>
  <si>
    <t>Site</t>
  </si>
  <si>
    <t>354M</t>
  </si>
  <si>
    <t>N</t>
  </si>
  <si>
    <t>LATITUDE</t>
  </si>
  <si>
    <t>LONGITUDE</t>
  </si>
  <si>
    <t>PORT</t>
  </si>
  <si>
    <t>PIPE</t>
  </si>
  <si>
    <t>WASH</t>
  </si>
  <si>
    <t>WOW</t>
  </si>
  <si>
    <t>ODL</t>
  </si>
  <si>
    <t>W</t>
  </si>
  <si>
    <t>(Model No.)</t>
  </si>
  <si>
    <t>RECOVERED</t>
  </si>
  <si>
    <t>(Hours)</t>
  </si>
  <si>
    <t>(Days)</t>
  </si>
  <si>
    <t>FREQ</t>
  </si>
  <si>
    <t>POWER</t>
  </si>
  <si>
    <t>SERIAL</t>
  </si>
  <si>
    <t>(mbrf)</t>
  </si>
  <si>
    <t>DEPLOYED</t>
  </si>
  <si>
    <t>(deg/min)</t>
  </si>
  <si>
    <t>FLOOR</t>
  </si>
  <si>
    <t>SEA</t>
  </si>
  <si>
    <t>PERCENT</t>
  </si>
  <si>
    <t>DRILLED</t>
  </si>
  <si>
    <t>NO. OF</t>
  </si>
  <si>
    <t>PENETRATION</t>
  </si>
  <si>
    <t>ON HOLE</t>
  </si>
  <si>
    <t>(hours)</t>
  </si>
  <si>
    <t>(days)</t>
  </si>
  <si>
    <t>(dB)</t>
  </si>
  <si>
    <t>(kHz)</t>
  </si>
  <si>
    <t>TOTAL BEACON TIME (HOURS/DAYS)</t>
  </si>
  <si>
    <t>No.</t>
  </si>
  <si>
    <t>Hole</t>
  </si>
  <si>
    <t>No. of</t>
  </si>
  <si>
    <t>Cores</t>
  </si>
  <si>
    <t>Cored</t>
  </si>
  <si>
    <t>Percent</t>
  </si>
  <si>
    <t>Recovery</t>
  </si>
  <si>
    <t>Offset</t>
  </si>
  <si>
    <t>Depth</t>
  </si>
  <si>
    <t>Core</t>
  </si>
  <si>
    <t>Deck</t>
  </si>
  <si>
    <t>Days</t>
  </si>
  <si>
    <t>DATASONICS</t>
  </si>
  <si>
    <t>End Hole</t>
  </si>
  <si>
    <t>Average Transit Speed (knots):</t>
  </si>
  <si>
    <t>Total Number of Sites:</t>
  </si>
  <si>
    <t>Total Number of Holes:</t>
  </si>
  <si>
    <t>Total Number of Reentries:</t>
  </si>
  <si>
    <t>Percent Core Recovery:</t>
  </si>
  <si>
    <t>RECONE</t>
  </si>
  <si>
    <t>LOGGING</t>
  </si>
  <si>
    <t>CSG/CMT</t>
  </si>
  <si>
    <t>JA</t>
  </si>
  <si>
    <t>BREAKDOWN OF TIME SPENT ON-SITE OPERATING</t>
  </si>
  <si>
    <t>TOTAL  (HRS)</t>
  </si>
  <si>
    <t>TOTAL  (DAYS)</t>
  </si>
  <si>
    <t>Other Expedition Statistics</t>
  </si>
  <si>
    <t>Total Days In Transit</t>
  </si>
  <si>
    <t>Total No. of Cores Attempted:</t>
  </si>
  <si>
    <t>Max Sea Floor Depth (m to DES):</t>
  </si>
  <si>
    <t>Min Sea Floor Depth (m to DES):</t>
  </si>
  <si>
    <t>No. Moves Between Sites in DP Mode:</t>
  </si>
  <si>
    <t>No. of Positioning Beacons Used:</t>
  </si>
  <si>
    <t>Dynamic Positioning (DP) Statistics</t>
  </si>
  <si>
    <t>BREAKDOWN</t>
  </si>
  <si>
    <t>U/W</t>
  </si>
  <si>
    <t>24-HR</t>
  </si>
  <si>
    <t>DRILL</t>
  </si>
  <si>
    <t>FISHING</t>
  </si>
  <si>
    <t>CORE</t>
  </si>
  <si>
    <t>SEVER</t>
  </si>
  <si>
    <t>SUBSEA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</si>
  <si>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</si>
  <si>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</si>
  <si>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</si>
  <si>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</si>
  <si>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</si>
  <si>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</si>
  <si>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</si>
  <si>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</si>
  <si>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</si>
  <si>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</si>
  <si>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</si>
  <si>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</si>
  <si>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O</t>
  </si>
  <si>
    <t>P</t>
  </si>
  <si>
    <t>S</t>
  </si>
  <si>
    <t>T</t>
  </si>
  <si>
    <t>U</t>
  </si>
  <si>
    <t>V</t>
  </si>
  <si>
    <t>STUCK</t>
  </si>
  <si>
    <t>LWD</t>
  </si>
  <si>
    <t>Hole Trouble/Remedial Action</t>
  </si>
  <si>
    <t>Lost Time (WOW/Ice or Breakdown)</t>
  </si>
  <si>
    <t>Record of Time-On-Site</t>
  </si>
  <si>
    <t>Beacon Summary</t>
  </si>
  <si>
    <t>REENTRY</t>
  </si>
  <si>
    <t>TV/VIT</t>
  </si>
  <si>
    <t>Operations Time Distribution</t>
  </si>
  <si>
    <t>Bit Summary</t>
  </si>
  <si>
    <t>METER DRILLED WASHED</t>
  </si>
  <si>
    <t>Reentry Cone/Casing/Cementing</t>
  </si>
  <si>
    <t>RBI</t>
  </si>
  <si>
    <t>SITE HOLE</t>
  </si>
  <si>
    <t>Total VIT Deployments</t>
  </si>
  <si>
    <t>Total Distance Traveled  (Nm):</t>
  </si>
  <si>
    <t>Port</t>
  </si>
  <si>
    <t>No. of Beacon Deployments:</t>
  </si>
  <si>
    <t>11-7/16"</t>
  </si>
  <si>
    <t>Advanced Piston Corer (APC)</t>
  </si>
  <si>
    <t>C-3</t>
  </si>
  <si>
    <t>2005</t>
  </si>
  <si>
    <t>Note:  All times rounded off to nearest 15 minutes.</t>
  </si>
  <si>
    <t>Extended Core Barrel (XCB)</t>
  </si>
  <si>
    <t>Breakdown of Operating Days On-Site</t>
  </si>
  <si>
    <t>or ICE</t>
  </si>
  <si>
    <t>N/A</t>
  </si>
  <si>
    <t>DAYS</t>
  </si>
  <si>
    <t>Expedition Summary</t>
  </si>
  <si>
    <t>Total Days</t>
  </si>
  <si>
    <t>Total Standard Coring Statistics</t>
  </si>
  <si>
    <t>Good</t>
  </si>
  <si>
    <t>Press</t>
  </si>
  <si>
    <t>TOTALS</t>
  </si>
  <si>
    <t>India National Gas Hydrate Program (NGHP)</t>
  </si>
  <si>
    <t>Pressure Coring Summary</t>
  </si>
  <si>
    <t>01A</t>
  </si>
  <si>
    <t>02A/02B</t>
  </si>
  <si>
    <t>02B/UW/03A</t>
  </si>
  <si>
    <t>UW/02A</t>
  </si>
  <si>
    <t>UW</t>
  </si>
  <si>
    <t>03A/UW/04A</t>
  </si>
  <si>
    <t>04A/UW/05A</t>
  </si>
  <si>
    <t>05A/UW/06A</t>
  </si>
  <si>
    <t>06A</t>
  </si>
  <si>
    <t>06A/UW/07A</t>
  </si>
  <si>
    <t>07A/UW</t>
  </si>
  <si>
    <t>UW/08A</t>
  </si>
  <si>
    <t>08A/UW/09A</t>
  </si>
  <si>
    <t>P/UW</t>
  </si>
  <si>
    <t>01A/UW</t>
  </si>
  <si>
    <t>UW/P</t>
  </si>
  <si>
    <t>UW/01A</t>
  </si>
  <si>
    <t>09A</t>
  </si>
  <si>
    <t>Rendezvous w/supply boat</t>
  </si>
  <si>
    <t>09A/UW</t>
  </si>
  <si>
    <t>11A/UW/05B</t>
  </si>
  <si>
    <t>05B/UW</t>
  </si>
  <si>
    <t>Standby @ pilot station</t>
  </si>
  <si>
    <t>UW/05C</t>
  </si>
  <si>
    <t>05C</t>
  </si>
  <si>
    <t>05C/D</t>
  </si>
  <si>
    <t>CD978</t>
  </si>
  <si>
    <t>KGGH02-A</t>
  </si>
  <si>
    <t>NGHP-01-01A</t>
  </si>
  <si>
    <t>LEG</t>
  </si>
  <si>
    <t>3A</t>
  </si>
  <si>
    <t>3B</t>
  </si>
  <si>
    <t>KKGH-01</t>
  </si>
  <si>
    <t>15°</t>
  </si>
  <si>
    <t>18.366'</t>
  </si>
  <si>
    <t>070°</t>
  </si>
  <si>
    <t>54.192'</t>
  </si>
  <si>
    <t>KGGH03-A</t>
  </si>
  <si>
    <t>52.1190'</t>
  </si>
  <si>
    <t>081°</t>
  </si>
  <si>
    <t>49.3583'</t>
  </si>
  <si>
    <t>NGHP-01-03B</t>
  </si>
  <si>
    <t>NGHP-01-03C</t>
  </si>
  <si>
    <t>NGHP-01-05C</t>
  </si>
  <si>
    <t>NGHP-01-05D</t>
  </si>
  <si>
    <t>NGHP-01-07B</t>
  </si>
  <si>
    <t>NGHP-01-10B</t>
  </si>
  <si>
    <t>NGHP-01-12A</t>
  </si>
  <si>
    <t>52.1217'</t>
  </si>
  <si>
    <t>GDGH05-A</t>
  </si>
  <si>
    <t>53.8919'</t>
  </si>
  <si>
    <t>53.9678'</t>
  </si>
  <si>
    <t>KGGH01</t>
  </si>
  <si>
    <t>57.3794'</t>
  </si>
  <si>
    <t>59.4650'</t>
  </si>
  <si>
    <t>Site Summary Data</t>
  </si>
  <si>
    <t>16°</t>
  </si>
  <si>
    <t>01.7221'</t>
  </si>
  <si>
    <t>082°</t>
  </si>
  <si>
    <t>02.6773'</t>
  </si>
  <si>
    <t>01.7264'</t>
  </si>
  <si>
    <t>01.7172'</t>
  </si>
  <si>
    <t>02.6733'</t>
  </si>
  <si>
    <t>01.7248'</t>
  </si>
  <si>
    <t>02.6813'</t>
  </si>
  <si>
    <t>KGGH04</t>
  </si>
  <si>
    <t>KGGH06-A</t>
  </si>
  <si>
    <t>MNGH01-1A</t>
  </si>
  <si>
    <t>GD-3-1</t>
  </si>
  <si>
    <t>GDGH12-A</t>
  </si>
  <si>
    <t>ANGH01</t>
  </si>
  <si>
    <t>00.0928'</t>
  </si>
  <si>
    <t>08.2767'</t>
  </si>
  <si>
    <t>31.2785'</t>
  </si>
  <si>
    <t>40.8572'</t>
  </si>
  <si>
    <t>57.4271'</t>
  </si>
  <si>
    <t>085°</t>
  </si>
  <si>
    <t>43.3793'</t>
  </si>
  <si>
    <t>18°</t>
  </si>
  <si>
    <t>46.0908'</t>
  </si>
  <si>
    <t>37.5022'</t>
  </si>
  <si>
    <t>51.8609'</t>
  </si>
  <si>
    <t>50.0749'</t>
  </si>
  <si>
    <t>59.5290'</t>
  </si>
  <si>
    <t>MNGH01-2</t>
  </si>
  <si>
    <t>59.4601'</t>
  </si>
  <si>
    <t>51.8571'</t>
  </si>
  <si>
    <t>50.0789'</t>
  </si>
  <si>
    <t>India National Gas Hydrate Program</t>
  </si>
  <si>
    <t>Expedition NGHP-01</t>
  </si>
  <si>
    <t>Transit</t>
  </si>
  <si>
    <t>Chennai I Port Call</t>
  </si>
  <si>
    <t>Chennai II Port Call</t>
  </si>
  <si>
    <t>Transit to Port</t>
  </si>
  <si>
    <t>10A/UW</t>
  </si>
  <si>
    <t>UW/11A</t>
  </si>
  <si>
    <t xml:space="preserve"> 05D</t>
  </si>
  <si>
    <t xml:space="preserve"> 05D/05E</t>
  </si>
  <si>
    <t>Rec</t>
  </si>
  <si>
    <t>Mtrs</t>
  </si>
  <si>
    <t>%</t>
  </si>
  <si>
    <t>PCS</t>
  </si>
  <si>
    <t>FPC</t>
  </si>
  <si>
    <t>HRC</t>
  </si>
  <si>
    <t>Bar</t>
  </si>
  <si>
    <t>PSI</t>
  </si>
  <si>
    <t>Pressure</t>
  </si>
  <si>
    <t>10P</t>
  </si>
  <si>
    <t>12P</t>
  </si>
  <si>
    <t>5P</t>
  </si>
  <si>
    <t>6P</t>
  </si>
  <si>
    <t>9P</t>
  </si>
  <si>
    <t>7Y</t>
  </si>
  <si>
    <t>11Y</t>
  </si>
  <si>
    <t>8E</t>
  </si>
  <si>
    <t>10E</t>
  </si>
  <si>
    <t>15P</t>
  </si>
  <si>
    <t>28P</t>
  </si>
  <si>
    <t>8Y</t>
  </si>
  <si>
    <t>18Y</t>
  </si>
  <si>
    <t>21Y</t>
  </si>
  <si>
    <t>11E</t>
  </si>
  <si>
    <t>27E</t>
  </si>
  <si>
    <t>NGHP-01-10D</t>
  </si>
  <si>
    <t>25P</t>
  </si>
  <si>
    <t>9Y</t>
  </si>
  <si>
    <t>19Y</t>
  </si>
  <si>
    <t>12E</t>
  </si>
  <si>
    <t>22E</t>
  </si>
  <si>
    <t>Only</t>
  </si>
  <si>
    <t>Total</t>
  </si>
  <si>
    <t>S-Rate</t>
  </si>
  <si>
    <t>20P</t>
  </si>
  <si>
    <t>26P</t>
  </si>
  <si>
    <t>31P</t>
  </si>
  <si>
    <t>37P</t>
  </si>
  <si>
    <t>Site/Hole</t>
  </si>
  <si>
    <t>Core +</t>
  </si>
  <si>
    <t>Success Rate (Core + Presssure)</t>
  </si>
  <si>
    <t>Chennai III Port Call (ODL Crew Change)</t>
  </si>
  <si>
    <t>Start Hole 03B</t>
  </si>
  <si>
    <t>Start Hole 03C</t>
  </si>
  <si>
    <t>Start Hole 07B</t>
  </si>
  <si>
    <t>DP offset</t>
  </si>
  <si>
    <t>NGHP-01 EXPEDITION TOTALS:</t>
  </si>
  <si>
    <t>-----</t>
  </si>
  <si>
    <t>End Hole/End Site</t>
  </si>
  <si>
    <t>Mumbai, India - Port Call (Mobilization Port - ODL Crew Change)</t>
  </si>
  <si>
    <t>10B</t>
  </si>
  <si>
    <t>05E/UW/10B</t>
  </si>
  <si>
    <t>10B/10C/10D</t>
  </si>
  <si>
    <t>APC3/T</t>
  </si>
  <si>
    <t>DVTP</t>
  </si>
  <si>
    <t>10D</t>
  </si>
  <si>
    <t>LEG 1</t>
  </si>
  <si>
    <t>LEG 2</t>
  </si>
  <si>
    <t xml:space="preserve"> LEG 3A</t>
  </si>
  <si>
    <t>LEG 3B</t>
  </si>
  <si>
    <t>LEG 4</t>
  </si>
  <si>
    <t>(mbsf)</t>
  </si>
  <si>
    <t>51.6335'</t>
  </si>
  <si>
    <t>50.2274'</t>
  </si>
  <si>
    <t>New Site</t>
  </si>
  <si>
    <t>5Y</t>
  </si>
  <si>
    <t>6E</t>
  </si>
  <si>
    <t>7P</t>
  </si>
  <si>
    <t>11P</t>
  </si>
  <si>
    <t>GDG-3-1</t>
  </si>
  <si>
    <t>Pressure Coring (PCS/FPC/HRC)</t>
  </si>
  <si>
    <t>Standard &amp; Pressure Coring Summary</t>
  </si>
  <si>
    <t>10D/12A</t>
  </si>
  <si>
    <t>Drilling/Coring &amp; Tripping</t>
  </si>
  <si>
    <t>NGHP-01-12 TOTALS</t>
  </si>
  <si>
    <t>NGHP-01-11 TOTALS</t>
  </si>
  <si>
    <t>NGHP-01-10 TOTALS</t>
  </si>
  <si>
    <t>NGHP-01-09 TOTALS</t>
  </si>
  <si>
    <t>NGHP-01-08 TOTALS</t>
  </si>
  <si>
    <t>NGHP-01-07 TOTALS</t>
  </si>
  <si>
    <t>NGHP-01-06 TOTALS</t>
  </si>
  <si>
    <t>NGHP-01-05 TOTALS</t>
  </si>
  <si>
    <t>NGHP-01-04 TOTALS</t>
  </si>
  <si>
    <t>NGHP-01-03 TOTALS</t>
  </si>
  <si>
    <t>NGHP-01-01 TOTALS</t>
  </si>
  <si>
    <t>NGHP-01-02 TOTALS</t>
  </si>
  <si>
    <t>NGHP-01-13 TOTALS</t>
  </si>
  <si>
    <t>51.7017'</t>
  </si>
  <si>
    <t>50.1816'</t>
  </si>
  <si>
    <t>23.1*</t>
  </si>
  <si>
    <t>1st New Site</t>
  </si>
  <si>
    <t>2nd New Site</t>
  </si>
  <si>
    <t>DP transit</t>
  </si>
  <si>
    <t>1050.4*</t>
  </si>
  <si>
    <t>Pressure Coring Log</t>
  </si>
  <si>
    <t>03B</t>
  </si>
  <si>
    <t>03C</t>
  </si>
  <si>
    <t>05D</t>
  </si>
  <si>
    <t>07B</t>
  </si>
  <si>
    <t>12A</t>
  </si>
  <si>
    <t>Sequence</t>
  </si>
  <si>
    <t>System &amp;</t>
  </si>
  <si>
    <t>Meters</t>
  </si>
  <si>
    <t>Advanced</t>
  </si>
  <si>
    <t>(PSI)</t>
  </si>
  <si>
    <t>(Liters)</t>
  </si>
  <si>
    <t>Gas</t>
  </si>
  <si>
    <t>PCS-1</t>
  </si>
  <si>
    <t>PCS-2</t>
  </si>
  <si>
    <t>PCS-3</t>
  </si>
  <si>
    <t>PCS-4</t>
  </si>
  <si>
    <t>PCS-5</t>
  </si>
  <si>
    <t>PCS-6</t>
  </si>
  <si>
    <t>Sea Floor</t>
  </si>
  <si>
    <t>of Core</t>
  </si>
  <si>
    <t>Methane</t>
  </si>
  <si>
    <t>Tool Run</t>
  </si>
  <si>
    <t>(Good/Bad)</t>
  </si>
  <si>
    <t>PCS-7</t>
  </si>
  <si>
    <t>PCS-8</t>
  </si>
  <si>
    <t>PCS-9</t>
  </si>
  <si>
    <t>PCS-10</t>
  </si>
  <si>
    <t>PCS-11</t>
  </si>
  <si>
    <t>PCS-12</t>
  </si>
  <si>
    <t>FPC-1</t>
  </si>
  <si>
    <t>HRC-1</t>
  </si>
  <si>
    <t>HRC-2</t>
  </si>
  <si>
    <t>FPC-2</t>
  </si>
  <si>
    <t>PCS-13</t>
  </si>
  <si>
    <t>PCS-14</t>
  </si>
  <si>
    <t>PCS-15</t>
  </si>
  <si>
    <t>FPC-3</t>
  </si>
  <si>
    <t>FPC-4</t>
  </si>
  <si>
    <t>FPC-5</t>
  </si>
  <si>
    <t>HRC-3</t>
  </si>
  <si>
    <t>HRC-4</t>
  </si>
  <si>
    <t>PCS-16</t>
  </si>
  <si>
    <t>PCS-17</t>
  </si>
  <si>
    <t>PCS-18</t>
  </si>
  <si>
    <t>FPC-6</t>
  </si>
  <si>
    <t>FPC-7</t>
  </si>
  <si>
    <t>HRC-5</t>
  </si>
  <si>
    <t>HRC-6</t>
  </si>
  <si>
    <t>PCS-19</t>
  </si>
  <si>
    <t>PCS-20</t>
  </si>
  <si>
    <t>FPC-8</t>
  </si>
  <si>
    <t>FPC-9</t>
  </si>
  <si>
    <t>HRC-7</t>
  </si>
  <si>
    <t>HRC-8</t>
  </si>
  <si>
    <r>
      <t>NGHP-01-</t>
    </r>
    <r>
      <rPr>
        <b/>
        <u val="single"/>
        <sz val="8"/>
        <rFont val="Arial"/>
        <family val="2"/>
      </rPr>
      <t>01A</t>
    </r>
  </si>
  <si>
    <r>
      <t>NGHP-01-</t>
    </r>
    <r>
      <rPr>
        <b/>
        <u val="single"/>
        <sz val="8"/>
        <rFont val="Arial"/>
        <family val="2"/>
      </rPr>
      <t>02A</t>
    </r>
  </si>
  <si>
    <r>
      <t>NGHP-01-</t>
    </r>
    <r>
      <rPr>
        <b/>
        <u val="single"/>
        <sz val="8"/>
        <rFont val="Arial"/>
        <family val="2"/>
      </rPr>
      <t>02B</t>
    </r>
  </si>
  <si>
    <r>
      <t>NGHP-01-</t>
    </r>
    <r>
      <rPr>
        <b/>
        <u val="single"/>
        <sz val="8"/>
        <rFont val="Arial"/>
        <family val="2"/>
      </rPr>
      <t>03A</t>
    </r>
  </si>
  <si>
    <r>
      <t>NGHP-01-</t>
    </r>
    <r>
      <rPr>
        <b/>
        <u val="single"/>
        <sz val="8"/>
        <rFont val="Arial"/>
        <family val="2"/>
      </rPr>
      <t>04A</t>
    </r>
  </si>
  <si>
    <r>
      <t>NGHP-01-</t>
    </r>
    <r>
      <rPr>
        <b/>
        <u val="single"/>
        <sz val="8"/>
        <rFont val="Arial"/>
        <family val="2"/>
      </rPr>
      <t>05A</t>
    </r>
  </si>
  <si>
    <r>
      <t>NGHP-01-</t>
    </r>
    <r>
      <rPr>
        <b/>
        <u val="single"/>
        <sz val="8"/>
        <rFont val="Arial"/>
        <family val="2"/>
      </rPr>
      <t>05B</t>
    </r>
  </si>
  <si>
    <r>
      <t>NGHP-01-</t>
    </r>
    <r>
      <rPr>
        <b/>
        <u val="single"/>
        <sz val="8"/>
        <rFont val="Arial"/>
        <family val="2"/>
      </rPr>
      <t>05C</t>
    </r>
  </si>
  <si>
    <r>
      <t>NGHP-01-</t>
    </r>
    <r>
      <rPr>
        <b/>
        <u val="single"/>
        <sz val="8"/>
        <rFont val="Arial"/>
        <family val="2"/>
      </rPr>
      <t>05D</t>
    </r>
  </si>
  <si>
    <r>
      <t>NGHP-01-</t>
    </r>
    <r>
      <rPr>
        <b/>
        <u val="single"/>
        <sz val="8"/>
        <rFont val="Arial"/>
        <family val="2"/>
      </rPr>
      <t>05E</t>
    </r>
  </si>
  <si>
    <r>
      <t>NGHP-01-</t>
    </r>
    <r>
      <rPr>
        <b/>
        <u val="single"/>
        <sz val="8"/>
        <rFont val="Arial"/>
        <family val="2"/>
      </rPr>
      <t>06A</t>
    </r>
  </si>
  <si>
    <r>
      <t>NGHP-01-</t>
    </r>
    <r>
      <rPr>
        <b/>
        <u val="single"/>
        <sz val="8"/>
        <rFont val="Arial"/>
        <family val="2"/>
      </rPr>
      <t>07A</t>
    </r>
  </si>
  <si>
    <r>
      <t>NGHP-01-</t>
    </r>
    <r>
      <rPr>
        <b/>
        <u val="single"/>
        <sz val="8"/>
        <rFont val="Arial"/>
        <family val="2"/>
      </rPr>
      <t>08A</t>
    </r>
  </si>
  <si>
    <r>
      <t>NGHP-01-</t>
    </r>
    <r>
      <rPr>
        <b/>
        <u val="single"/>
        <sz val="8"/>
        <rFont val="Arial"/>
        <family val="2"/>
      </rPr>
      <t>09A</t>
    </r>
  </si>
  <si>
    <r>
      <t>NGHP-01-</t>
    </r>
    <r>
      <rPr>
        <b/>
        <u val="single"/>
        <sz val="8"/>
        <rFont val="Arial"/>
        <family val="2"/>
      </rPr>
      <t>10A</t>
    </r>
  </si>
  <si>
    <r>
      <t>NGHP-01-</t>
    </r>
    <r>
      <rPr>
        <b/>
        <u val="single"/>
        <sz val="8"/>
        <rFont val="Arial"/>
        <family val="2"/>
      </rPr>
      <t>10B</t>
    </r>
  </si>
  <si>
    <r>
      <t>NGHP-01-</t>
    </r>
    <r>
      <rPr>
        <b/>
        <u val="single"/>
        <sz val="8"/>
        <rFont val="Arial"/>
        <family val="2"/>
      </rPr>
      <t>10C</t>
    </r>
  </si>
  <si>
    <r>
      <t>NGHP-01-</t>
    </r>
    <r>
      <rPr>
        <b/>
        <u val="single"/>
        <sz val="8"/>
        <rFont val="Arial"/>
        <family val="2"/>
      </rPr>
      <t>10D</t>
    </r>
  </si>
  <si>
    <r>
      <t>NGHP-01-</t>
    </r>
    <r>
      <rPr>
        <b/>
        <u val="single"/>
        <sz val="8"/>
        <rFont val="Arial"/>
        <family val="2"/>
      </rPr>
      <t>11A</t>
    </r>
  </si>
  <si>
    <r>
      <t>NGHP-01-</t>
    </r>
    <r>
      <rPr>
        <b/>
        <u val="single"/>
        <sz val="8"/>
        <rFont val="Arial"/>
        <family val="2"/>
      </rPr>
      <t>12A</t>
    </r>
  </si>
  <si>
    <r>
      <t>NGHP-01-</t>
    </r>
    <r>
      <rPr>
        <b/>
        <u val="single"/>
        <sz val="8"/>
        <rFont val="Arial"/>
        <family val="2"/>
      </rPr>
      <t>13A</t>
    </r>
  </si>
  <si>
    <t>12A/13A</t>
  </si>
  <si>
    <t>13A/UW</t>
  </si>
  <si>
    <t>Misc/Other (hole displacement, DP moves, etc.)</t>
  </si>
  <si>
    <t>53.8881'</t>
  </si>
  <si>
    <t>53.9638'</t>
  </si>
  <si>
    <t>13P</t>
  </si>
  <si>
    <t>53.8957'</t>
  </si>
  <si>
    <t>53.9718'</t>
  </si>
  <si>
    <t>22P</t>
  </si>
  <si>
    <t>23Y</t>
  </si>
  <si>
    <t>28E</t>
  </si>
  <si>
    <t>4P</t>
  </si>
  <si>
    <t>27P</t>
  </si>
  <si>
    <t>06P</t>
  </si>
  <si>
    <t>04P</t>
  </si>
  <si>
    <t>05Y</t>
  </si>
  <si>
    <t>06E</t>
  </si>
  <si>
    <t>07P</t>
  </si>
  <si>
    <t>08Y</t>
  </si>
  <si>
    <t>UW/03B</t>
  </si>
  <si>
    <t>03B/C</t>
  </si>
  <si>
    <t>09Y</t>
  </si>
  <si>
    <t>3rd New Site</t>
  </si>
  <si>
    <t>NGHP-01-14 TOTALS</t>
  </si>
  <si>
    <t>31.2747'</t>
  </si>
  <si>
    <t>40.8612'</t>
  </si>
  <si>
    <t>Start Hole 14A</t>
  </si>
  <si>
    <t>1st ANGH01</t>
  </si>
  <si>
    <r>
      <t>NGHP-01-</t>
    </r>
    <r>
      <rPr>
        <b/>
        <u val="single"/>
        <sz val="8"/>
        <rFont val="Arial"/>
        <family val="2"/>
      </rPr>
      <t>03B</t>
    </r>
  </si>
  <si>
    <r>
      <t>NGHP-01-</t>
    </r>
    <r>
      <rPr>
        <b/>
        <u val="single"/>
        <sz val="8"/>
        <rFont val="Arial"/>
        <family val="2"/>
      </rPr>
      <t>03C</t>
    </r>
  </si>
  <si>
    <t>Start Hole 13A</t>
  </si>
  <si>
    <t>Start Hole 01A</t>
  </si>
  <si>
    <t>Start Hole 02A</t>
  </si>
  <si>
    <t>Start Hole 02B</t>
  </si>
  <si>
    <t>Start Hole 03A</t>
  </si>
  <si>
    <t>Start Hole 04A</t>
  </si>
  <si>
    <t>Start Hole 05A</t>
  </si>
  <si>
    <t>Start Hole 06A</t>
  </si>
  <si>
    <t>Start Hole 07A</t>
  </si>
  <si>
    <t>Start Hole 08A</t>
  </si>
  <si>
    <t>Start Hole 09A</t>
  </si>
  <si>
    <t>Start Hole 10A</t>
  </si>
  <si>
    <t>Start Hole 11A</t>
  </si>
  <si>
    <t>Start Hole 05B</t>
  </si>
  <si>
    <t>Start Hole 05C</t>
  </si>
  <si>
    <t>Start Hole 05D</t>
  </si>
  <si>
    <t>Start Hole 05E</t>
  </si>
  <si>
    <t>Start Hole 10B</t>
  </si>
  <si>
    <t>Start Hole 10C</t>
  </si>
  <si>
    <t>Start Hole 10D</t>
  </si>
  <si>
    <t>Start Hole 12A</t>
  </si>
  <si>
    <t>GDGH14-A</t>
  </si>
  <si>
    <t>GDGH11</t>
  </si>
  <si>
    <t>Start Hole 17A</t>
  </si>
  <si>
    <t>31.2823'</t>
  </si>
  <si>
    <t>40.8532'</t>
  </si>
  <si>
    <r>
      <t>NGHP-01-</t>
    </r>
    <r>
      <rPr>
        <b/>
        <u val="single"/>
        <sz val="8"/>
        <rFont val="Arial"/>
        <family val="2"/>
      </rPr>
      <t>07C</t>
    </r>
  </si>
  <si>
    <t>NGHP-01-15A</t>
  </si>
  <si>
    <t>NGHP-01-16A</t>
  </si>
  <si>
    <t>PROSPECTUS</t>
  </si>
  <si>
    <t>SITE/HOLE</t>
  </si>
  <si>
    <t>DESIGNATION</t>
  </si>
  <si>
    <t>07B/C/D</t>
  </si>
  <si>
    <t>07D</t>
  </si>
  <si>
    <t>1/2 rep rate when dep</t>
  </si>
  <si>
    <t>2nd beacon deployed</t>
  </si>
  <si>
    <t>NGHP-01-14A</t>
  </si>
  <si>
    <t>NGHP-01-17A</t>
  </si>
  <si>
    <t>495FM</t>
  </si>
  <si>
    <t>9-7/8"</t>
  </si>
  <si>
    <t>XCB Bit SN CD978</t>
  </si>
  <si>
    <t>Tricone Drill Bit SN 495FM</t>
  </si>
  <si>
    <t>All India NGHP-01 Bits</t>
  </si>
  <si>
    <t>Hughes</t>
  </si>
  <si>
    <t>J4</t>
  </si>
  <si>
    <t>14A</t>
  </si>
  <si>
    <t>12Y</t>
  </si>
  <si>
    <t>16Y</t>
  </si>
  <si>
    <t>21P</t>
  </si>
  <si>
    <t>29Y</t>
  </si>
  <si>
    <t>GDGH-11</t>
  </si>
  <si>
    <t>* Due to full recovery on 1st core the mudline @ Hole 10C was indeterminate. Based on the Hole 10D mudline the assumed interval cored is from ~23.1 mbsf to ~32.6 mbsf.</t>
  </si>
  <si>
    <t>Start Hole 07C</t>
  </si>
  <si>
    <t>Start Hole 07D</t>
  </si>
  <si>
    <r>
      <t>NGHP-01-</t>
    </r>
    <r>
      <rPr>
        <b/>
        <u val="single"/>
        <sz val="8"/>
        <rFont val="Arial"/>
        <family val="2"/>
      </rPr>
      <t>07B</t>
    </r>
  </si>
  <si>
    <r>
      <t>NGHP-01-</t>
    </r>
    <r>
      <rPr>
        <b/>
        <u val="single"/>
        <sz val="8"/>
        <rFont val="Arial"/>
        <family val="2"/>
      </rPr>
      <t>07D</t>
    </r>
  </si>
  <si>
    <t>10Y</t>
  </si>
  <si>
    <t>14P</t>
  </si>
  <si>
    <t>15E</t>
  </si>
  <si>
    <t>PCS-21</t>
  </si>
  <si>
    <t>FPC-10</t>
  </si>
  <si>
    <t>PCS-22</t>
  </si>
  <si>
    <t>HRC-9</t>
  </si>
  <si>
    <t>SUCCESS</t>
  </si>
  <si>
    <t>PRESS &amp; CORE</t>
  </si>
  <si>
    <t>BY SYSTEM</t>
  </si>
  <si>
    <t>PCS CORES</t>
  </si>
  <si>
    <t>FPC CORES</t>
  </si>
  <si>
    <t>HRC CORES</t>
  </si>
  <si>
    <t>PRESS/CORE</t>
  </si>
  <si>
    <t>07D/UW/14A</t>
  </si>
  <si>
    <t>03.5577'</t>
  </si>
  <si>
    <t>05.6218'</t>
  </si>
  <si>
    <t>Logging (LWD/MWD)</t>
  </si>
  <si>
    <t>Logging (Wireline)</t>
  </si>
  <si>
    <t>05.6983'</t>
  </si>
  <si>
    <t>09.7467'</t>
  </si>
  <si>
    <t>15A</t>
  </si>
  <si>
    <t>PCS-23</t>
  </si>
  <si>
    <t>FPC-11</t>
  </si>
  <si>
    <r>
      <t>NGHP-01-</t>
    </r>
    <r>
      <rPr>
        <b/>
        <u val="single"/>
        <sz val="8"/>
        <rFont val="Arial"/>
        <family val="2"/>
      </rPr>
      <t>14A</t>
    </r>
  </si>
  <si>
    <t>Stepout Site</t>
  </si>
  <si>
    <t>DP Transit</t>
  </si>
  <si>
    <t>PCS-24</t>
  </si>
  <si>
    <t>FPC-12</t>
  </si>
  <si>
    <t>PCS-25</t>
  </si>
  <si>
    <t>FPC-13</t>
  </si>
  <si>
    <t>PCS-26</t>
  </si>
  <si>
    <t>FPC-14</t>
  </si>
  <si>
    <t>PCS-27</t>
  </si>
  <si>
    <t>FPC-15</t>
  </si>
  <si>
    <t>HRC-10</t>
  </si>
  <si>
    <t>PCS-28</t>
  </si>
  <si>
    <t>FPC-16</t>
  </si>
  <si>
    <t>HRC-11</t>
  </si>
  <si>
    <t>PCS-29</t>
  </si>
  <si>
    <t>PCS-30</t>
  </si>
  <si>
    <t>FPC-17</t>
  </si>
  <si>
    <t>PCS-31</t>
  </si>
  <si>
    <t>HRC-12</t>
  </si>
  <si>
    <t>PCS-32</t>
  </si>
  <si>
    <t>FPC-18</t>
  </si>
  <si>
    <t>PCS-33</t>
  </si>
  <si>
    <t>FPC-19</t>
  </si>
  <si>
    <t>16A</t>
  </si>
  <si>
    <t>07 Stepout</t>
  </si>
  <si>
    <t>Start Hole 15A</t>
  </si>
  <si>
    <t>Start Hole 16A</t>
  </si>
  <si>
    <t>35.5986'</t>
  </si>
  <si>
    <t>41.0070'</t>
  </si>
  <si>
    <t>NUMBER</t>
  </si>
  <si>
    <t>(meters)</t>
  </si>
  <si>
    <t>PDR DEPTH</t>
  </si>
  <si>
    <t>CORRECTED</t>
  </si>
  <si>
    <t>DES to Sea Floor</t>
  </si>
  <si>
    <t>Sea Surface to Sea Floor</t>
  </si>
  <si>
    <t>SHIPS</t>
  </si>
  <si>
    <t>DRAFT</t>
  </si>
  <si>
    <t>TYPE OF</t>
  </si>
  <si>
    <t>DETERMINATION</t>
  </si>
  <si>
    <t>SPUD</t>
  </si>
  <si>
    <t>APC Core</t>
  </si>
  <si>
    <t>LWD Tag</t>
  </si>
  <si>
    <t>XCB Tag</t>
  </si>
  <si>
    <t>Hole C</t>
  </si>
  <si>
    <t>Hole D</t>
  </si>
  <si>
    <r>
      <t>NGHP-01-</t>
    </r>
    <r>
      <rPr>
        <b/>
        <u val="single"/>
        <sz val="8"/>
        <rFont val="Arial"/>
        <family val="2"/>
      </rPr>
      <t>15A</t>
    </r>
  </si>
  <si>
    <t>"Sea Floor" Depth to "Water" Depth Conversion</t>
  </si>
  <si>
    <t>14Y</t>
  </si>
  <si>
    <t>PCS-34</t>
  </si>
  <si>
    <t>PCS-35</t>
  </si>
  <si>
    <t>FPC-20</t>
  </si>
  <si>
    <t>HRC-13</t>
  </si>
  <si>
    <r>
      <t>NGHP-01-</t>
    </r>
    <r>
      <rPr>
        <b/>
        <u val="single"/>
        <sz val="8"/>
        <rFont val="Arial"/>
        <family val="2"/>
      </rPr>
      <t>16A</t>
    </r>
  </si>
  <si>
    <t>W/Press</t>
  </si>
  <si>
    <t>Grand Total</t>
  </si>
  <si>
    <t>16A/UW</t>
  </si>
  <si>
    <t>UW/17A</t>
  </si>
  <si>
    <t>UW/15A</t>
  </si>
  <si>
    <t>UW/16A</t>
  </si>
  <si>
    <t>17A</t>
  </si>
  <si>
    <t>20Y</t>
  </si>
  <si>
    <t>FPC-21</t>
  </si>
  <si>
    <t>10°</t>
  </si>
  <si>
    <t>45.1912'</t>
  </si>
  <si>
    <t>093°</t>
  </si>
  <si>
    <t>06.7365'</t>
  </si>
  <si>
    <t>38Y</t>
  </si>
  <si>
    <t>PCS-36</t>
  </si>
  <si>
    <t>FPC-22</t>
  </si>
  <si>
    <t>48P</t>
  </si>
  <si>
    <t>49E</t>
  </si>
  <si>
    <t>59P</t>
  </si>
  <si>
    <t>60Y</t>
  </si>
  <si>
    <t>70P</t>
  </si>
  <si>
    <t>71E</t>
  </si>
  <si>
    <t>PCS-37</t>
  </si>
  <si>
    <t>PCS-38</t>
  </si>
  <si>
    <t>PCS-39</t>
  </si>
  <si>
    <t>HRC-14</t>
  </si>
  <si>
    <t>FPC-23</t>
  </si>
  <si>
    <t>HRC-15</t>
  </si>
  <si>
    <t>Reliance 5</t>
  </si>
  <si>
    <t>MNGH-</t>
  </si>
  <si>
    <t>Gap Site</t>
  </si>
  <si>
    <t>MNGH-REL 5</t>
  </si>
  <si>
    <t>MNGH-GapS</t>
  </si>
  <si>
    <t>NGHP-01-15 TOTALS</t>
  </si>
  <si>
    <t>NGHP-01-16 TOTALS</t>
  </si>
  <si>
    <t>NGHP-01-17 TOTALS</t>
  </si>
  <si>
    <t>On-site rendezvous for science staffing change (3ea) helicopters on 17 August 06</t>
  </si>
  <si>
    <t>1083.0*</t>
  </si>
  <si>
    <t>0.0%</t>
  </si>
  <si>
    <t>MNGH - REL 5</t>
  </si>
  <si>
    <t>MNGH - GapS</t>
  </si>
  <si>
    <t>MNGH -</t>
  </si>
  <si>
    <t>Total Meters:</t>
  </si>
  <si>
    <t>Total Rotating Hours:</t>
  </si>
  <si>
    <t>81E</t>
  </si>
  <si>
    <t>HRC-16</t>
  </si>
  <si>
    <t>45.1804'</t>
  </si>
  <si>
    <t>Start Hole 17B</t>
  </si>
  <si>
    <r>
      <t>NGHP-01-</t>
    </r>
    <r>
      <rPr>
        <b/>
        <u val="single"/>
        <sz val="8"/>
        <rFont val="Arial"/>
        <family val="2"/>
      </rPr>
      <t>17A</t>
    </r>
  </si>
  <si>
    <t>Chennai, India - Port Call (Demobilization Port)</t>
  </si>
  <si>
    <t>17A/B</t>
  </si>
  <si>
    <t>17B</t>
  </si>
  <si>
    <t>17B/UW</t>
  </si>
  <si>
    <r>
      <t>NGHP-01-</t>
    </r>
    <r>
      <rPr>
        <b/>
        <u val="single"/>
        <sz val="8"/>
        <rFont val="Arial"/>
        <family val="2"/>
      </rPr>
      <t>17B</t>
    </r>
  </si>
  <si>
    <t>UW/18A</t>
  </si>
  <si>
    <t>NGHP-01-18A</t>
  </si>
  <si>
    <t>NGHP-01-18 TOTALS</t>
  </si>
  <si>
    <t>NGHP-01-19A</t>
  </si>
  <si>
    <t>NGHP-01-20A</t>
  </si>
  <si>
    <r>
      <t>NGHP-01-</t>
    </r>
    <r>
      <rPr>
        <b/>
        <u val="single"/>
        <sz val="8"/>
        <rFont val="Arial"/>
        <family val="2"/>
      </rPr>
      <t>18A</t>
    </r>
  </si>
  <si>
    <t>19°</t>
  </si>
  <si>
    <t>09.1452'</t>
  </si>
  <si>
    <t>46.3758'</t>
  </si>
  <si>
    <t>Start Hole 18A</t>
  </si>
  <si>
    <t>Total Pressure Cores Attempted:</t>
  </si>
  <si>
    <t>Cores Recovered Under Pressure:</t>
  </si>
  <si>
    <t>Percent Cores Rec'd Under Press:</t>
  </si>
  <si>
    <t>18A/UW</t>
  </si>
  <si>
    <t>18A</t>
  </si>
  <si>
    <t>not initially recovered due to sea state</t>
  </si>
  <si>
    <t>19A</t>
  </si>
  <si>
    <t>KGGH05</t>
  </si>
  <si>
    <t>NGHP-01-21A</t>
  </si>
  <si>
    <t>GDGH05</t>
  </si>
  <si>
    <t>20A</t>
  </si>
  <si>
    <t>21A</t>
  </si>
  <si>
    <t>New FR1</t>
  </si>
  <si>
    <t>Start Hole 19A</t>
  </si>
  <si>
    <t>Start Hole 20A</t>
  </si>
  <si>
    <t>Start Hole 21A</t>
  </si>
  <si>
    <t>17E</t>
  </si>
  <si>
    <t>PCS-40</t>
  </si>
  <si>
    <t>FPC-24</t>
  </si>
  <si>
    <t>HRC-17</t>
  </si>
  <si>
    <t>26Y</t>
  </si>
  <si>
    <t>PCS-41</t>
  </si>
  <si>
    <t>FPC-25</t>
  </si>
  <si>
    <t>HRC-18</t>
  </si>
  <si>
    <t>58.6568'</t>
  </si>
  <si>
    <t>39.5202'</t>
  </si>
  <si>
    <t>NGHP-01-19 TOTALS</t>
  </si>
  <si>
    <t>NGHP-01-20 TOTALS</t>
  </si>
  <si>
    <t>NGHP-01-21 TOTALS</t>
  </si>
  <si>
    <r>
      <t>NGHP-01-</t>
    </r>
    <r>
      <rPr>
        <b/>
        <u val="single"/>
        <sz val="8"/>
        <rFont val="Arial"/>
        <family val="2"/>
      </rPr>
      <t>19A</t>
    </r>
  </si>
  <si>
    <t>19A/B</t>
  </si>
  <si>
    <t>NGHP-01-19B</t>
  </si>
  <si>
    <r>
      <t>NGHP-01-</t>
    </r>
    <r>
      <rPr>
        <b/>
        <u val="single"/>
        <sz val="8"/>
        <rFont val="Arial"/>
        <family val="2"/>
      </rPr>
      <t>19B</t>
    </r>
  </si>
  <si>
    <t>39.5160'</t>
  </si>
  <si>
    <t>58.6532'</t>
  </si>
  <si>
    <t>Start Hole 19B</t>
  </si>
  <si>
    <t>DP Offset</t>
  </si>
  <si>
    <t>19B/UW</t>
  </si>
  <si>
    <t>UW/20A</t>
  </si>
  <si>
    <t>MNGH-Gap S</t>
  </si>
  <si>
    <t>NGHP-01 EXPEDITION TOTALS (DAYS ON-SITE):</t>
  </si>
  <si>
    <t>NGHP-01 EXPEDITION TOTALS (HOURS ON-SITE):</t>
  </si>
  <si>
    <t>re-occupied old site 10</t>
  </si>
  <si>
    <t>48.5671'</t>
  </si>
  <si>
    <t>50.5760'</t>
  </si>
  <si>
    <t>STAND-BY TIME @ Pilot Station:</t>
  </si>
  <si>
    <t>NGHP-01-20B</t>
  </si>
  <si>
    <r>
      <t>NGHP-01-</t>
    </r>
    <r>
      <rPr>
        <b/>
        <u val="single"/>
        <sz val="8"/>
        <rFont val="Arial"/>
        <family val="2"/>
      </rPr>
      <t>20B</t>
    </r>
  </si>
  <si>
    <r>
      <t>NGHP-01-</t>
    </r>
    <r>
      <rPr>
        <b/>
        <u val="single"/>
        <sz val="8"/>
        <rFont val="Arial"/>
        <family val="2"/>
      </rPr>
      <t>20A</t>
    </r>
  </si>
  <si>
    <t>PCS-42</t>
  </si>
  <si>
    <t>48.5709'</t>
  </si>
  <si>
    <t>50.5720'</t>
  </si>
  <si>
    <t>Start Hole 20B</t>
  </si>
  <si>
    <t>New Site FR1</t>
  </si>
  <si>
    <r>
      <t>NGHP-01-</t>
    </r>
    <r>
      <rPr>
        <b/>
        <u val="single"/>
        <sz val="8"/>
        <rFont val="Arial"/>
        <family val="2"/>
      </rPr>
      <t>21A</t>
    </r>
  </si>
  <si>
    <r>
      <t>NGHP-01-</t>
    </r>
    <r>
      <rPr>
        <b/>
        <u val="single"/>
        <sz val="8"/>
        <rFont val="Arial"/>
        <family val="2"/>
      </rPr>
      <t>21B</t>
    </r>
  </si>
  <si>
    <t>2Y</t>
  </si>
  <si>
    <t>3E</t>
  </si>
  <si>
    <t>6Y</t>
  </si>
  <si>
    <t>7E</t>
  </si>
  <si>
    <t>FPC-26</t>
  </si>
  <si>
    <t>FPC-27</t>
  </si>
  <si>
    <t>FPC-28</t>
  </si>
  <si>
    <t>HRC-19</t>
  </si>
  <si>
    <t>HRC-20</t>
  </si>
  <si>
    <t>HRC-21</t>
  </si>
  <si>
    <t>FPC-29</t>
  </si>
  <si>
    <t>21B</t>
  </si>
  <si>
    <t>FPC-30</t>
  </si>
  <si>
    <t>HRC-22</t>
  </si>
  <si>
    <t>HRC-23</t>
  </si>
  <si>
    <t>Start Hole 21B</t>
  </si>
  <si>
    <t>SEA FLOOR</t>
  </si>
  <si>
    <t>HOLE A</t>
  </si>
  <si>
    <r>
      <t>NGHP-01-</t>
    </r>
    <r>
      <rPr>
        <b/>
        <u val="single"/>
        <sz val="8"/>
        <rFont val="Arial"/>
        <family val="2"/>
      </rPr>
      <t>01</t>
    </r>
  </si>
  <si>
    <r>
      <t>NGHP-01-</t>
    </r>
    <r>
      <rPr>
        <b/>
        <u val="single"/>
        <sz val="8"/>
        <rFont val="Arial"/>
        <family val="2"/>
      </rPr>
      <t>02</t>
    </r>
  </si>
  <si>
    <r>
      <t>NGHP-01-</t>
    </r>
    <r>
      <rPr>
        <b/>
        <u val="single"/>
        <sz val="8"/>
        <rFont val="Arial"/>
        <family val="2"/>
      </rPr>
      <t>03</t>
    </r>
  </si>
  <si>
    <r>
      <t>NGHP-01-</t>
    </r>
    <r>
      <rPr>
        <b/>
        <u val="single"/>
        <sz val="8"/>
        <rFont val="Arial"/>
        <family val="2"/>
      </rPr>
      <t>04</t>
    </r>
  </si>
  <si>
    <r>
      <t>NGHP-01-</t>
    </r>
    <r>
      <rPr>
        <b/>
        <u val="single"/>
        <sz val="8"/>
        <rFont val="Arial"/>
        <family val="2"/>
      </rPr>
      <t>05</t>
    </r>
  </si>
  <si>
    <r>
      <t>NGHP-01-</t>
    </r>
    <r>
      <rPr>
        <b/>
        <u val="single"/>
        <sz val="8"/>
        <rFont val="Arial"/>
        <family val="2"/>
      </rPr>
      <t>06</t>
    </r>
  </si>
  <si>
    <r>
      <t>NGHP-01-</t>
    </r>
    <r>
      <rPr>
        <b/>
        <u val="single"/>
        <sz val="8"/>
        <rFont val="Arial"/>
        <family val="2"/>
      </rPr>
      <t>07</t>
    </r>
  </si>
  <si>
    <r>
      <t>NGHP-01-</t>
    </r>
    <r>
      <rPr>
        <b/>
        <u val="single"/>
        <sz val="8"/>
        <rFont val="Arial"/>
        <family val="2"/>
      </rPr>
      <t>08</t>
    </r>
  </si>
  <si>
    <r>
      <t>NGHP-01-</t>
    </r>
    <r>
      <rPr>
        <b/>
        <u val="single"/>
        <sz val="8"/>
        <rFont val="Arial"/>
        <family val="2"/>
      </rPr>
      <t>09</t>
    </r>
  </si>
  <si>
    <r>
      <t>NGHP-01-</t>
    </r>
    <r>
      <rPr>
        <b/>
        <u val="single"/>
        <sz val="8"/>
        <rFont val="Arial"/>
        <family val="2"/>
      </rPr>
      <t>10</t>
    </r>
  </si>
  <si>
    <r>
      <t>NGHP-01-</t>
    </r>
    <r>
      <rPr>
        <b/>
        <u val="single"/>
        <sz val="8"/>
        <rFont val="Arial"/>
        <family val="2"/>
      </rPr>
      <t>11</t>
    </r>
  </si>
  <si>
    <r>
      <t>NGHP-01-</t>
    </r>
    <r>
      <rPr>
        <b/>
        <u val="single"/>
        <sz val="8"/>
        <rFont val="Arial"/>
        <family val="2"/>
      </rPr>
      <t>12</t>
    </r>
  </si>
  <si>
    <r>
      <t>NGHP-01-</t>
    </r>
    <r>
      <rPr>
        <b/>
        <u val="single"/>
        <sz val="8"/>
        <rFont val="Arial"/>
        <family val="2"/>
      </rPr>
      <t>13</t>
    </r>
  </si>
  <si>
    <r>
      <t>NGHP-01-</t>
    </r>
    <r>
      <rPr>
        <b/>
        <u val="single"/>
        <sz val="8"/>
        <rFont val="Arial"/>
        <family val="2"/>
      </rPr>
      <t>14</t>
    </r>
  </si>
  <si>
    <r>
      <t>NGHP-01-</t>
    </r>
    <r>
      <rPr>
        <b/>
        <u val="single"/>
        <sz val="8"/>
        <rFont val="Arial"/>
        <family val="2"/>
      </rPr>
      <t>15</t>
    </r>
  </si>
  <si>
    <r>
      <t>NGHP-01-</t>
    </r>
    <r>
      <rPr>
        <b/>
        <u val="single"/>
        <sz val="8"/>
        <rFont val="Arial"/>
        <family val="2"/>
      </rPr>
      <t>16</t>
    </r>
  </si>
  <si>
    <r>
      <t>NGHP-01-</t>
    </r>
    <r>
      <rPr>
        <b/>
        <u val="single"/>
        <sz val="8"/>
        <rFont val="Arial"/>
        <family val="2"/>
      </rPr>
      <t>17</t>
    </r>
  </si>
  <si>
    <r>
      <t>NGHP-01-</t>
    </r>
    <r>
      <rPr>
        <b/>
        <u val="single"/>
        <sz val="8"/>
        <rFont val="Arial"/>
        <family val="2"/>
      </rPr>
      <t>18</t>
    </r>
  </si>
  <si>
    <r>
      <t>NGHP-01-</t>
    </r>
    <r>
      <rPr>
        <b/>
        <u val="single"/>
        <sz val="8"/>
        <rFont val="Arial"/>
        <family val="2"/>
      </rPr>
      <t>19</t>
    </r>
  </si>
  <si>
    <r>
      <t>NGHP-01-</t>
    </r>
    <r>
      <rPr>
        <b/>
        <u val="single"/>
        <sz val="8"/>
        <rFont val="Arial"/>
        <family val="2"/>
      </rPr>
      <t>20</t>
    </r>
  </si>
  <si>
    <t>21C</t>
  </si>
  <si>
    <t>1Y</t>
  </si>
  <si>
    <t>2E</t>
  </si>
  <si>
    <t>20A/B/UW/21A</t>
  </si>
  <si>
    <t>21A/21B</t>
  </si>
  <si>
    <t>1E</t>
  </si>
  <si>
    <t>NGHP-01-21B</t>
  </si>
  <si>
    <t>NGHP-01-21C</t>
  </si>
  <si>
    <t>51.8531'</t>
  </si>
  <si>
    <t>50.0827'</t>
  </si>
  <si>
    <t>51.8024'</t>
  </si>
  <si>
    <t>50.1333'</t>
  </si>
  <si>
    <t>21B/C/UW</t>
  </si>
  <si>
    <t>51.8492'</t>
  </si>
  <si>
    <t>50.0866'</t>
  </si>
  <si>
    <t>Stored</t>
  </si>
  <si>
    <t>3Y</t>
  </si>
  <si>
    <t>4E</t>
  </si>
  <si>
    <t>FPC-31</t>
  </si>
  <si>
    <t>HRC-24</t>
  </si>
  <si>
    <t>Nautical Miles Moved In DP Transit:</t>
  </si>
  <si>
    <r>
      <t>NGHP-01-</t>
    </r>
    <r>
      <rPr>
        <b/>
        <u val="single"/>
        <sz val="8"/>
        <rFont val="Arial"/>
        <family val="2"/>
      </rPr>
      <t>21C</t>
    </r>
  </si>
  <si>
    <r>
      <t>NGHP-01-</t>
    </r>
    <r>
      <rPr>
        <b/>
        <u val="single"/>
        <sz val="8"/>
        <rFont val="Arial"/>
        <family val="2"/>
      </rPr>
      <t>21</t>
    </r>
  </si>
  <si>
    <t>TOTAL METERS CORED:</t>
  </si>
  <si>
    <t>PERCENT RECOVERY:</t>
  </si>
  <si>
    <t>TOTAL METERS OF CORE RECOVERED (UNDER PRESSURE):</t>
  </si>
  <si>
    <t>TOTAL METERS OF CORE RECOVERED:</t>
  </si>
  <si>
    <t>Note-1: Arrive Mumbai</t>
  </si>
  <si>
    <t>Note-2: Depart Chennai (last line away):</t>
  </si>
  <si>
    <t>Summary of Operational Statistics</t>
  </si>
  <si>
    <t>(28 April 2006 to 19 August 2006)</t>
  </si>
  <si>
    <t>NGHP-01-01 (KKGH-01)</t>
  </si>
  <si>
    <t>4H</t>
  </si>
  <si>
    <t>7H</t>
  </si>
  <si>
    <t>9H</t>
  </si>
  <si>
    <t>13H</t>
  </si>
  <si>
    <t>APCT</t>
  </si>
  <si>
    <t>−−</t>
  </si>
  <si>
    <t>3H</t>
  </si>
  <si>
    <t>ACPT-3</t>
  </si>
  <si>
    <t>5H</t>
  </si>
  <si>
    <t>APCT-3</t>
  </si>
  <si>
    <t>6H</t>
  </si>
  <si>
    <t>NGHP-01-05 (KGGH02-A)</t>
  </si>
  <si>
    <t>NGHP-01-03 (GDGH05-A)</t>
  </si>
  <si>
    <t>System</t>
  </si>
  <si>
    <t>NGHP-01-07 (KGGH06-A)</t>
  </si>
  <si>
    <t>NGHP-01-10 (GD-3-1)</t>
  </si>
  <si>
    <t>NGHP-01-14 (GDGH14-A)</t>
  </si>
  <si>
    <t>NGHP-01-15 (GDGH-11)</t>
  </si>
  <si>
    <t>(Stepout Hole from Site NGHP-01-07)</t>
  </si>
  <si>
    <t>NGHP-01-16</t>
  </si>
  <si>
    <t>NGHP-01-17 (ANGH01)</t>
  </si>
  <si>
    <t>NGHP-01-18 (MNGH-Reliance Site 5)</t>
  </si>
  <si>
    <t>NGHP-01-19 (MNGH - Gap Site)</t>
  </si>
  <si>
    <t>NGHP-01-20 (KGGH05)</t>
  </si>
  <si>
    <t>Temperature Tool Deployments</t>
  </si>
  <si>
    <t>In-Situ Temperature Tools (APC/3, APC/T, DVTP)</t>
  </si>
  <si>
    <t>No. of Lost Beacons:</t>
  </si>
  <si>
    <t>Total Interval Cored  (m):</t>
  </si>
  <si>
    <t>Total Core Recovery  (m):</t>
  </si>
  <si>
    <t>Total Interval Drilled  (m):</t>
  </si>
  <si>
    <t>Total Penetration (m):</t>
  </si>
  <si>
    <t>Max Penetration  (m):</t>
  </si>
  <si>
    <t>Min Penetration  (m):</t>
  </si>
  <si>
    <t>Recovered</t>
  </si>
  <si>
    <r>
      <t>NGHP-01-</t>
    </r>
    <r>
      <rPr>
        <b/>
        <u val="single"/>
        <sz val="8"/>
        <color indexed="8"/>
        <rFont val="Arial"/>
        <family val="2"/>
      </rPr>
      <t>01A</t>
    </r>
  </si>
  <si>
    <r>
      <t>NGHP-01-</t>
    </r>
    <r>
      <rPr>
        <b/>
        <u val="single"/>
        <sz val="8"/>
        <color indexed="8"/>
        <rFont val="Arial"/>
        <family val="2"/>
      </rPr>
      <t>02A</t>
    </r>
  </si>
  <si>
    <r>
      <t>NGHP-01-</t>
    </r>
    <r>
      <rPr>
        <b/>
        <u val="single"/>
        <sz val="8"/>
        <color indexed="8"/>
        <rFont val="Arial"/>
        <family val="2"/>
      </rPr>
      <t>02B</t>
    </r>
  </si>
  <si>
    <r>
      <t>NGHP-01-</t>
    </r>
    <r>
      <rPr>
        <b/>
        <u val="single"/>
        <sz val="8"/>
        <color indexed="8"/>
        <rFont val="Arial"/>
        <family val="2"/>
      </rPr>
      <t>03A</t>
    </r>
  </si>
  <si>
    <r>
      <t>NGHP-01-</t>
    </r>
    <r>
      <rPr>
        <b/>
        <u val="single"/>
        <sz val="8"/>
        <color indexed="8"/>
        <rFont val="Arial"/>
        <family val="2"/>
      </rPr>
      <t>03B</t>
    </r>
  </si>
  <si>
    <r>
      <t>NGHP-01-</t>
    </r>
    <r>
      <rPr>
        <b/>
        <u val="single"/>
        <sz val="8"/>
        <color indexed="8"/>
        <rFont val="Arial"/>
        <family val="2"/>
      </rPr>
      <t>03C</t>
    </r>
  </si>
  <si>
    <r>
      <t>NGHP-01-</t>
    </r>
    <r>
      <rPr>
        <b/>
        <u val="single"/>
        <sz val="8"/>
        <color indexed="8"/>
        <rFont val="Arial"/>
        <family val="2"/>
      </rPr>
      <t>04A</t>
    </r>
  </si>
  <si>
    <r>
      <t>NGHP-01-</t>
    </r>
    <r>
      <rPr>
        <b/>
        <u val="single"/>
        <sz val="8"/>
        <color indexed="8"/>
        <rFont val="Arial"/>
        <family val="2"/>
      </rPr>
      <t>05A</t>
    </r>
  </si>
  <si>
    <r>
      <t>NGHP-01-</t>
    </r>
    <r>
      <rPr>
        <b/>
        <u val="single"/>
        <sz val="8"/>
        <color indexed="8"/>
        <rFont val="Arial"/>
        <family val="2"/>
      </rPr>
      <t>05B</t>
    </r>
  </si>
  <si>
    <r>
      <t>NGHP-01-</t>
    </r>
    <r>
      <rPr>
        <b/>
        <u val="single"/>
        <sz val="8"/>
        <color indexed="8"/>
        <rFont val="Arial"/>
        <family val="2"/>
      </rPr>
      <t>05C</t>
    </r>
  </si>
  <si>
    <r>
      <t>NGHP-01-</t>
    </r>
    <r>
      <rPr>
        <b/>
        <u val="single"/>
        <sz val="8"/>
        <color indexed="8"/>
        <rFont val="Arial"/>
        <family val="2"/>
      </rPr>
      <t>05D</t>
    </r>
  </si>
  <si>
    <r>
      <t>NGHP-01-</t>
    </r>
    <r>
      <rPr>
        <b/>
        <u val="single"/>
        <sz val="8"/>
        <color indexed="8"/>
        <rFont val="Arial"/>
        <family val="2"/>
      </rPr>
      <t>05E</t>
    </r>
  </si>
  <si>
    <r>
      <t>NGHP-01-</t>
    </r>
    <r>
      <rPr>
        <b/>
        <u val="single"/>
        <sz val="8"/>
        <color indexed="8"/>
        <rFont val="Arial"/>
        <family val="2"/>
      </rPr>
      <t>06A</t>
    </r>
  </si>
  <si>
    <r>
      <t>NGHP-01-</t>
    </r>
    <r>
      <rPr>
        <b/>
        <u val="single"/>
        <sz val="8"/>
        <color indexed="8"/>
        <rFont val="Arial"/>
        <family val="2"/>
      </rPr>
      <t>07A</t>
    </r>
  </si>
  <si>
    <r>
      <t>NGHP-01-</t>
    </r>
    <r>
      <rPr>
        <b/>
        <u val="single"/>
        <sz val="8"/>
        <color indexed="8"/>
        <rFont val="Arial"/>
        <family val="2"/>
      </rPr>
      <t>07C</t>
    </r>
  </si>
  <si>
    <r>
      <t>NGHP-01-</t>
    </r>
    <r>
      <rPr>
        <b/>
        <u val="single"/>
        <sz val="8"/>
        <color indexed="8"/>
        <rFont val="Arial"/>
        <family val="2"/>
      </rPr>
      <t>07D</t>
    </r>
  </si>
  <si>
    <r>
      <t>NGHP-01-</t>
    </r>
    <r>
      <rPr>
        <b/>
        <u val="single"/>
        <sz val="8"/>
        <color indexed="8"/>
        <rFont val="Arial"/>
        <family val="2"/>
      </rPr>
      <t>08A</t>
    </r>
  </si>
  <si>
    <r>
      <t>NGHP-01-</t>
    </r>
    <r>
      <rPr>
        <b/>
        <u val="single"/>
        <sz val="8"/>
        <color indexed="8"/>
        <rFont val="Arial"/>
        <family val="2"/>
      </rPr>
      <t>09A</t>
    </r>
  </si>
  <si>
    <r>
      <t>NGHP-01-</t>
    </r>
    <r>
      <rPr>
        <b/>
        <u val="single"/>
        <sz val="8"/>
        <color indexed="8"/>
        <rFont val="Arial"/>
        <family val="2"/>
      </rPr>
      <t>10A</t>
    </r>
  </si>
  <si>
    <r>
      <t>NGHP-01-</t>
    </r>
    <r>
      <rPr>
        <b/>
        <u val="single"/>
        <sz val="8"/>
        <color indexed="8"/>
        <rFont val="Arial"/>
        <family val="2"/>
      </rPr>
      <t>10B</t>
    </r>
  </si>
  <si>
    <r>
      <t>NGHP-01-</t>
    </r>
    <r>
      <rPr>
        <b/>
        <u val="single"/>
        <sz val="8"/>
        <color indexed="8"/>
        <rFont val="Arial"/>
        <family val="2"/>
      </rPr>
      <t>10C</t>
    </r>
  </si>
  <si>
    <r>
      <t>NGHP-01-</t>
    </r>
    <r>
      <rPr>
        <b/>
        <u val="single"/>
        <sz val="8"/>
        <color indexed="8"/>
        <rFont val="Arial"/>
        <family val="2"/>
      </rPr>
      <t>10D</t>
    </r>
  </si>
  <si>
    <r>
      <t>NGHP-01-</t>
    </r>
    <r>
      <rPr>
        <b/>
        <u val="single"/>
        <sz val="8"/>
        <color indexed="8"/>
        <rFont val="Arial"/>
        <family val="2"/>
      </rPr>
      <t>11A</t>
    </r>
  </si>
  <si>
    <r>
      <t>NGHP-01-</t>
    </r>
    <r>
      <rPr>
        <b/>
        <u val="single"/>
        <sz val="8"/>
        <color indexed="8"/>
        <rFont val="Arial"/>
        <family val="2"/>
      </rPr>
      <t>12A</t>
    </r>
  </si>
  <si>
    <r>
      <t>NGHP-01-</t>
    </r>
    <r>
      <rPr>
        <b/>
        <u val="single"/>
        <sz val="8"/>
        <color indexed="8"/>
        <rFont val="Arial"/>
        <family val="2"/>
      </rPr>
      <t>13A</t>
    </r>
  </si>
  <si>
    <r>
      <t>NGHP-01-</t>
    </r>
    <r>
      <rPr>
        <b/>
        <u val="single"/>
        <sz val="8"/>
        <color indexed="8"/>
        <rFont val="Arial"/>
        <family val="2"/>
      </rPr>
      <t>14A</t>
    </r>
  </si>
  <si>
    <r>
      <t>NGHP-01-</t>
    </r>
    <r>
      <rPr>
        <b/>
        <u val="single"/>
        <sz val="8"/>
        <color indexed="8"/>
        <rFont val="Arial"/>
        <family val="2"/>
      </rPr>
      <t>15A</t>
    </r>
  </si>
  <si>
    <r>
      <t>NGHP-01-</t>
    </r>
    <r>
      <rPr>
        <b/>
        <u val="single"/>
        <sz val="8"/>
        <color indexed="8"/>
        <rFont val="Arial"/>
        <family val="2"/>
      </rPr>
      <t>16A</t>
    </r>
  </si>
  <si>
    <r>
      <t>NGHP-01-</t>
    </r>
    <r>
      <rPr>
        <b/>
        <u val="single"/>
        <sz val="8"/>
        <color indexed="8"/>
        <rFont val="Arial"/>
        <family val="2"/>
      </rPr>
      <t>17A</t>
    </r>
  </si>
  <si>
    <r>
      <t>NGHP-01-</t>
    </r>
    <r>
      <rPr>
        <b/>
        <u val="single"/>
        <sz val="8"/>
        <color indexed="8"/>
        <rFont val="Arial"/>
        <family val="2"/>
      </rPr>
      <t>17B</t>
    </r>
  </si>
  <si>
    <r>
      <t>NGHP-01-</t>
    </r>
    <r>
      <rPr>
        <b/>
        <u val="single"/>
        <sz val="8"/>
        <color indexed="8"/>
        <rFont val="Arial"/>
        <family val="2"/>
      </rPr>
      <t>18A</t>
    </r>
  </si>
  <si>
    <r>
      <t>NGHP-01-</t>
    </r>
    <r>
      <rPr>
        <b/>
        <u val="single"/>
        <sz val="8"/>
        <color indexed="8"/>
        <rFont val="Arial"/>
        <family val="2"/>
      </rPr>
      <t>19A</t>
    </r>
  </si>
  <si>
    <r>
      <t>NGHP-01-</t>
    </r>
    <r>
      <rPr>
        <b/>
        <u val="single"/>
        <sz val="8"/>
        <color indexed="8"/>
        <rFont val="Arial"/>
        <family val="2"/>
      </rPr>
      <t>19B</t>
    </r>
  </si>
  <si>
    <r>
      <t>NGHP-01-</t>
    </r>
    <r>
      <rPr>
        <b/>
        <u val="single"/>
        <sz val="8"/>
        <color indexed="8"/>
        <rFont val="Arial"/>
        <family val="2"/>
      </rPr>
      <t>20A</t>
    </r>
  </si>
  <si>
    <r>
      <t>NGHP-01-</t>
    </r>
    <r>
      <rPr>
        <b/>
        <u val="single"/>
        <sz val="8"/>
        <color indexed="8"/>
        <rFont val="Arial"/>
        <family val="2"/>
      </rPr>
      <t>20B</t>
    </r>
  </si>
  <si>
    <r>
      <t>NGHP-01-</t>
    </r>
    <r>
      <rPr>
        <b/>
        <u val="single"/>
        <sz val="8"/>
        <color indexed="8"/>
        <rFont val="Arial"/>
        <family val="2"/>
      </rPr>
      <t>21A</t>
    </r>
  </si>
  <si>
    <r>
      <t>NGHP-01-</t>
    </r>
    <r>
      <rPr>
        <b/>
        <u val="single"/>
        <sz val="8"/>
        <color indexed="8"/>
        <rFont val="Arial"/>
        <family val="2"/>
      </rPr>
      <t>21B</t>
    </r>
  </si>
  <si>
    <t>"WATER" DEPTH</t>
  </si>
  <si>
    <t>OFFICIAL "SEA FLOOR" DEPTH</t>
  </si>
  <si>
    <t>ABOVE/BELOW</t>
  </si>
  <si>
    <r>
      <t>NGHP-01-</t>
    </r>
    <r>
      <rPr>
        <b/>
        <sz val="8"/>
        <color indexed="8"/>
        <rFont val="Arial"/>
        <family val="2"/>
      </rPr>
      <t>01A</t>
    </r>
  </si>
  <si>
    <r>
      <t>NGHP-01-</t>
    </r>
    <r>
      <rPr>
        <b/>
        <sz val="8"/>
        <color indexed="8"/>
        <rFont val="Arial"/>
        <family val="2"/>
      </rPr>
      <t>02A</t>
    </r>
  </si>
  <si>
    <r>
      <t>NGHP-01-</t>
    </r>
    <r>
      <rPr>
        <b/>
        <sz val="8"/>
        <color indexed="8"/>
        <rFont val="Arial"/>
        <family val="2"/>
      </rPr>
      <t>02B</t>
    </r>
  </si>
  <si>
    <r>
      <t>NGHP-01-</t>
    </r>
    <r>
      <rPr>
        <b/>
        <sz val="8"/>
        <color indexed="8"/>
        <rFont val="Arial"/>
        <family val="2"/>
      </rPr>
      <t>03A</t>
    </r>
  </si>
  <si>
    <r>
      <t>NGHP-01-</t>
    </r>
    <r>
      <rPr>
        <b/>
        <sz val="8"/>
        <color indexed="8"/>
        <rFont val="Arial"/>
        <family val="2"/>
      </rPr>
      <t>03B</t>
    </r>
  </si>
  <si>
    <r>
      <t>NGHP-01-</t>
    </r>
    <r>
      <rPr>
        <b/>
        <sz val="8"/>
        <color indexed="8"/>
        <rFont val="Arial"/>
        <family val="2"/>
      </rPr>
      <t>03C</t>
    </r>
  </si>
  <si>
    <r>
      <t>NGHP-01-</t>
    </r>
    <r>
      <rPr>
        <b/>
        <sz val="8"/>
        <color indexed="8"/>
        <rFont val="Arial"/>
        <family val="2"/>
      </rPr>
      <t>04A</t>
    </r>
  </si>
  <si>
    <r>
      <t>NGHP-01-</t>
    </r>
    <r>
      <rPr>
        <b/>
        <sz val="8"/>
        <color indexed="8"/>
        <rFont val="Arial"/>
        <family val="2"/>
      </rPr>
      <t>05A</t>
    </r>
  </si>
  <si>
    <r>
      <t>NGHP-01-</t>
    </r>
    <r>
      <rPr>
        <b/>
        <sz val="8"/>
        <color indexed="8"/>
        <rFont val="Arial"/>
        <family val="2"/>
      </rPr>
      <t>05B</t>
    </r>
  </si>
  <si>
    <r>
      <t>NGHP-01-</t>
    </r>
    <r>
      <rPr>
        <b/>
        <sz val="8"/>
        <color indexed="8"/>
        <rFont val="Arial"/>
        <family val="2"/>
      </rPr>
      <t>05C</t>
    </r>
  </si>
  <si>
    <r>
      <t>NGHP-01-</t>
    </r>
    <r>
      <rPr>
        <b/>
        <sz val="8"/>
        <color indexed="8"/>
        <rFont val="Arial"/>
        <family val="2"/>
      </rPr>
      <t>05D</t>
    </r>
  </si>
  <si>
    <r>
      <t>NGHP-01-</t>
    </r>
    <r>
      <rPr>
        <b/>
        <sz val="8"/>
        <color indexed="8"/>
        <rFont val="Arial"/>
        <family val="2"/>
      </rPr>
      <t>05E</t>
    </r>
  </si>
  <si>
    <r>
      <t>NGHP-01-</t>
    </r>
    <r>
      <rPr>
        <b/>
        <sz val="8"/>
        <color indexed="8"/>
        <rFont val="Arial"/>
        <family val="2"/>
      </rPr>
      <t>06A</t>
    </r>
  </si>
  <si>
    <r>
      <t>NGHP-01-</t>
    </r>
    <r>
      <rPr>
        <b/>
        <sz val="8"/>
        <color indexed="8"/>
        <rFont val="Arial"/>
        <family val="2"/>
      </rPr>
      <t>07A</t>
    </r>
  </si>
  <si>
    <r>
      <t>NGHP-01-</t>
    </r>
    <r>
      <rPr>
        <b/>
        <sz val="8"/>
        <color indexed="8"/>
        <rFont val="Arial"/>
        <family val="2"/>
      </rPr>
      <t>07B</t>
    </r>
  </si>
  <si>
    <r>
      <t>NGHP-01-</t>
    </r>
    <r>
      <rPr>
        <b/>
        <sz val="8"/>
        <color indexed="8"/>
        <rFont val="Arial"/>
        <family val="2"/>
      </rPr>
      <t>07C</t>
    </r>
  </si>
  <si>
    <r>
      <t>NGHP-01-</t>
    </r>
    <r>
      <rPr>
        <b/>
        <sz val="8"/>
        <color indexed="8"/>
        <rFont val="Arial"/>
        <family val="2"/>
      </rPr>
      <t>07D</t>
    </r>
  </si>
  <si>
    <r>
      <t>NGHP-01-</t>
    </r>
    <r>
      <rPr>
        <b/>
        <sz val="8"/>
        <color indexed="8"/>
        <rFont val="Arial"/>
        <family val="2"/>
      </rPr>
      <t>08A</t>
    </r>
  </si>
  <si>
    <r>
      <t>NGHP-01-</t>
    </r>
    <r>
      <rPr>
        <b/>
        <sz val="8"/>
        <color indexed="8"/>
        <rFont val="Arial"/>
        <family val="2"/>
      </rPr>
      <t>09A</t>
    </r>
  </si>
  <si>
    <r>
      <t>NGHP-01-</t>
    </r>
    <r>
      <rPr>
        <b/>
        <sz val="8"/>
        <color indexed="8"/>
        <rFont val="Arial"/>
        <family val="2"/>
      </rPr>
      <t>10A</t>
    </r>
  </si>
  <si>
    <r>
      <t>NGHP-01-</t>
    </r>
    <r>
      <rPr>
        <b/>
        <sz val="8"/>
        <color indexed="8"/>
        <rFont val="Arial"/>
        <family val="2"/>
      </rPr>
      <t>10B</t>
    </r>
  </si>
  <si>
    <r>
      <t>NGHP-01-</t>
    </r>
    <r>
      <rPr>
        <b/>
        <sz val="8"/>
        <color indexed="8"/>
        <rFont val="Arial"/>
        <family val="2"/>
      </rPr>
      <t>10C</t>
    </r>
  </si>
  <si>
    <r>
      <t>NGHP-01-</t>
    </r>
    <r>
      <rPr>
        <b/>
        <sz val="8"/>
        <color indexed="8"/>
        <rFont val="Arial"/>
        <family val="2"/>
      </rPr>
      <t>10D</t>
    </r>
  </si>
  <si>
    <r>
      <t>NGHP-01-</t>
    </r>
    <r>
      <rPr>
        <b/>
        <sz val="8"/>
        <color indexed="8"/>
        <rFont val="Arial"/>
        <family val="2"/>
      </rPr>
      <t>11A</t>
    </r>
  </si>
  <si>
    <r>
      <t>NGHP-01-</t>
    </r>
    <r>
      <rPr>
        <b/>
        <sz val="8"/>
        <color indexed="8"/>
        <rFont val="Arial"/>
        <family val="2"/>
      </rPr>
      <t>12A</t>
    </r>
  </si>
  <si>
    <r>
      <t>NGHP-01-</t>
    </r>
    <r>
      <rPr>
        <b/>
        <sz val="8"/>
        <color indexed="8"/>
        <rFont val="Arial"/>
        <family val="2"/>
      </rPr>
      <t>13A</t>
    </r>
  </si>
  <si>
    <r>
      <t>NGHP-01-</t>
    </r>
    <r>
      <rPr>
        <b/>
        <sz val="8"/>
        <color indexed="8"/>
        <rFont val="Arial"/>
        <family val="2"/>
      </rPr>
      <t>14A</t>
    </r>
  </si>
  <si>
    <r>
      <t>NGHP-01-</t>
    </r>
    <r>
      <rPr>
        <b/>
        <sz val="8"/>
        <color indexed="8"/>
        <rFont val="Arial"/>
        <family val="2"/>
      </rPr>
      <t>15A</t>
    </r>
  </si>
  <si>
    <r>
      <t>NGHP-01-</t>
    </r>
    <r>
      <rPr>
        <b/>
        <sz val="8"/>
        <color indexed="8"/>
        <rFont val="Arial"/>
        <family val="2"/>
      </rPr>
      <t>16A</t>
    </r>
  </si>
  <si>
    <r>
      <t>NGHP-01-</t>
    </r>
    <r>
      <rPr>
        <b/>
        <sz val="8"/>
        <color indexed="8"/>
        <rFont val="Arial"/>
        <family val="2"/>
      </rPr>
      <t>17A</t>
    </r>
  </si>
  <si>
    <r>
      <t>NGHP-01-</t>
    </r>
    <r>
      <rPr>
        <b/>
        <sz val="8"/>
        <color indexed="8"/>
        <rFont val="Arial"/>
        <family val="2"/>
      </rPr>
      <t>17B</t>
    </r>
  </si>
  <si>
    <r>
      <t>NGHP-01-</t>
    </r>
    <r>
      <rPr>
        <b/>
        <sz val="8"/>
        <color indexed="8"/>
        <rFont val="Arial"/>
        <family val="2"/>
      </rPr>
      <t>18A</t>
    </r>
  </si>
  <si>
    <r>
      <t>NGHP-01-</t>
    </r>
    <r>
      <rPr>
        <b/>
        <sz val="8"/>
        <color indexed="8"/>
        <rFont val="Arial"/>
        <family val="2"/>
      </rPr>
      <t>19A</t>
    </r>
  </si>
  <si>
    <r>
      <t>NGHP-01-</t>
    </r>
    <r>
      <rPr>
        <b/>
        <sz val="8"/>
        <color indexed="8"/>
        <rFont val="Arial"/>
        <family val="2"/>
      </rPr>
      <t>19B</t>
    </r>
  </si>
  <si>
    <r>
      <t>NGHP-01-</t>
    </r>
    <r>
      <rPr>
        <b/>
        <sz val="8"/>
        <color indexed="8"/>
        <rFont val="Arial"/>
        <family val="2"/>
      </rPr>
      <t>20A</t>
    </r>
  </si>
  <si>
    <r>
      <t>NGHP-01-</t>
    </r>
    <r>
      <rPr>
        <b/>
        <sz val="8"/>
        <color indexed="8"/>
        <rFont val="Arial"/>
        <family val="2"/>
      </rPr>
      <t>20B</t>
    </r>
  </si>
  <si>
    <r>
      <t>NGHP-01-</t>
    </r>
    <r>
      <rPr>
        <b/>
        <sz val="8"/>
        <color indexed="8"/>
        <rFont val="Arial"/>
        <family val="2"/>
      </rPr>
      <t>21A</t>
    </r>
  </si>
  <si>
    <r>
      <t>NGHP-01-</t>
    </r>
    <r>
      <rPr>
        <b/>
        <sz val="8"/>
        <color indexed="8"/>
        <rFont val="Arial"/>
        <family val="2"/>
      </rPr>
      <t>21B</t>
    </r>
  </si>
  <si>
    <r>
      <t>NGHP-01-</t>
    </r>
    <r>
      <rPr>
        <b/>
        <sz val="8"/>
        <color indexed="8"/>
        <rFont val="Arial"/>
        <family val="2"/>
      </rPr>
      <t>21C</t>
    </r>
  </si>
  <si>
    <t>TOTAL METERS</t>
  </si>
  <si>
    <t>PREVIOUS METERS</t>
  </si>
  <si>
    <t>CUMULATIVE METERS</t>
  </si>
  <si>
    <t>PREVIOUS HOURS</t>
  </si>
  <si>
    <t>HOURS FOR HOLE</t>
  </si>
  <si>
    <t>WIRELINE</t>
  </si>
  <si>
    <t>at Top</t>
  </si>
  <si>
    <t>at Bottom</t>
  </si>
  <si>
    <t>Subtotal</t>
  </si>
  <si>
    <t>DGH Contract Commence at 0600 hr 28 April 2006</t>
  </si>
  <si>
    <t>DGH Contract Ends at 1912 hr 19 August 2006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</si>
</sst>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00_)"/>
    <numFmt numFmtId="168" formatCode="0.0000"/>
    <numFmt numFmtId="169" formatCode="hhmm"/>
    <numFmt numFmtId="170" formatCode="General_)"/>
    <numFmt numFmtId="171" formatCode="mmm\-yyyy"/>
    <numFmt numFmtId="172" formatCode="mm/dd"/>
    <numFmt numFmtId="173" formatCode="hhmm\ dd\-mmm\-yy"/>
    <numFmt numFmtId="174" formatCode="hhmm\ dd\-mmm"/>
    <numFmt numFmtId="175" formatCode="[$-409]dddd\,\ mmmm\ dd\,\ yyyy"/>
    <numFmt numFmtId="176" formatCode="[$-409]d\-mmm\-yy;@"/>
    <numFmt numFmtId="177" formatCode="0.00000"/>
    <numFmt numFmtId="178" formatCode="0.000%"/>
    <numFmt numFmtId="179" formatCode="0.0_)"/>
    <numFmt numFmtId="180" formatCode="#,##0.0"/>
  </numFmts>
  <fonts count="82">
    <font>
      <sz val="10"/>
      <name val="Courier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8"/>
      <name val="Helv"/>
      <family val="0"/>
    </font>
    <font>
      <sz val="8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Courier"/>
      <family val="3"/>
    </font>
    <font>
      <b/>
      <sz val="8"/>
      <color indexed="18"/>
      <name val="Helv"/>
      <family val="0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Courier"/>
      <family val="3"/>
    </font>
    <font>
      <b/>
      <sz val="10"/>
      <color indexed="10"/>
      <name val="Courier"/>
      <family val="3"/>
    </font>
    <font>
      <sz val="8"/>
      <name val="Courier"/>
      <family val="3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36"/>
      <name val="Courier"/>
      <family val="3"/>
    </font>
    <font>
      <b/>
      <sz val="8"/>
      <color indexed="10"/>
      <name val="Helv"/>
      <family val="0"/>
    </font>
    <font>
      <b/>
      <sz val="8"/>
      <color indexed="10"/>
      <name val="Courier"/>
      <family val="3"/>
    </font>
    <font>
      <sz val="10"/>
      <color indexed="10"/>
      <name val="Courier"/>
      <family val="3"/>
    </font>
    <font>
      <sz val="8"/>
      <color indexed="10"/>
      <name val="Arial"/>
      <family val="2"/>
    </font>
    <font>
      <sz val="8"/>
      <color indexed="10"/>
      <name val="Helv"/>
      <family val="0"/>
    </font>
    <font>
      <b/>
      <sz val="8"/>
      <name val="Courier"/>
      <family val="3"/>
    </font>
    <font>
      <b/>
      <u val="single"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Helv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8"/>
      <name val="Helv"/>
      <family val="0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8"/>
      <color indexed="8"/>
      <name val="Helv"/>
      <family val="0"/>
    </font>
    <font>
      <b/>
      <sz val="8"/>
      <color indexed="8"/>
      <name val="Helv"/>
      <family val="0"/>
    </font>
    <font>
      <sz val="10"/>
      <color indexed="8"/>
      <name val="Courier"/>
      <family val="3"/>
    </font>
    <font>
      <b/>
      <sz val="10"/>
      <color indexed="8"/>
      <name val="Helv"/>
      <family val="0"/>
    </font>
    <font>
      <b/>
      <u val="single"/>
      <sz val="10"/>
      <color indexed="8"/>
      <name val="Helv"/>
      <family val="0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b/>
      <u val="single"/>
      <sz val="14"/>
      <color theme="1"/>
      <name val="Arial"/>
      <family val="2"/>
    </font>
    <font>
      <sz val="10"/>
      <color theme="1"/>
      <name val="Helv"/>
      <family val="0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Helv"/>
      <family val="0"/>
    </font>
    <font>
      <b/>
      <sz val="8"/>
      <color theme="1"/>
      <name val="Helv"/>
      <family val="0"/>
    </font>
    <font>
      <sz val="10"/>
      <color theme="1"/>
      <name val="Courier"/>
      <family val="3"/>
    </font>
    <font>
      <b/>
      <sz val="10"/>
      <color theme="1"/>
      <name val="Helv"/>
      <family val="0"/>
    </font>
    <font>
      <b/>
      <u val="single"/>
      <sz val="10"/>
      <color theme="1"/>
      <name val="Helv"/>
      <family val="0"/>
    </font>
    <font>
      <b/>
      <sz val="14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4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7" borderId="1" applyNumberFormat="0" applyAlignment="0" applyProtection="0"/>
    <xf numFmtId="0" fontId="52" fillId="0" borderId="6" applyNumberFormat="0" applyFill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23" borderId="7" applyNumberFormat="0" applyFont="0" applyAlignment="0" applyProtection="0"/>
    <xf numFmtId="0" fontId="54" fillId="20" borderId="8" applyNumberFormat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72">
    <xf numFmtId="0" fontId="0" fillId="0" borderId="0" xfId="0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 applyProtection="1">
      <alignment/>
      <protection/>
    </xf>
    <xf numFmtId="1" fontId="6" fillId="0" borderId="0" xfId="0" applyNumberFormat="1" applyFont="1" applyFill="1" applyAlignment="1" applyProtection="1">
      <alignment/>
      <protection/>
    </xf>
    <xf numFmtId="2" fontId="6" fillId="0" borderId="0" xfId="0" applyNumberFormat="1" applyFont="1" applyFill="1" applyAlignment="1" applyProtection="1">
      <alignment/>
      <protection/>
    </xf>
    <xf numFmtId="165" fontId="6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164" fontId="10" fillId="0" borderId="0" xfId="0" applyNumberFormat="1" applyFont="1" applyAlignment="1" applyProtection="1">
      <alignment horizontal="center"/>
      <protection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1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 horizontal="center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169" fontId="4" fillId="0" borderId="0" xfId="60" applyNumberFormat="1" applyFont="1" applyAlignment="1">
      <alignment horizontal="center"/>
      <protection/>
    </xf>
    <xf numFmtId="15" fontId="4" fillId="0" borderId="0" xfId="60" applyNumberFormat="1" applyFont="1" applyAlignment="1">
      <alignment horizontal="center"/>
      <protection/>
    </xf>
    <xf numFmtId="0" fontId="4" fillId="0" borderId="0" xfId="60" applyFont="1" applyAlignment="1">
      <alignment horizontal="right"/>
      <protection/>
    </xf>
    <xf numFmtId="167" fontId="4" fillId="0" borderId="0" xfId="60" applyNumberFormat="1" applyFont="1" applyAlignment="1" applyProtection="1">
      <alignment horizontal="center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60" applyFont="1" applyProtection="1">
      <alignment/>
      <protection/>
    </xf>
    <xf numFmtId="167" fontId="4" fillId="0" borderId="0" xfId="60" applyNumberFormat="1" applyFo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164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164" fontId="9" fillId="0" borderId="12" xfId="0" applyNumberFormat="1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164" fontId="9" fillId="0" borderId="13" xfId="0" applyNumberFormat="1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horizontal="center" vertical="center"/>
      <protection/>
    </xf>
    <xf numFmtId="2" fontId="22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7" fillId="0" borderId="0" xfId="58" applyFont="1">
      <alignment/>
      <protection/>
    </xf>
    <xf numFmtId="2" fontId="9" fillId="0" borderId="0" xfId="59" applyNumberFormat="1" applyFont="1">
      <alignment/>
      <protection/>
    </xf>
    <xf numFmtId="0" fontId="9" fillId="0" borderId="0" xfId="59" applyFont="1">
      <alignment/>
      <protection/>
    </xf>
    <xf numFmtId="0" fontId="9" fillId="0" borderId="0" xfId="59" applyFont="1" applyAlignment="1">
      <alignment horizontal="center"/>
      <protection/>
    </xf>
    <xf numFmtId="164" fontId="9" fillId="0" borderId="0" xfId="59" applyNumberFormat="1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2" fontId="23" fillId="0" borderId="0" xfId="59" applyNumberFormat="1" applyFont="1" applyAlignment="1">
      <alignment/>
      <protection/>
    </xf>
    <xf numFmtId="2" fontId="24" fillId="0" borderId="0" xfId="59" applyNumberFormat="1" applyFont="1" applyAlignment="1">
      <alignment/>
      <protection/>
    </xf>
    <xf numFmtId="2" fontId="24" fillId="0" borderId="0" xfId="59" applyNumberFormat="1" applyFont="1" applyAlignment="1">
      <alignment horizontal="center"/>
      <protection/>
    </xf>
    <xf numFmtId="164" fontId="9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59" applyFont="1">
      <alignment/>
      <protection/>
    </xf>
    <xf numFmtId="2" fontId="0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9" fillId="0" borderId="14" xfId="0" applyFont="1" applyFill="1" applyBorder="1" applyAlignment="1" applyProtection="1">
      <alignment horizontal="center" vertical="center"/>
      <protection/>
    </xf>
    <xf numFmtId="164" fontId="9" fillId="0" borderId="14" xfId="0" applyNumberFormat="1" applyFont="1" applyFill="1" applyBorder="1" applyAlignment="1" applyProtection="1">
      <alignment horizontal="center" vertical="center"/>
      <protection/>
    </xf>
    <xf numFmtId="2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 inden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30" fillId="0" borderId="0" xfId="0" applyFont="1" applyAlignment="1">
      <alignment/>
    </xf>
    <xf numFmtId="0" fontId="5" fillId="0" borderId="0" xfId="0" applyFont="1" applyFill="1" applyAlignment="1">
      <alignment horizontal="center"/>
    </xf>
    <xf numFmtId="164" fontId="9" fillId="0" borderId="16" xfId="0" applyNumberFormat="1" applyFont="1" applyFill="1" applyBorder="1" applyAlignment="1" applyProtection="1">
      <alignment horizontal="center" vertical="center"/>
      <protection/>
    </xf>
    <xf numFmtId="2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>
      <alignment horizontal="center" vertical="center"/>
    </xf>
    <xf numFmtId="2" fontId="23" fillId="0" borderId="0" xfId="59" applyNumberFormat="1" applyFont="1" applyAlignment="1">
      <alignment horizontal="center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15" fontId="9" fillId="0" borderId="0" xfId="0" applyNumberFormat="1" applyFont="1" applyBorder="1" applyAlignment="1" applyProtection="1">
      <alignment horizontal="right"/>
      <protection/>
    </xf>
    <xf numFmtId="2" fontId="9" fillId="0" borderId="0" xfId="0" applyNumberFormat="1" applyFont="1" applyBorder="1" applyAlignment="1" applyProtection="1">
      <alignment horizontal="center"/>
      <protection/>
    </xf>
    <xf numFmtId="164" fontId="9" fillId="0" borderId="0" xfId="0" applyNumberFormat="1" applyFont="1" applyBorder="1" applyAlignment="1">
      <alignment horizontal="center"/>
    </xf>
    <xf numFmtId="15" fontId="9" fillId="0" borderId="0" xfId="0" applyNumberFormat="1" applyFont="1" applyBorder="1" applyAlignment="1">
      <alignment horizontal="center"/>
    </xf>
    <xf numFmtId="2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164" fontId="9" fillId="0" borderId="0" xfId="0" applyNumberFormat="1" applyFont="1" applyFill="1" applyBorder="1" applyAlignment="1">
      <alignment horizontal="center"/>
    </xf>
    <xf numFmtId="15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11" fillId="0" borderId="17" xfId="0" applyFont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 quotePrefix="1">
      <alignment horizontal="right" vertical="center"/>
      <protection/>
    </xf>
    <xf numFmtId="164" fontId="24" fillId="0" borderId="0" xfId="59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164" fontId="4" fillId="0" borderId="0" xfId="60" applyNumberFormat="1" applyFont="1" applyAlignment="1">
      <alignment horizontal="right"/>
      <protection/>
    </xf>
    <xf numFmtId="1" fontId="23" fillId="0" borderId="0" xfId="59" applyNumberFormat="1" applyFont="1" applyAlignment="1">
      <alignment horizontal="center"/>
      <protection/>
    </xf>
    <xf numFmtId="1" fontId="4" fillId="0" borderId="0" xfId="60" applyNumberFormat="1" applyFont="1" applyAlignment="1">
      <alignment horizontal="center"/>
      <protection/>
    </xf>
    <xf numFmtId="1" fontId="22" fillId="0" borderId="0" xfId="0" applyNumberFormat="1" applyFont="1" applyAlignment="1">
      <alignment/>
    </xf>
    <xf numFmtId="1" fontId="7" fillId="0" borderId="0" xfId="58" applyNumberFormat="1" applyFont="1">
      <alignment/>
      <protection/>
    </xf>
    <xf numFmtId="1" fontId="4" fillId="0" borderId="0" xfId="60" applyNumberFormat="1" applyFont="1">
      <alignment/>
      <protection/>
    </xf>
    <xf numFmtId="0" fontId="6" fillId="0" borderId="18" xfId="0" applyFont="1" applyFill="1" applyBorder="1" applyAlignment="1">
      <alignment horizontal="center"/>
    </xf>
    <xf numFmtId="1" fontId="9" fillId="20" borderId="19" xfId="0" applyNumberFormat="1" applyFont="1" applyFill="1" applyBorder="1" applyAlignment="1" applyProtection="1">
      <alignment horizontal="center" vertical="center"/>
      <protection/>
    </xf>
    <xf numFmtId="164" fontId="9" fillId="20" borderId="19" xfId="0" applyNumberFormat="1" applyFont="1" applyFill="1" applyBorder="1" applyAlignment="1" applyProtection="1">
      <alignment horizontal="center" vertical="center"/>
      <protection/>
    </xf>
    <xf numFmtId="2" fontId="9" fillId="20" borderId="19" xfId="0" applyNumberFormat="1" applyFont="1" applyFill="1" applyBorder="1" applyAlignment="1" applyProtection="1">
      <alignment horizontal="center" vertical="center"/>
      <protection/>
    </xf>
    <xf numFmtId="165" fontId="9" fillId="20" borderId="19" xfId="0" applyNumberFormat="1" applyFont="1" applyFill="1" applyBorder="1" applyAlignment="1" applyProtection="1">
      <alignment horizontal="center" vertical="center"/>
      <protection/>
    </xf>
    <xf numFmtId="1" fontId="9" fillId="0" borderId="0" xfId="59" applyNumberFormat="1" applyFont="1" applyAlignment="1">
      <alignment horizontal="center"/>
      <protection/>
    </xf>
    <xf numFmtId="1" fontId="9" fillId="0" borderId="0" xfId="58" applyNumberFormat="1" applyFont="1" applyAlignment="1">
      <alignment horizontal="center"/>
      <protection/>
    </xf>
    <xf numFmtId="1" fontId="9" fillId="0" borderId="0" xfId="60" applyNumberFormat="1" applyFont="1" applyAlignment="1">
      <alignment horizontal="center"/>
      <protection/>
    </xf>
    <xf numFmtId="1" fontId="9" fillId="0" borderId="0" xfId="0" applyNumberFormat="1" applyFont="1" applyFill="1" applyAlignment="1" applyProtection="1">
      <alignment horizontal="center"/>
      <protection/>
    </xf>
    <xf numFmtId="1" fontId="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5" xfId="0" applyFont="1" applyFill="1" applyBorder="1" applyAlignment="1">
      <alignment horizontal="center" vertical="center"/>
    </xf>
    <xf numFmtId="164" fontId="9" fillId="20" borderId="11" xfId="0" applyNumberFormat="1" applyFont="1" applyFill="1" applyBorder="1" applyAlignment="1">
      <alignment horizontal="center" vertical="center"/>
    </xf>
    <xf numFmtId="2" fontId="9" fillId="20" borderId="11" xfId="0" applyNumberFormat="1" applyFont="1" applyFill="1" applyBorder="1" applyAlignment="1">
      <alignment horizontal="center" vertical="center"/>
    </xf>
    <xf numFmtId="0" fontId="9" fillId="20" borderId="20" xfId="0" applyFont="1" applyFill="1" applyBorder="1" applyAlignment="1">
      <alignment horizontal="center" vertical="center"/>
    </xf>
    <xf numFmtId="164" fontId="9" fillId="20" borderId="20" xfId="0" applyNumberFormat="1" applyFont="1" applyFill="1" applyBorder="1" applyAlignment="1">
      <alignment horizontal="center" vertical="center"/>
    </xf>
    <xf numFmtId="2" fontId="9" fillId="20" borderId="20" xfId="0" applyNumberFormat="1" applyFont="1" applyFill="1" applyBorder="1" applyAlignment="1">
      <alignment horizontal="center" vertical="center"/>
    </xf>
    <xf numFmtId="164" fontId="4" fillId="0" borderId="0" xfId="60" applyNumberFormat="1" applyFont="1">
      <alignment/>
      <protection/>
    </xf>
    <xf numFmtId="1" fontId="24" fillId="0" borderId="0" xfId="59" applyNumberFormat="1" applyFont="1" applyAlignment="1">
      <alignment horizontal="center"/>
      <protection/>
    </xf>
    <xf numFmtId="0" fontId="1" fillId="0" borderId="0" xfId="60" applyFont="1" applyAlignment="1">
      <alignment horizontal="center"/>
      <protection/>
    </xf>
    <xf numFmtId="165" fontId="9" fillId="0" borderId="15" xfId="0" applyNumberFormat="1" applyFont="1" applyFill="1" applyBorder="1" applyAlignment="1" applyProtection="1">
      <alignment horizontal="center" vertical="center"/>
      <protection/>
    </xf>
    <xf numFmtId="165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23" borderId="22" xfId="0" applyFont="1" applyFill="1" applyBorder="1" applyAlignment="1">
      <alignment horizontal="center" vertical="center"/>
    </xf>
    <xf numFmtId="0" fontId="9" fillId="23" borderId="10" xfId="0" applyFont="1" applyFill="1" applyBorder="1" applyAlignment="1">
      <alignment horizontal="center" vertical="center"/>
    </xf>
    <xf numFmtId="164" fontId="9" fillId="23" borderId="10" xfId="0" applyNumberFormat="1" applyFont="1" applyFill="1" applyBorder="1" applyAlignment="1">
      <alignment horizontal="center" vertical="center"/>
    </xf>
    <xf numFmtId="169" fontId="9" fillId="23" borderId="10" xfId="60" applyNumberFormat="1" applyFont="1" applyFill="1" applyBorder="1" applyAlignment="1" applyProtection="1">
      <alignment horizontal="center"/>
      <protection/>
    </xf>
    <xf numFmtId="15" fontId="9" fillId="23" borderId="10" xfId="60" applyNumberFormat="1" applyFont="1" applyFill="1" applyBorder="1" applyAlignment="1" applyProtection="1">
      <alignment horizontal="center"/>
      <protection/>
    </xf>
    <xf numFmtId="1" fontId="9" fillId="23" borderId="17" xfId="0" applyNumberFormat="1" applyFont="1" applyFill="1" applyBorder="1" applyAlignment="1">
      <alignment horizontal="center" vertical="center"/>
    </xf>
    <xf numFmtId="2" fontId="14" fillId="0" borderId="0" xfId="59" applyNumberFormat="1" applyFont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2" fontId="14" fillId="0" borderId="0" xfId="58" applyNumberFormat="1" applyFont="1" applyFill="1" applyBorder="1" applyAlignment="1">
      <alignment horizontal="center" vertical="center"/>
      <protection/>
    </xf>
    <xf numFmtId="0" fontId="14" fillId="0" borderId="0" xfId="58" applyFont="1" applyFill="1" applyBorder="1" applyAlignment="1">
      <alignment horizontal="center" vertical="center"/>
      <protection/>
    </xf>
    <xf numFmtId="0" fontId="7" fillId="0" borderId="0" xfId="58" applyFont="1" applyAlignment="1">
      <alignment vertical="center"/>
      <protection/>
    </xf>
    <xf numFmtId="2" fontId="8" fillId="20" borderId="0" xfId="58" applyNumberFormat="1" applyFont="1" applyFill="1" applyBorder="1" applyAlignment="1">
      <alignment horizontal="left" vertical="center"/>
      <protection/>
    </xf>
    <xf numFmtId="2" fontId="8" fillId="20" borderId="0" xfId="58" applyNumberFormat="1" applyFont="1" applyFill="1" applyBorder="1" applyAlignment="1">
      <alignment vertical="center"/>
      <protection/>
    </xf>
    <xf numFmtId="0" fontId="8" fillId="20" borderId="0" xfId="58" applyFont="1" applyFill="1" applyBorder="1" applyAlignment="1">
      <alignment vertical="center"/>
      <protection/>
    </xf>
    <xf numFmtId="0" fontId="8" fillId="20" borderId="0" xfId="58" applyFont="1" applyFill="1" applyBorder="1" applyAlignment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2" fontId="8" fillId="20" borderId="0" xfId="58" applyNumberFormat="1" applyFont="1" applyFill="1" applyBorder="1" applyAlignment="1">
      <alignment horizontal="center" vertical="center"/>
      <protection/>
    </xf>
    <xf numFmtId="165" fontId="8" fillId="20" borderId="0" xfId="58" applyNumberFormat="1" applyFont="1" applyFill="1" applyBorder="1" applyAlignment="1" quotePrefix="1">
      <alignment horizontal="center" vertical="center"/>
      <protection/>
    </xf>
    <xf numFmtId="165" fontId="14" fillId="20" borderId="0" xfId="58" applyNumberFormat="1" applyFont="1" applyFill="1" applyBorder="1" applyAlignment="1" quotePrefix="1">
      <alignment horizontal="center" vertical="center"/>
      <protection/>
    </xf>
    <xf numFmtId="2" fontId="8" fillId="20" borderId="0" xfId="58" applyNumberFormat="1" applyFont="1" applyFill="1" applyBorder="1" applyAlignment="1" quotePrefix="1">
      <alignment horizontal="left" vertical="center"/>
      <protection/>
    </xf>
    <xf numFmtId="2" fontId="8" fillId="20" borderId="0" xfId="58" applyNumberFormat="1" applyFont="1" applyFill="1" applyBorder="1" applyAlignment="1" quotePrefix="1">
      <alignment vertical="center"/>
      <protection/>
    </xf>
    <xf numFmtId="0" fontId="8" fillId="0" borderId="0" xfId="58" applyFont="1" applyFill="1" applyBorder="1" applyAlignment="1">
      <alignment vertical="center"/>
      <protection/>
    </xf>
    <xf numFmtId="0" fontId="7" fillId="0" borderId="0" xfId="58" applyFont="1" applyFill="1" applyAlignment="1">
      <alignment vertical="center"/>
      <protection/>
    </xf>
    <xf numFmtId="2" fontId="8" fillId="0" borderId="0" xfId="58" applyNumberFormat="1" applyFont="1" applyBorder="1" applyAlignment="1">
      <alignment vertical="center"/>
      <protection/>
    </xf>
    <xf numFmtId="0" fontId="8" fillId="0" borderId="0" xfId="58" applyFont="1" applyBorder="1" applyAlignment="1">
      <alignment horizontal="center" vertical="center"/>
      <protection/>
    </xf>
    <xf numFmtId="164" fontId="8" fillId="0" borderId="0" xfId="58" applyNumberFormat="1" applyFont="1" applyBorder="1" applyAlignment="1">
      <alignment horizontal="center" vertical="center"/>
      <protection/>
    </xf>
    <xf numFmtId="165" fontId="15" fillId="0" borderId="0" xfId="58" applyNumberFormat="1" applyFont="1" applyBorder="1" applyAlignment="1" quotePrefix="1">
      <alignment horizontal="center" vertical="center"/>
      <protection/>
    </xf>
    <xf numFmtId="0" fontId="14" fillId="0" borderId="0" xfId="58" applyFont="1" applyBorder="1" applyAlignment="1">
      <alignment vertical="center"/>
      <protection/>
    </xf>
    <xf numFmtId="165" fontId="18" fillId="0" borderId="0" xfId="58" applyNumberFormat="1" applyFont="1" applyFill="1" applyBorder="1" applyAlignment="1">
      <alignment horizontal="center" vertical="center"/>
      <protection/>
    </xf>
    <xf numFmtId="0" fontId="14" fillId="0" borderId="0" xfId="58" applyFont="1" applyBorder="1" applyAlignment="1">
      <alignment horizontal="center" vertical="center"/>
      <protection/>
    </xf>
    <xf numFmtId="2" fontId="8" fillId="0" borderId="0" xfId="58" applyNumberFormat="1" applyFont="1" applyFill="1" applyBorder="1" applyAlignment="1">
      <alignment vertical="center"/>
      <protection/>
    </xf>
    <xf numFmtId="0" fontId="8" fillId="20" borderId="0" xfId="58" applyFont="1" applyFill="1" applyBorder="1" applyAlignment="1">
      <alignment horizontal="left" vertical="center"/>
      <protection/>
    </xf>
    <xf numFmtId="0" fontId="7" fillId="20" borderId="0" xfId="58" applyFont="1" applyFill="1" applyBorder="1" applyAlignment="1">
      <alignment vertical="center"/>
      <protection/>
    </xf>
    <xf numFmtId="2" fontId="14" fillId="0" borderId="0" xfId="58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7" fillId="0" borderId="0" xfId="58" applyFont="1" applyBorder="1" applyAlignment="1">
      <alignment vertical="center"/>
      <protection/>
    </xf>
    <xf numFmtId="2" fontId="14" fillId="0" borderId="0" xfId="59" applyNumberFormat="1" applyFont="1" applyBorder="1" applyAlignment="1">
      <alignment vertical="center"/>
      <protection/>
    </xf>
    <xf numFmtId="0" fontId="0" fillId="0" borderId="0" xfId="0" applyBorder="1" applyAlignment="1">
      <alignment horizontal="center" vertical="center"/>
    </xf>
    <xf numFmtId="2" fontId="8" fillId="20" borderId="0" xfId="59" applyNumberFormat="1" applyFont="1" applyFill="1" applyBorder="1" applyAlignment="1">
      <alignment vertical="center"/>
      <protection/>
    </xf>
    <xf numFmtId="0" fontId="19" fillId="0" borderId="0" xfId="58" applyFont="1" applyAlignment="1">
      <alignment vertical="center"/>
      <protection/>
    </xf>
    <xf numFmtId="0" fontId="8" fillId="20" borderId="0" xfId="59" applyFont="1" applyFill="1" applyBorder="1" applyAlignment="1">
      <alignment vertical="center"/>
      <protection/>
    </xf>
    <xf numFmtId="1" fontId="8" fillId="20" borderId="0" xfId="58" applyNumberFormat="1" applyFont="1" applyFill="1" applyBorder="1" applyAlignment="1">
      <alignment horizontal="center" vertical="center"/>
      <protection/>
    </xf>
    <xf numFmtId="1" fontId="8" fillId="0" borderId="0" xfId="58" applyNumberFormat="1" applyFont="1" applyBorder="1" applyAlignment="1">
      <alignment horizontal="center" vertical="center"/>
      <protection/>
    </xf>
    <xf numFmtId="0" fontId="9" fillId="0" borderId="0" xfId="59" applyFont="1" applyAlignment="1">
      <alignment vertical="center"/>
      <protection/>
    </xf>
    <xf numFmtId="164" fontId="9" fillId="0" borderId="0" xfId="59" applyNumberFormat="1" applyFont="1" applyAlignment="1">
      <alignment horizontal="center" vertical="center"/>
      <protection/>
    </xf>
    <xf numFmtId="0" fontId="7" fillId="0" borderId="0" xfId="58" applyFont="1" applyAlignment="1">
      <alignment horizontal="center" vertical="center"/>
      <protection/>
    </xf>
    <xf numFmtId="0" fontId="26" fillId="0" borderId="0" xfId="58" applyFont="1" applyAlignment="1">
      <alignment vertical="center"/>
      <protection/>
    </xf>
    <xf numFmtId="0" fontId="8" fillId="0" borderId="0" xfId="58" applyFont="1" applyAlignment="1">
      <alignment vertical="center"/>
      <protection/>
    </xf>
    <xf numFmtId="165" fontId="8" fillId="20" borderId="0" xfId="58" applyNumberFormat="1" applyFont="1" applyFill="1" applyBorder="1" applyAlignment="1">
      <alignment horizontal="center" vertical="center"/>
      <protection/>
    </xf>
    <xf numFmtId="0" fontId="15" fillId="0" borderId="0" xfId="58" applyFont="1" applyAlignment="1">
      <alignment vertical="center"/>
      <protection/>
    </xf>
    <xf numFmtId="164" fontId="8" fillId="20" borderId="0" xfId="58" applyNumberFormat="1" applyFont="1" applyFill="1" applyBorder="1" applyAlignment="1">
      <alignment horizontal="center" vertical="center"/>
      <protection/>
    </xf>
    <xf numFmtId="0" fontId="9" fillId="20" borderId="0" xfId="59" applyFont="1" applyFill="1" applyBorder="1" applyAlignment="1">
      <alignment vertical="center"/>
      <protection/>
    </xf>
    <xf numFmtId="0" fontId="7" fillId="0" borderId="0" xfId="58" applyFont="1" applyBorder="1" applyAlignment="1">
      <alignment horizontal="center" vertical="center"/>
      <protection/>
    </xf>
    <xf numFmtId="0" fontId="9" fillId="0" borderId="0" xfId="59" applyFont="1" applyAlignment="1">
      <alignment horizontal="center" vertical="center"/>
      <protection/>
    </xf>
    <xf numFmtId="0" fontId="8" fillId="0" borderId="0" xfId="59" applyFont="1" applyAlignment="1">
      <alignment vertical="center"/>
      <protection/>
    </xf>
    <xf numFmtId="0" fontId="8" fillId="0" borderId="0" xfId="58" applyFont="1" applyAlignment="1">
      <alignment horizontal="right" vertical="center"/>
      <protection/>
    </xf>
    <xf numFmtId="16" fontId="9" fillId="24" borderId="11" xfId="57" applyNumberFormat="1" applyFont="1" applyFill="1" applyBorder="1" applyAlignment="1">
      <alignment horizontal="center" vertical="center"/>
      <protection/>
    </xf>
    <xf numFmtId="164" fontId="9" fillId="24" borderId="11" xfId="57" applyNumberFormat="1" applyFont="1" applyFill="1" applyBorder="1" applyAlignment="1">
      <alignment horizontal="center" vertical="center"/>
      <protection/>
    </xf>
    <xf numFmtId="0" fontId="4" fillId="25" borderId="0" xfId="60" applyFont="1" applyFill="1" applyBorder="1" applyAlignment="1" applyProtection="1">
      <alignment vertical="center"/>
      <protection/>
    </xf>
    <xf numFmtId="0" fontId="4" fillId="0" borderId="0" xfId="60" applyFont="1" applyAlignment="1">
      <alignment vertical="center"/>
      <protection/>
    </xf>
    <xf numFmtId="16" fontId="9" fillId="24" borderId="15" xfId="57" applyNumberFormat="1" applyFont="1" applyFill="1" applyBorder="1" applyAlignment="1">
      <alignment horizontal="center" vertical="center"/>
      <protection/>
    </xf>
    <xf numFmtId="164" fontId="9" fillId="24" borderId="15" xfId="57" applyNumberFormat="1" applyFont="1" applyFill="1" applyBorder="1" applyAlignment="1">
      <alignment horizontal="center" vertical="center"/>
      <protection/>
    </xf>
    <xf numFmtId="16" fontId="9" fillId="24" borderId="20" xfId="57" applyNumberFormat="1" applyFont="1" applyFill="1" applyBorder="1" applyAlignment="1">
      <alignment horizontal="center" vertical="center"/>
      <protection/>
    </xf>
    <xf numFmtId="164" fontId="9" fillId="24" borderId="20" xfId="57" applyNumberFormat="1" applyFont="1" applyFill="1" applyBorder="1" applyAlignment="1">
      <alignment horizontal="center" vertical="center"/>
      <protection/>
    </xf>
    <xf numFmtId="16" fontId="9" fillId="26" borderId="0" xfId="57" applyNumberFormat="1" applyFont="1" applyFill="1" applyBorder="1" applyAlignment="1">
      <alignment horizontal="center" vertical="center"/>
      <protection/>
    </xf>
    <xf numFmtId="164" fontId="9" fillId="26" borderId="0" xfId="57" applyNumberFormat="1" applyFont="1" applyFill="1" applyBorder="1" applyAlignment="1">
      <alignment horizontal="center" vertical="center"/>
      <protection/>
    </xf>
    <xf numFmtId="167" fontId="7" fillId="0" borderId="0" xfId="60" applyNumberFormat="1" applyFont="1" applyAlignment="1" applyProtection="1">
      <alignment vertical="center"/>
      <protection/>
    </xf>
    <xf numFmtId="0" fontId="7" fillId="0" borderId="0" xfId="60" applyFont="1" applyAlignment="1" applyProtection="1">
      <alignment vertical="center"/>
      <protection/>
    </xf>
    <xf numFmtId="0" fontId="7" fillId="0" borderId="0" xfId="60" applyFont="1" applyAlignment="1">
      <alignment vertical="center"/>
      <protection/>
    </xf>
    <xf numFmtId="0" fontId="9" fillId="0" borderId="12" xfId="60" applyFont="1" applyFill="1" applyBorder="1" applyAlignment="1" applyProtection="1">
      <alignment horizontal="center" vertical="center"/>
      <protection/>
    </xf>
    <xf numFmtId="169" fontId="9" fillId="0" borderId="12" xfId="60" applyNumberFormat="1" applyFont="1" applyFill="1" applyBorder="1" applyAlignment="1" applyProtection="1">
      <alignment horizontal="center" vertical="center"/>
      <protection/>
    </xf>
    <xf numFmtId="15" fontId="9" fillId="0" borderId="12" xfId="60" applyNumberFormat="1" applyFont="1" applyFill="1" applyBorder="1" applyAlignment="1" applyProtection="1">
      <alignment horizontal="center" vertical="center"/>
      <protection/>
    </xf>
    <xf numFmtId="164" fontId="9" fillId="0" borderId="12" xfId="60" applyNumberFormat="1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 quotePrefix="1">
      <alignment horizontal="right" vertical="center"/>
      <protection/>
    </xf>
    <xf numFmtId="0" fontId="9" fillId="0" borderId="13" xfId="60" applyFont="1" applyFill="1" applyBorder="1" applyAlignment="1" applyProtection="1">
      <alignment horizontal="center" vertical="center"/>
      <protection/>
    </xf>
    <xf numFmtId="169" fontId="9" fillId="0" borderId="13" xfId="60" applyNumberFormat="1" applyFont="1" applyFill="1" applyBorder="1" applyAlignment="1" applyProtection="1">
      <alignment horizontal="center" vertical="center"/>
      <protection/>
    </xf>
    <xf numFmtId="15" fontId="9" fillId="0" borderId="13" xfId="60" applyNumberFormat="1" applyFont="1" applyFill="1" applyBorder="1" applyAlignment="1" applyProtection="1">
      <alignment horizontal="center" vertical="center"/>
      <protection/>
    </xf>
    <xf numFmtId="167" fontId="9" fillId="0" borderId="13" xfId="60" applyNumberFormat="1" applyFont="1" applyFill="1" applyBorder="1" applyAlignment="1" applyProtection="1">
      <alignment horizontal="center" vertical="center"/>
      <protection/>
    </xf>
    <xf numFmtId="164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6" xfId="60" applyFont="1" applyFill="1" applyBorder="1" applyAlignment="1" applyProtection="1">
      <alignment horizontal="center" vertical="center"/>
      <protection/>
    </xf>
    <xf numFmtId="169" fontId="9" fillId="0" borderId="16" xfId="60" applyNumberFormat="1" applyFont="1" applyFill="1" applyBorder="1" applyAlignment="1" applyProtection="1">
      <alignment horizontal="center" vertical="center"/>
      <protection/>
    </xf>
    <xf numFmtId="15" fontId="9" fillId="0" borderId="16" xfId="60" applyNumberFormat="1" applyFont="1" applyFill="1" applyBorder="1" applyAlignment="1" applyProtection="1">
      <alignment horizontal="center" vertical="center"/>
      <protection/>
    </xf>
    <xf numFmtId="164" fontId="9" fillId="0" borderId="16" xfId="60" applyNumberFormat="1" applyFont="1" applyFill="1" applyBorder="1" applyAlignment="1" applyProtection="1">
      <alignment horizontal="center" vertical="center"/>
      <protection/>
    </xf>
    <xf numFmtId="167" fontId="7" fillId="0" borderId="0" xfId="60" applyNumberFormat="1" applyFont="1" applyFill="1" applyAlignment="1" applyProtection="1">
      <alignment vertical="center"/>
      <protection/>
    </xf>
    <xf numFmtId="0" fontId="7" fillId="0" borderId="0" xfId="60" applyFont="1" applyFill="1" applyAlignment="1" applyProtection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13" fillId="0" borderId="10" xfId="0" applyFont="1" applyFill="1" applyBorder="1" applyAlignment="1" applyProtection="1" quotePrefix="1">
      <alignment horizontal="right" vertical="center"/>
      <protection/>
    </xf>
    <xf numFmtId="0" fontId="13" fillId="0" borderId="14" xfId="0" applyFont="1" applyFill="1" applyBorder="1" applyAlignment="1" applyProtection="1" quotePrefix="1">
      <alignment horizontal="right" vertical="center"/>
      <protection/>
    </xf>
    <xf numFmtId="0" fontId="9" fillId="0" borderId="14" xfId="60" applyFont="1" applyFill="1" applyBorder="1" applyAlignment="1" applyProtection="1">
      <alignment horizontal="center" vertical="center"/>
      <protection/>
    </xf>
    <xf numFmtId="169" fontId="9" fillId="0" borderId="14" xfId="60" applyNumberFormat="1" applyFont="1" applyFill="1" applyBorder="1" applyAlignment="1" applyProtection="1">
      <alignment horizontal="center" vertical="center"/>
      <protection/>
    </xf>
    <xf numFmtId="15" fontId="9" fillId="0" borderId="14" xfId="60" applyNumberFormat="1" applyFont="1" applyFill="1" applyBorder="1" applyAlignment="1" applyProtection="1">
      <alignment horizontal="center" vertical="center"/>
      <protection/>
    </xf>
    <xf numFmtId="167" fontId="9" fillId="0" borderId="14" xfId="60" applyNumberFormat="1" applyFont="1" applyFill="1" applyBorder="1" applyAlignment="1" applyProtection="1">
      <alignment horizontal="center" vertical="center"/>
      <protection/>
    </xf>
    <xf numFmtId="164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10" xfId="60" applyFont="1" applyFill="1" applyBorder="1" applyAlignment="1" applyProtection="1">
      <alignment horizontal="center" vertical="center"/>
      <protection/>
    </xf>
    <xf numFmtId="169" fontId="9" fillId="0" borderId="10" xfId="60" applyNumberFormat="1" applyFont="1" applyFill="1" applyBorder="1" applyAlignment="1" applyProtection="1">
      <alignment horizontal="center" vertical="center"/>
      <protection/>
    </xf>
    <xf numFmtId="15" fontId="9" fillId="0" borderId="10" xfId="60" applyNumberFormat="1" applyFont="1" applyFill="1" applyBorder="1" applyAlignment="1" applyProtection="1">
      <alignment horizontal="center" vertical="center"/>
      <protection/>
    </xf>
    <xf numFmtId="164" fontId="9" fillId="0" borderId="10" xfId="60" applyNumberFormat="1" applyFont="1" applyFill="1" applyBorder="1" applyAlignment="1" applyProtection="1">
      <alignment horizontal="center" vertical="center"/>
      <protection/>
    </xf>
    <xf numFmtId="167" fontId="9" fillId="0" borderId="16" xfId="60" applyNumberFormat="1" applyFont="1" applyFill="1" applyBorder="1" applyAlignment="1" applyProtection="1">
      <alignment horizontal="center" vertical="center"/>
      <protection/>
    </xf>
    <xf numFmtId="169" fontId="9" fillId="0" borderId="15" xfId="6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167" fontId="19" fillId="0" borderId="0" xfId="60" applyNumberFormat="1" applyFont="1" applyFill="1" applyAlignment="1" applyProtection="1">
      <alignment vertical="center"/>
      <protection/>
    </xf>
    <xf numFmtId="0" fontId="19" fillId="0" borderId="0" xfId="60" applyFont="1" applyFill="1" applyAlignment="1" applyProtection="1">
      <alignment vertical="center"/>
      <protection/>
    </xf>
    <xf numFmtId="0" fontId="19" fillId="0" borderId="0" xfId="60" applyFont="1" applyFill="1" applyAlignment="1">
      <alignment vertical="center"/>
      <protection/>
    </xf>
    <xf numFmtId="167" fontId="8" fillId="0" borderId="0" xfId="60" applyNumberFormat="1" applyFont="1" applyFill="1" applyAlignment="1" applyProtection="1">
      <alignment vertical="center"/>
      <protection/>
    </xf>
    <xf numFmtId="0" fontId="8" fillId="0" borderId="0" xfId="60" applyFont="1" applyFill="1" applyAlignment="1" applyProtection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9" fillId="0" borderId="10" xfId="0" applyFont="1" applyFill="1" applyBorder="1" applyAlignment="1" applyProtection="1" quotePrefix="1">
      <alignment horizontal="right" vertical="center"/>
      <protection/>
    </xf>
    <xf numFmtId="167" fontId="9" fillId="0" borderId="10" xfId="60" applyNumberFormat="1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 quotePrefix="1">
      <alignment horizontal="right" vertical="center"/>
      <protection/>
    </xf>
    <xf numFmtId="0" fontId="31" fillId="0" borderId="10" xfId="0" applyFont="1" applyFill="1" applyBorder="1" applyAlignment="1" applyProtection="1" quotePrefix="1">
      <alignment horizontal="right" vertical="center"/>
      <protection/>
    </xf>
    <xf numFmtId="167" fontId="31" fillId="0" borderId="10" xfId="60" applyNumberFormat="1" applyFont="1" applyFill="1" applyBorder="1" applyAlignment="1" applyProtection="1">
      <alignment horizontal="center" vertical="center"/>
      <protection/>
    </xf>
    <xf numFmtId="164" fontId="31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 quotePrefix="1">
      <alignment horizontal="right" vertical="center"/>
      <protection/>
    </xf>
    <xf numFmtId="167" fontId="9" fillId="0" borderId="12" xfId="60" applyNumberFormat="1" applyFont="1" applyFill="1" applyBorder="1" applyAlignment="1" applyProtection="1">
      <alignment horizontal="center" vertical="center"/>
      <protection/>
    </xf>
    <xf numFmtId="167" fontId="15" fillId="0" borderId="0" xfId="60" applyNumberFormat="1" applyFont="1" applyFill="1" applyAlignment="1" applyProtection="1">
      <alignment vertical="center"/>
      <protection/>
    </xf>
    <xf numFmtId="0" fontId="15" fillId="0" borderId="0" xfId="60" applyFont="1" applyFill="1" applyAlignment="1" applyProtection="1">
      <alignment vertical="center"/>
      <protection/>
    </xf>
    <xf numFmtId="0" fontId="15" fillId="0" borderId="0" xfId="60" applyFont="1" applyFill="1" applyAlignment="1">
      <alignment vertical="center"/>
      <protection/>
    </xf>
    <xf numFmtId="167" fontId="19" fillId="0" borderId="0" xfId="60" applyNumberFormat="1" applyFont="1" applyAlignment="1" applyProtection="1">
      <alignment vertical="center"/>
      <protection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>
      <alignment vertical="center"/>
      <protection/>
    </xf>
    <xf numFmtId="167" fontId="31" fillId="0" borderId="16" xfId="60" applyNumberFormat="1" applyFont="1" applyFill="1" applyBorder="1" applyAlignment="1" applyProtection="1">
      <alignment horizontal="center" vertical="center"/>
      <protection/>
    </xf>
    <xf numFmtId="164" fontId="31" fillId="0" borderId="16" xfId="60" applyNumberFormat="1" applyFont="1" applyFill="1" applyBorder="1" applyAlignment="1" applyProtection="1">
      <alignment horizontal="center" vertical="center"/>
      <protection/>
    </xf>
    <xf numFmtId="0" fontId="31" fillId="0" borderId="13" xfId="0" applyFont="1" applyFill="1" applyBorder="1" applyAlignment="1" applyProtection="1" quotePrefix="1">
      <alignment horizontal="right" vertical="center"/>
      <protection/>
    </xf>
    <xf numFmtId="167" fontId="31" fillId="0" borderId="13" xfId="60" applyNumberFormat="1" applyFont="1" applyFill="1" applyBorder="1" applyAlignment="1" applyProtection="1">
      <alignment horizontal="center" vertical="center"/>
      <protection/>
    </xf>
    <xf numFmtId="164" fontId="31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Font="1" applyFill="1" applyBorder="1" applyAlignment="1" applyProtection="1">
      <alignment horizontal="center" vertical="center"/>
      <protection/>
    </xf>
    <xf numFmtId="0" fontId="13" fillId="0" borderId="0" xfId="60" applyFont="1" applyFill="1" applyBorder="1" applyAlignment="1" applyProtection="1">
      <alignment horizontal="center" vertical="center"/>
      <protection/>
    </xf>
    <xf numFmtId="169" fontId="13" fillId="0" borderId="0" xfId="60" applyNumberFormat="1" applyFont="1" applyFill="1" applyBorder="1" applyAlignment="1" applyProtection="1">
      <alignment horizontal="center" vertical="center"/>
      <protection/>
    </xf>
    <xf numFmtId="15" fontId="13" fillId="0" borderId="0" xfId="60" applyNumberFormat="1" applyFont="1" applyFill="1" applyBorder="1" applyAlignment="1" applyProtection="1">
      <alignment horizontal="center" vertical="center"/>
      <protection/>
    </xf>
    <xf numFmtId="167" fontId="13" fillId="0" borderId="0" xfId="60" applyNumberFormat="1" applyFont="1" applyFill="1" applyBorder="1" applyAlignment="1" applyProtection="1">
      <alignment horizontal="center" vertical="center"/>
      <protection/>
    </xf>
    <xf numFmtId="167" fontId="9" fillId="0" borderId="0" xfId="60" applyNumberFormat="1" applyFont="1" applyFill="1" applyBorder="1" applyAlignment="1" applyProtection="1">
      <alignment horizontal="center" vertical="center"/>
      <protection/>
    </xf>
    <xf numFmtId="164" fontId="9" fillId="0" borderId="0" xfId="60" applyNumberFormat="1" applyFont="1" applyFill="1" applyBorder="1" applyAlignment="1" applyProtection="1">
      <alignment horizontal="center" vertical="center"/>
      <protection/>
    </xf>
    <xf numFmtId="0" fontId="6" fillId="20" borderId="23" xfId="60" applyFont="1" applyFill="1" applyBorder="1" applyAlignment="1" applyProtection="1">
      <alignment horizontal="center" vertical="center"/>
      <protection/>
    </xf>
    <xf numFmtId="0" fontId="6" fillId="20" borderId="18" xfId="60" applyFont="1" applyFill="1" applyBorder="1" applyAlignment="1" applyProtection="1">
      <alignment horizontal="center" vertical="center"/>
      <protection/>
    </xf>
    <xf numFmtId="0" fontId="6" fillId="20" borderId="18" xfId="60" applyFont="1" applyFill="1" applyBorder="1" applyAlignment="1">
      <alignment vertical="center"/>
      <protection/>
    </xf>
    <xf numFmtId="0" fontId="6" fillId="20" borderId="18" xfId="60" applyFont="1" applyFill="1" applyBorder="1" applyAlignment="1" applyProtection="1">
      <alignment vertical="center"/>
      <protection/>
    </xf>
    <xf numFmtId="169" fontId="6" fillId="20" borderId="18" xfId="60" applyNumberFormat="1" applyFont="1" applyFill="1" applyBorder="1" applyAlignment="1" applyProtection="1">
      <alignment horizontal="center" vertical="center"/>
      <protection/>
    </xf>
    <xf numFmtId="15" fontId="5" fillId="20" borderId="18" xfId="60" applyNumberFormat="1" applyFont="1" applyFill="1" applyBorder="1" applyAlignment="1" applyProtection="1">
      <alignment horizontal="right" vertical="center"/>
      <protection/>
    </xf>
    <xf numFmtId="164" fontId="5" fillId="20" borderId="18" xfId="60" applyNumberFormat="1" applyFont="1" applyFill="1" applyBorder="1" applyAlignment="1" applyProtection="1">
      <alignment horizontal="center" vertical="center"/>
      <protection/>
    </xf>
    <xf numFmtId="0" fontId="6" fillId="20" borderId="24" xfId="60" applyFont="1" applyFill="1" applyBorder="1" applyAlignment="1" applyProtection="1">
      <alignment horizontal="center" vertical="center"/>
      <protection/>
    </xf>
    <xf numFmtId="0" fontId="6" fillId="20" borderId="25" xfId="60" applyFont="1" applyFill="1" applyBorder="1" applyAlignment="1" applyProtection="1">
      <alignment horizontal="center" vertical="center"/>
      <protection/>
    </xf>
    <xf numFmtId="0" fontId="6" fillId="20" borderId="26" xfId="60" applyFont="1" applyFill="1" applyBorder="1" applyAlignment="1" applyProtection="1">
      <alignment horizontal="center" vertical="center"/>
      <protection/>
    </xf>
    <xf numFmtId="0" fontId="6" fillId="20" borderId="26" xfId="60" applyFont="1" applyFill="1" applyBorder="1" applyAlignment="1">
      <alignment vertical="center"/>
      <protection/>
    </xf>
    <xf numFmtId="0" fontId="6" fillId="20" borderId="26" xfId="60" applyFont="1" applyFill="1" applyBorder="1" applyAlignment="1" applyProtection="1">
      <alignment vertical="center"/>
      <protection/>
    </xf>
    <xf numFmtId="169" fontId="6" fillId="20" borderId="26" xfId="60" applyNumberFormat="1" applyFont="1" applyFill="1" applyBorder="1" applyAlignment="1" applyProtection="1">
      <alignment horizontal="center" vertical="center"/>
      <protection/>
    </xf>
    <xf numFmtId="15" fontId="5" fillId="20" borderId="26" xfId="60" applyNumberFormat="1" applyFont="1" applyFill="1" applyBorder="1" applyAlignment="1" applyProtection="1">
      <alignment horizontal="right" vertical="center"/>
      <protection/>
    </xf>
    <xf numFmtId="164" fontId="5" fillId="20" borderId="26" xfId="60" applyNumberFormat="1" applyFont="1" applyFill="1" applyBorder="1" applyAlignment="1" applyProtection="1">
      <alignment horizontal="center" vertical="center"/>
      <protection/>
    </xf>
    <xf numFmtId="0" fontId="6" fillId="20" borderId="27" xfId="60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4" fontId="9" fillId="20" borderId="15" xfId="0" applyNumberFormat="1" applyFont="1" applyFill="1" applyBorder="1" applyAlignment="1">
      <alignment horizontal="center" vertical="center"/>
    </xf>
    <xf numFmtId="2" fontId="9" fillId="20" borderId="15" xfId="0" applyNumberFormat="1" applyFont="1" applyFill="1" applyBorder="1" applyAlignment="1">
      <alignment horizontal="center" vertical="center"/>
    </xf>
    <xf numFmtId="16" fontId="9" fillId="26" borderId="18" xfId="0" applyNumberFormat="1" applyFont="1" applyFill="1" applyBorder="1" applyAlignment="1">
      <alignment horizontal="center" vertical="center"/>
    </xf>
    <xf numFmtId="1" fontId="9" fillId="26" borderId="18" xfId="0" applyNumberFormat="1" applyFont="1" applyFill="1" applyBorder="1" applyAlignment="1">
      <alignment horizontal="center" vertical="center"/>
    </xf>
    <xf numFmtId="1" fontId="9" fillId="26" borderId="18" xfId="0" applyNumberFormat="1" applyFont="1" applyFill="1" applyBorder="1" applyAlignment="1">
      <alignment horizontal="fill" vertical="center"/>
    </xf>
    <xf numFmtId="164" fontId="9" fillId="26" borderId="18" xfId="0" applyNumberFormat="1" applyFont="1" applyFill="1" applyBorder="1" applyAlignment="1">
      <alignment horizontal="fill" vertical="center"/>
    </xf>
    <xf numFmtId="2" fontId="9" fillId="26" borderId="18" xfId="0" applyNumberFormat="1" applyFont="1" applyFill="1" applyBorder="1" applyAlignment="1">
      <alignment horizontal="fill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0" borderId="11" xfId="0" applyFont="1" applyFill="1" applyBorder="1" applyAlignment="1" applyProtection="1">
      <alignment horizontal="center" vertical="center"/>
      <protection/>
    </xf>
    <xf numFmtId="1" fontId="11" fillId="0" borderId="11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9" fillId="0" borderId="24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 quotePrefix="1">
      <alignment horizontal="right"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1" fontId="31" fillId="0" borderId="0" xfId="0" applyNumberFormat="1" applyFont="1" applyFill="1" applyBorder="1" applyAlignment="1" applyProtection="1">
      <alignment horizontal="center" vertical="center"/>
      <protection/>
    </xf>
    <xf numFmtId="164" fontId="31" fillId="0" borderId="0" xfId="0" applyNumberFormat="1" applyFont="1" applyFill="1" applyBorder="1" applyAlignment="1" applyProtection="1">
      <alignment horizontal="center" vertical="center"/>
      <protection/>
    </xf>
    <xf numFmtId="2" fontId="31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Fill="1" applyBorder="1" applyAlignment="1" applyProtection="1">
      <alignment horizontal="center"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vertical="center"/>
    </xf>
    <xf numFmtId="0" fontId="9" fillId="20" borderId="19" xfId="0" applyFont="1" applyFill="1" applyBorder="1" applyAlignment="1" applyProtection="1">
      <alignment horizontal="center" vertical="center"/>
      <protection/>
    </xf>
    <xf numFmtId="16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65" fontId="11" fillId="0" borderId="11" xfId="0" applyNumberFormat="1" applyFont="1" applyFill="1" applyBorder="1" applyAlignment="1" applyProtection="1">
      <alignment horizontal="center" vertical="center"/>
      <protection/>
    </xf>
    <xf numFmtId="0" fontId="31" fillId="0" borderId="26" xfId="0" applyFont="1" applyFill="1" applyBorder="1" applyAlignment="1" applyProtection="1">
      <alignment horizontal="right" vertical="center"/>
      <protection/>
    </xf>
    <xf numFmtId="0" fontId="17" fillId="0" borderId="0" xfId="0" applyFont="1" applyFill="1" applyAlignment="1" applyProtection="1">
      <alignment vertical="center"/>
      <protection/>
    </xf>
    <xf numFmtId="164" fontId="17" fillId="0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>
      <alignment vertical="center"/>
    </xf>
    <xf numFmtId="0" fontId="32" fillId="0" borderId="0" xfId="0" applyFont="1" applyFill="1" applyAlignment="1" applyProtection="1">
      <alignment vertical="center"/>
      <protection/>
    </xf>
    <xf numFmtId="164" fontId="32" fillId="0" borderId="0" xfId="0" applyNumberFormat="1" applyFont="1" applyFill="1" applyAlignment="1" applyProtection="1">
      <alignment vertical="center"/>
      <protection/>
    </xf>
    <xf numFmtId="0" fontId="32" fillId="0" borderId="0" xfId="0" applyFont="1" applyFill="1" applyAlignment="1">
      <alignment vertical="center"/>
    </xf>
    <xf numFmtId="2" fontId="9" fillId="20" borderId="20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Border="1" applyAlignment="1" applyProtection="1">
      <alignment horizontal="center" vertical="center"/>
      <protection/>
    </xf>
    <xf numFmtId="165" fontId="9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Border="1" applyAlignment="1">
      <alignment horizontal="fill" vertical="center"/>
    </xf>
    <xf numFmtId="1" fontId="9" fillId="26" borderId="21" xfId="0" applyNumberFormat="1" applyFont="1" applyFill="1" applyBorder="1" applyAlignment="1">
      <alignment horizontal="fill" vertical="center"/>
    </xf>
    <xf numFmtId="164" fontId="9" fillId="26" borderId="0" xfId="0" applyNumberFormat="1" applyFont="1" applyFill="1" applyBorder="1" applyAlignment="1">
      <alignment horizontal="fill" vertical="center"/>
    </xf>
    <xf numFmtId="2" fontId="9" fillId="26" borderId="0" xfId="0" applyNumberFormat="1" applyFont="1" applyFill="1" applyBorder="1" applyAlignment="1">
      <alignment horizontal="fill" vertical="center"/>
    </xf>
    <xf numFmtId="1" fontId="9" fillId="26" borderId="0" xfId="0" applyNumberFormat="1" applyFont="1" applyFill="1" applyBorder="1" applyAlignment="1">
      <alignment horizontal="fill" vertical="center"/>
    </xf>
    <xf numFmtId="0" fontId="6" fillId="0" borderId="0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164" fontId="9" fillId="20" borderId="19" xfId="0" applyNumberFormat="1" applyFont="1" applyFill="1" applyBorder="1" applyAlignment="1">
      <alignment horizontal="center" vertical="center"/>
    </xf>
    <xf numFmtId="2" fontId="9" fillId="20" borderId="19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 quotePrefix="1">
      <alignment horizontal="right" vertical="center"/>
      <protection/>
    </xf>
    <xf numFmtId="2" fontId="8" fillId="0" borderId="0" xfId="0" applyNumberFormat="1" applyFont="1" applyFill="1" applyBorder="1" applyAlignment="1" applyProtection="1" quotePrefix="1">
      <alignment horizontal="right" vertical="center"/>
      <protection/>
    </xf>
    <xf numFmtId="164" fontId="8" fillId="0" borderId="0" xfId="0" applyNumberFormat="1" applyFont="1" applyFill="1" applyBorder="1" applyAlignment="1" applyProtection="1" quotePrefix="1">
      <alignment horizontal="right" vertical="center"/>
      <protection/>
    </xf>
    <xf numFmtId="0" fontId="8" fillId="0" borderId="25" xfId="0" applyFont="1" applyFill="1" applyBorder="1" applyAlignment="1" applyProtection="1" quotePrefix="1">
      <alignment horizontal="right" vertical="center"/>
      <protection/>
    </xf>
    <xf numFmtId="1" fontId="9" fillId="0" borderId="14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165" fontId="9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165" fontId="11" fillId="0" borderId="15" xfId="0" applyNumberFormat="1" applyFont="1" applyFill="1" applyBorder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 applyProtection="1">
      <alignment horizontal="center" vertical="center"/>
      <protection/>
    </xf>
    <xf numFmtId="1" fontId="9" fillId="0" borderId="15" xfId="0" applyNumberFormat="1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right" vertical="center"/>
      <protection/>
    </xf>
    <xf numFmtId="164" fontId="8" fillId="0" borderId="26" xfId="0" applyNumberFormat="1" applyFont="1" applyFill="1" applyBorder="1" applyAlignment="1" applyProtection="1" quotePrefix="1">
      <alignment horizontal="right" vertical="center"/>
      <protection/>
    </xf>
    <xf numFmtId="165" fontId="9" fillId="0" borderId="12" xfId="0" applyNumberFormat="1" applyFont="1" applyFill="1" applyBorder="1" applyAlignment="1" applyProtection="1">
      <alignment horizontal="center" vertical="center"/>
      <protection/>
    </xf>
    <xf numFmtId="1" fontId="9" fillId="0" borderId="16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165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 horizontal="center" vertical="center"/>
    </xf>
    <xf numFmtId="1" fontId="9" fillId="20" borderId="11" xfId="0" applyNumberFormat="1" applyFont="1" applyFill="1" applyBorder="1" applyAlignment="1">
      <alignment horizontal="center" vertical="center"/>
    </xf>
    <xf numFmtId="1" fontId="9" fillId="20" borderId="2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vertical="center" wrapText="1"/>
    </xf>
    <xf numFmtId="0" fontId="9" fillId="23" borderId="11" xfId="0" applyFont="1" applyFill="1" applyBorder="1" applyAlignment="1" applyProtection="1">
      <alignment horizontal="center" vertical="center"/>
      <protection/>
    </xf>
    <xf numFmtId="165" fontId="11" fillId="0" borderId="21" xfId="0" applyNumberFormat="1" applyFont="1" applyFill="1" applyBorder="1" applyAlignment="1" applyProtection="1">
      <alignment horizontal="center" vertical="center"/>
      <protection/>
    </xf>
    <xf numFmtId="0" fontId="9" fillId="20" borderId="19" xfId="0" applyFont="1" applyFill="1" applyBorder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 quotePrefix="1">
      <alignment horizontal="right" vertical="center"/>
      <protection/>
    </xf>
    <xf numFmtId="1" fontId="9" fillId="0" borderId="18" xfId="0" applyNumberFormat="1" applyFont="1" applyFill="1" applyBorder="1" applyAlignment="1" applyProtection="1" quotePrefix="1">
      <alignment horizontal="center" vertical="center"/>
      <protection/>
    </xf>
    <xf numFmtId="1" fontId="9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vertical="center"/>
      <protection/>
    </xf>
    <xf numFmtId="1" fontId="9" fillId="0" borderId="14" xfId="0" applyNumberFormat="1" applyFont="1" applyFill="1" applyBorder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23" borderId="10" xfId="0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1" fontId="9" fillId="0" borderId="0" xfId="0" applyNumberFormat="1" applyFont="1" applyFill="1" applyBorder="1" applyAlignment="1" applyProtection="1" quotePrefix="1">
      <alignment horizontal="center" vertical="center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165" fontId="9" fillId="0" borderId="29" xfId="0" applyNumberFormat="1" applyFont="1" applyFill="1" applyBorder="1" applyAlignment="1" applyProtection="1">
      <alignment horizontal="center" vertical="center"/>
      <protection/>
    </xf>
    <xf numFmtId="1" fontId="9" fillId="0" borderId="16" xfId="0" applyNumberFormat="1" applyFont="1" applyFill="1" applyBorder="1" applyAlignment="1" applyProtection="1">
      <alignment horizontal="center" vertical="center"/>
      <protection/>
    </xf>
    <xf numFmtId="1" fontId="9" fillId="20" borderId="30" xfId="0" applyNumberFormat="1" applyFont="1" applyFill="1" applyBorder="1" applyAlignment="1" applyProtection="1">
      <alignment horizontal="center" vertical="center"/>
      <protection/>
    </xf>
    <xf numFmtId="1" fontId="9" fillId="0" borderId="15" xfId="0" applyNumberFormat="1" applyFont="1" applyFill="1" applyBorder="1" applyAlignment="1" applyProtection="1">
      <alignment horizontal="center" vertical="center"/>
      <protection/>
    </xf>
    <xf numFmtId="1" fontId="9" fillId="0" borderId="13" xfId="0" applyNumberFormat="1" applyFont="1" applyFill="1" applyBorder="1" applyAlignment="1" applyProtection="1">
      <alignment horizontal="center" vertical="center"/>
      <protection/>
    </xf>
    <xf numFmtId="165" fontId="9" fillId="0" borderId="20" xfId="0" applyNumberFormat="1" applyFont="1" applyFill="1" applyBorder="1" applyAlignment="1" applyProtection="1">
      <alignment horizontal="center" vertical="center"/>
      <protection/>
    </xf>
    <xf numFmtId="165" fontId="9" fillId="20" borderId="20" xfId="0" applyNumberFormat="1" applyFont="1" applyFill="1" applyBorder="1" applyAlignment="1" applyProtection="1">
      <alignment horizontal="center" vertical="center"/>
      <protection/>
    </xf>
    <xf numFmtId="2" fontId="9" fillId="20" borderId="15" xfId="0" applyNumberFormat="1" applyFont="1" applyFill="1" applyBorder="1" applyAlignment="1" quotePrefix="1">
      <alignment horizontal="center" vertical="center"/>
    </xf>
    <xf numFmtId="1" fontId="9" fillId="20" borderId="15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 quotePrefix="1">
      <alignment horizontal="center" vertical="center"/>
      <protection/>
    </xf>
    <xf numFmtId="0" fontId="9" fillId="0" borderId="20" xfId="0" applyFont="1" applyFill="1" applyBorder="1" applyAlignment="1" applyProtection="1" quotePrefix="1">
      <alignment horizontal="center" vertical="center"/>
      <protection/>
    </xf>
    <xf numFmtId="164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31" fillId="0" borderId="15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 quotePrefix="1">
      <alignment horizontal="right" vertical="center"/>
      <protection/>
    </xf>
    <xf numFmtId="15" fontId="9" fillId="0" borderId="15" xfId="60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>
      <alignment horizontal="center" vertical="center"/>
    </xf>
    <xf numFmtId="165" fontId="13" fillId="0" borderId="15" xfId="0" applyNumberFormat="1" applyFont="1" applyFill="1" applyBorder="1" applyAlignment="1" applyProtection="1">
      <alignment horizontal="center" vertical="center"/>
      <protection/>
    </xf>
    <xf numFmtId="165" fontId="13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 quotePrefix="1">
      <alignment horizontal="right" vertical="center"/>
      <protection/>
    </xf>
    <xf numFmtId="0" fontId="9" fillId="0" borderId="13" xfId="0" applyFont="1" applyFill="1" applyBorder="1" applyAlignment="1" applyProtection="1" quotePrefix="1">
      <alignment horizontal="right" vertical="center"/>
      <protection/>
    </xf>
    <xf numFmtId="164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167" fontId="31" fillId="0" borderId="12" xfId="60" applyNumberFormat="1" applyFont="1" applyFill="1" applyBorder="1" applyAlignment="1" applyProtection="1">
      <alignment horizontal="center" vertical="center"/>
      <protection/>
    </xf>
    <xf numFmtId="164" fontId="31" fillId="0" borderId="12" xfId="60" applyNumberFormat="1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 quotePrefix="1">
      <alignment horizontal="right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9" fillId="23" borderId="14" xfId="0" applyFont="1" applyFill="1" applyBorder="1" applyAlignment="1">
      <alignment horizontal="center" vertical="center"/>
    </xf>
    <xf numFmtId="164" fontId="9" fillId="23" borderId="14" xfId="0" applyNumberFormat="1" applyFont="1" applyFill="1" applyBorder="1" applyAlignment="1">
      <alignment horizontal="center" vertical="center"/>
    </xf>
    <xf numFmtId="0" fontId="9" fillId="23" borderId="1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9" fontId="9" fillId="0" borderId="10" xfId="60" applyNumberFormat="1" applyFont="1" applyFill="1" applyBorder="1" applyAlignment="1" applyProtection="1">
      <alignment horizontal="center"/>
      <protection/>
    </xf>
    <xf numFmtId="15" fontId="9" fillId="0" borderId="10" xfId="60" applyNumberFormat="1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>
      <alignment horizontal="center" vertical="center"/>
    </xf>
    <xf numFmtId="169" fontId="9" fillId="0" borderId="17" xfId="60" applyNumberFormat="1" applyFont="1" applyFill="1" applyBorder="1" applyAlignment="1" applyProtection="1">
      <alignment horizontal="center"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4" fontId="31" fillId="0" borderId="10" xfId="0" applyNumberFormat="1" applyFont="1" applyFill="1" applyBorder="1" applyAlignment="1">
      <alignment horizontal="center" vertical="center"/>
    </xf>
    <xf numFmtId="164" fontId="9" fillId="23" borderId="11" xfId="0" applyNumberFormat="1" applyFont="1" applyFill="1" applyBorder="1" applyAlignment="1" applyProtection="1">
      <alignment horizontal="center" vertical="center"/>
      <protection/>
    </xf>
    <xf numFmtId="164" fontId="9" fillId="23" borderId="12" xfId="0" applyNumberFormat="1" applyFont="1" applyFill="1" applyBorder="1" applyAlignment="1" applyProtection="1">
      <alignment horizontal="center" vertical="center"/>
      <protection/>
    </xf>
    <xf numFmtId="2" fontId="9" fillId="23" borderId="12" xfId="0" applyNumberFormat="1" applyFont="1" applyFill="1" applyBorder="1" applyAlignment="1" applyProtection="1">
      <alignment horizontal="center" vertical="center"/>
      <protection/>
    </xf>
    <xf numFmtId="164" fontId="9" fillId="23" borderId="10" xfId="0" applyNumberFormat="1" applyFont="1" applyFill="1" applyBorder="1" applyAlignment="1" applyProtection="1">
      <alignment horizontal="center" vertical="center"/>
      <protection/>
    </xf>
    <xf numFmtId="164" fontId="9" fillId="23" borderId="16" xfId="0" applyNumberFormat="1" applyFont="1" applyFill="1" applyBorder="1" applyAlignment="1" applyProtection="1">
      <alignment horizontal="center" vertical="center"/>
      <protection/>
    </xf>
    <xf numFmtId="2" fontId="9" fillId="23" borderId="16" xfId="0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23" borderId="19" xfId="0" applyFont="1" applyFill="1" applyBorder="1" applyAlignment="1" applyProtection="1">
      <alignment horizontal="center" vertical="center"/>
      <protection/>
    </xf>
    <xf numFmtId="0" fontId="9" fillId="23" borderId="19" xfId="0" applyFont="1" applyFill="1" applyBorder="1" applyAlignment="1">
      <alignment horizontal="center" vertical="center"/>
    </xf>
    <xf numFmtId="164" fontId="9" fillId="23" borderId="19" xfId="0" applyNumberFormat="1" applyFont="1" applyFill="1" applyBorder="1" applyAlignment="1" applyProtection="1">
      <alignment horizontal="center" vertical="center"/>
      <protection/>
    </xf>
    <xf numFmtId="2" fontId="9" fillId="23" borderId="19" xfId="0" applyNumberFormat="1" applyFont="1" applyFill="1" applyBorder="1" applyAlignment="1" applyProtection="1">
      <alignment horizontal="center" vertical="center"/>
      <protection/>
    </xf>
    <xf numFmtId="0" fontId="9" fillId="23" borderId="12" xfId="0" applyFont="1" applyFill="1" applyBorder="1" applyAlignment="1">
      <alignment horizontal="center" vertical="center"/>
    </xf>
    <xf numFmtId="0" fontId="9" fillId="23" borderId="14" xfId="0" applyFont="1" applyFill="1" applyBorder="1" applyAlignment="1" applyProtection="1">
      <alignment horizontal="center" vertical="center"/>
      <protection/>
    </xf>
    <xf numFmtId="2" fontId="9" fillId="23" borderId="10" xfId="0" applyNumberFormat="1" applyFont="1" applyFill="1" applyBorder="1" applyAlignment="1" applyProtection="1">
      <alignment horizontal="center" vertical="center"/>
      <protection/>
    </xf>
    <xf numFmtId="0" fontId="9" fillId="23" borderId="15" xfId="0" applyFont="1" applyFill="1" applyBorder="1" applyAlignment="1" applyProtection="1">
      <alignment horizontal="center" vertical="center"/>
      <protection/>
    </xf>
    <xf numFmtId="164" fontId="9" fillId="23" borderId="15" xfId="0" applyNumberFormat="1" applyFont="1" applyFill="1" applyBorder="1" applyAlignment="1" applyProtection="1">
      <alignment horizontal="center" vertical="center"/>
      <protection/>
    </xf>
    <xf numFmtId="164" fontId="9" fillId="23" borderId="14" xfId="0" applyNumberFormat="1" applyFont="1" applyFill="1" applyBorder="1" applyAlignment="1" applyProtection="1">
      <alignment horizontal="center" vertical="center"/>
      <protection/>
    </xf>
    <xf numFmtId="2" fontId="9" fillId="23" borderId="15" xfId="0" applyNumberFormat="1" applyFont="1" applyFill="1" applyBorder="1" applyAlignment="1" applyProtection="1">
      <alignment horizontal="center" vertical="center"/>
      <protection/>
    </xf>
    <xf numFmtId="2" fontId="9" fillId="23" borderId="14" xfId="0" applyNumberFormat="1" applyFont="1" applyFill="1" applyBorder="1" applyAlignment="1" applyProtection="1">
      <alignment horizontal="center" vertical="center"/>
      <protection/>
    </xf>
    <xf numFmtId="0" fontId="9" fillId="23" borderId="12" xfId="0" applyFont="1" applyFill="1" applyBorder="1" applyAlignment="1" applyProtection="1">
      <alignment horizontal="center" vertical="center"/>
      <protection/>
    </xf>
    <xf numFmtId="16" fontId="9" fillId="24" borderId="19" xfId="0" applyNumberFormat="1" applyFont="1" applyFill="1" applyBorder="1" applyAlignment="1">
      <alignment horizontal="center" wrapText="1"/>
    </xf>
    <xf numFmtId="1" fontId="9" fillId="24" borderId="19" xfId="0" applyNumberFormat="1" applyFont="1" applyFill="1" applyBorder="1" applyAlignment="1">
      <alignment horizontal="center" wrapText="1"/>
    </xf>
    <xf numFmtId="164" fontId="9" fillId="0" borderId="0" xfId="0" applyNumberFormat="1" applyFont="1" applyAlignment="1" applyProtection="1">
      <alignment horizontal="center" vertical="center"/>
      <protection/>
    </xf>
    <xf numFmtId="1" fontId="9" fillId="0" borderId="29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 vertical="center"/>
    </xf>
    <xf numFmtId="0" fontId="9" fillId="23" borderId="16" xfId="0" applyFont="1" applyFill="1" applyBorder="1" applyAlignment="1">
      <alignment horizontal="center" vertical="center"/>
    </xf>
    <xf numFmtId="164" fontId="9" fillId="23" borderId="16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 quotePrefix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1" fontId="11" fillId="0" borderId="15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 applyProtection="1">
      <alignment horizontal="center" vertical="center"/>
      <protection/>
    </xf>
    <xf numFmtId="167" fontId="9" fillId="0" borderId="15" xfId="60" applyNumberFormat="1" applyFont="1" applyFill="1" applyBorder="1" applyAlignment="1" applyProtection="1">
      <alignment horizontal="center" vertical="center"/>
      <protection/>
    </xf>
    <xf numFmtId="164" fontId="9" fillId="0" borderId="15" xfId="60" applyNumberFormat="1" applyFont="1" applyFill="1" applyBorder="1" applyAlignment="1" applyProtection="1">
      <alignment horizontal="center" vertical="center"/>
      <protection/>
    </xf>
    <xf numFmtId="167" fontId="11" fillId="0" borderId="16" xfId="60" applyNumberFormat="1" applyFont="1" applyFill="1" applyBorder="1" applyAlignment="1" applyProtection="1">
      <alignment horizontal="center" vertical="center"/>
      <protection/>
    </xf>
    <xf numFmtId="164" fontId="11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 quotePrefix="1">
      <alignment horizontal="right" vertical="center"/>
      <protection/>
    </xf>
    <xf numFmtId="167" fontId="11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5" xfId="6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164" fontId="9" fillId="23" borderId="13" xfId="0" applyNumberFormat="1" applyFont="1" applyFill="1" applyBorder="1" applyAlignment="1">
      <alignment horizontal="center" vertical="center"/>
    </xf>
    <xf numFmtId="2" fontId="5" fillId="20" borderId="31" xfId="0" applyNumberFormat="1" applyFont="1" applyFill="1" applyBorder="1" applyAlignment="1" applyProtection="1">
      <alignment horizontal="center"/>
      <protection/>
    </xf>
    <xf numFmtId="0" fontId="5" fillId="20" borderId="11" xfId="0" applyFont="1" applyFill="1" applyBorder="1" applyAlignment="1">
      <alignment horizontal="center"/>
    </xf>
    <xf numFmtId="0" fontId="5" fillId="20" borderId="20" xfId="0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1" fontId="11" fillId="0" borderId="13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165" fontId="11" fillId="0" borderId="13" xfId="0" applyNumberFormat="1" applyFont="1" applyFill="1" applyBorder="1" applyAlignment="1" applyProtection="1">
      <alignment horizontal="center" vertical="center"/>
      <protection/>
    </xf>
    <xf numFmtId="1" fontId="11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24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 applyProtection="1">
      <alignment horizontal="center" vertical="center"/>
      <protection/>
    </xf>
    <xf numFmtId="2" fontId="11" fillId="0" borderId="15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5" xfId="0" applyNumberFormat="1" applyFont="1" applyFill="1" applyBorder="1" applyAlignment="1">
      <alignment horizontal="center" vertical="center"/>
    </xf>
    <xf numFmtId="1" fontId="11" fillId="0" borderId="32" xfId="0" applyNumberFormat="1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1" fontId="31" fillId="0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horizontal="center" vertical="center"/>
    </xf>
    <xf numFmtId="1" fontId="11" fillId="0" borderId="3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/>
    </xf>
    <xf numFmtId="1" fontId="31" fillId="0" borderId="14" xfId="0" applyNumberFormat="1" applyFont="1" applyFill="1" applyBorder="1" applyAlignment="1">
      <alignment horizontal="center" vertical="center"/>
    </xf>
    <xf numFmtId="1" fontId="31" fillId="0" borderId="34" xfId="0" applyNumberFormat="1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1" fontId="11" fillId="0" borderId="16" xfId="0" applyNumberFormat="1" applyFont="1" applyFill="1" applyBorder="1" applyAlignment="1" applyProtection="1">
      <alignment horizontal="center" vertical="center"/>
      <protection/>
    </xf>
    <xf numFmtId="165" fontId="11" fillId="0" borderId="22" xfId="0" applyNumberFormat="1" applyFont="1" applyFill="1" applyBorder="1" applyAlignment="1" applyProtection="1">
      <alignment horizontal="center" vertical="center"/>
      <protection/>
    </xf>
    <xf numFmtId="164" fontId="11" fillId="0" borderId="22" xfId="0" applyNumberFormat="1" applyFont="1" applyFill="1" applyBorder="1" applyAlignment="1">
      <alignment horizontal="center" vertical="center"/>
    </xf>
    <xf numFmtId="1" fontId="11" fillId="0" borderId="35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 applyProtection="1">
      <alignment horizontal="center" vertical="center"/>
      <protection/>
    </xf>
    <xf numFmtId="164" fontId="11" fillId="0" borderId="36" xfId="0" applyNumberFormat="1" applyFont="1" applyFill="1" applyBorder="1" applyAlignment="1">
      <alignment horizontal="center" vertical="center"/>
    </xf>
    <xf numFmtId="1" fontId="11" fillId="0" borderId="37" xfId="0" applyNumberFormat="1" applyFont="1" applyFill="1" applyBorder="1" applyAlignment="1">
      <alignment horizontal="center" vertical="center"/>
    </xf>
    <xf numFmtId="164" fontId="11" fillId="0" borderId="34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165" fontId="11" fillId="0" borderId="20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5" fillId="23" borderId="19" xfId="0" applyFont="1" applyFill="1" applyBorder="1" applyAlignment="1">
      <alignment horizontal="center"/>
    </xf>
    <xf numFmtId="0" fontId="9" fillId="23" borderId="35" xfId="0" applyFont="1" applyFill="1" applyBorder="1" applyAlignment="1">
      <alignment horizontal="center" vertical="center"/>
    </xf>
    <xf numFmtId="169" fontId="9" fillId="23" borderId="16" xfId="60" applyNumberFormat="1" applyFont="1" applyFill="1" applyBorder="1" applyAlignment="1" applyProtection="1">
      <alignment horizontal="center"/>
      <protection/>
    </xf>
    <xf numFmtId="15" fontId="9" fillId="23" borderId="16" xfId="60" applyNumberFormat="1" applyFont="1" applyFill="1" applyBorder="1" applyAlignment="1" applyProtection="1">
      <alignment horizontal="center"/>
      <protection/>
    </xf>
    <xf numFmtId="0" fontId="9" fillId="23" borderId="39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9" fontId="9" fillId="0" borderId="16" xfId="60" applyNumberFormat="1" applyFont="1" applyFill="1" applyBorder="1" applyAlignment="1" applyProtection="1">
      <alignment horizontal="center"/>
      <protection/>
    </xf>
    <xf numFmtId="15" fontId="9" fillId="0" borderId="16" xfId="60" applyNumberFormat="1" applyFont="1" applyFill="1" applyBorder="1" applyAlignment="1" applyProtection="1">
      <alignment horizontal="center"/>
      <protection/>
    </xf>
    <xf numFmtId="1" fontId="9" fillId="0" borderId="39" xfId="0" applyNumberFormat="1" applyFont="1" applyBorder="1" applyAlignment="1">
      <alignment horizontal="center" vertical="center"/>
    </xf>
    <xf numFmtId="0" fontId="9" fillId="23" borderId="36" xfId="0" applyFont="1" applyFill="1" applyBorder="1" applyAlignment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  <protection/>
    </xf>
    <xf numFmtId="0" fontId="31" fillId="0" borderId="18" xfId="0" applyFont="1" applyFill="1" applyBorder="1" applyAlignment="1">
      <alignment horizontal="center" vertical="center"/>
    </xf>
    <xf numFmtId="164" fontId="31" fillId="0" borderId="18" xfId="0" applyNumberFormat="1" applyFont="1" applyFill="1" applyBorder="1" applyAlignment="1" applyProtection="1">
      <alignment horizontal="center" vertical="center"/>
      <protection/>
    </xf>
    <xf numFmtId="2" fontId="31" fillId="0" borderId="18" xfId="0" applyNumberFormat="1" applyFont="1" applyFill="1" applyBorder="1" applyAlignment="1" applyProtection="1">
      <alignment horizontal="center" vertical="center"/>
      <protection/>
    </xf>
    <xf numFmtId="0" fontId="19" fillId="0" borderId="26" xfId="0" applyFont="1" applyFill="1" applyBorder="1" applyAlignment="1" applyProtection="1" quotePrefix="1">
      <alignment horizontal="right" vertical="center"/>
      <protection/>
    </xf>
    <xf numFmtId="0" fontId="19" fillId="0" borderId="0" xfId="0" applyFont="1" applyFill="1" applyBorder="1" applyAlignment="1" applyProtection="1" quotePrefix="1">
      <alignment horizontal="right" vertical="center"/>
      <protection/>
    </xf>
    <xf numFmtId="164" fontId="19" fillId="0" borderId="0" xfId="0" applyNumberFormat="1" applyFont="1" applyFill="1" applyBorder="1" applyAlignment="1" applyProtection="1" quotePrefix="1">
      <alignment horizontal="right" vertical="center"/>
      <protection/>
    </xf>
    <xf numFmtId="2" fontId="19" fillId="0" borderId="0" xfId="0" applyNumberFormat="1" applyFont="1" applyFill="1" applyBorder="1" applyAlignment="1" applyProtection="1" quotePrefix="1">
      <alignment horizontal="right"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165" fontId="35" fillId="0" borderId="15" xfId="0" applyNumberFormat="1" applyFont="1" applyFill="1" applyBorder="1" applyAlignment="1" applyProtection="1">
      <alignment horizontal="center" vertical="center"/>
      <protection/>
    </xf>
    <xf numFmtId="165" fontId="35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 quotePrefix="1">
      <alignment horizontal="right" vertical="center"/>
      <protection/>
    </xf>
    <xf numFmtId="1" fontId="15" fillId="0" borderId="0" xfId="0" applyNumberFormat="1" applyFont="1" applyFill="1" applyBorder="1" applyAlignment="1" applyProtection="1" quotePrefix="1">
      <alignment horizontal="right" vertical="center"/>
      <protection/>
    </xf>
    <xf numFmtId="2" fontId="15" fillId="0" borderId="0" xfId="0" applyNumberFormat="1" applyFont="1" applyFill="1" applyBorder="1" applyAlignment="1" applyProtection="1" quotePrefix="1">
      <alignment horizontal="right" vertical="center"/>
      <protection/>
    </xf>
    <xf numFmtId="1" fontId="13" fillId="0" borderId="0" xfId="0" applyNumberFormat="1" applyFont="1" applyFill="1" applyBorder="1" applyAlignment="1" applyProtection="1" quotePrefix="1">
      <alignment horizontal="center" vertical="center"/>
      <protection/>
    </xf>
    <xf numFmtId="1" fontId="28" fillId="0" borderId="0" xfId="0" applyNumberFormat="1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vertical="center"/>
    </xf>
    <xf numFmtId="0" fontId="37" fillId="0" borderId="25" xfId="0" applyFont="1" applyFill="1" applyBorder="1" applyAlignment="1" applyProtection="1" quotePrefix="1">
      <alignment horizontal="right" vertical="center"/>
      <protection/>
    </xf>
    <xf numFmtId="0" fontId="37" fillId="0" borderId="26" xfId="0" applyFont="1" applyFill="1" applyBorder="1" applyAlignment="1" applyProtection="1" quotePrefix="1">
      <alignment horizontal="right" vertical="center"/>
      <protection/>
    </xf>
    <xf numFmtId="0" fontId="37" fillId="0" borderId="0" xfId="0" applyFont="1" applyFill="1" applyBorder="1" applyAlignment="1" applyProtection="1" quotePrefix="1">
      <alignment horizontal="right" vertical="center"/>
      <protection/>
    </xf>
    <xf numFmtId="164" fontId="37" fillId="0" borderId="0" xfId="0" applyNumberFormat="1" applyFont="1" applyFill="1" applyBorder="1" applyAlignment="1" applyProtection="1" quotePrefix="1">
      <alignment horizontal="right" vertical="center"/>
      <protection/>
    </xf>
    <xf numFmtId="2" fontId="37" fillId="0" borderId="0" xfId="0" applyNumberFormat="1" applyFont="1" applyFill="1" applyBorder="1" applyAlignment="1" applyProtection="1" quotePrefix="1">
      <alignment horizontal="right" vertical="center"/>
      <protection/>
    </xf>
    <xf numFmtId="169" fontId="11" fillId="0" borderId="17" xfId="6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38" fillId="0" borderId="0" xfId="58" applyFont="1" applyAlignment="1">
      <alignment horizontal="center"/>
      <protection/>
    </xf>
    <xf numFmtId="0" fontId="39" fillId="0" borderId="0" xfId="60" applyFont="1" applyAlignment="1">
      <alignment horizontal="center"/>
      <protection/>
    </xf>
    <xf numFmtId="0" fontId="35" fillId="0" borderId="0" xfId="0" applyFont="1" applyFill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 applyProtection="1">
      <alignment horizontal="center" vertical="center"/>
      <protection/>
    </xf>
    <xf numFmtId="0" fontId="36" fillId="0" borderId="0" xfId="0" applyFont="1" applyFill="1" applyAlignment="1">
      <alignment horizontal="center"/>
    </xf>
    <xf numFmtId="1" fontId="9" fillId="0" borderId="20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horizontal="center" vertical="center"/>
      <protection/>
    </xf>
    <xf numFmtId="1" fontId="9" fillId="0" borderId="20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 quotePrefix="1">
      <alignment horizontal="right" vertical="center"/>
      <protection/>
    </xf>
    <xf numFmtId="1" fontId="19" fillId="0" borderId="18" xfId="0" applyNumberFormat="1" applyFont="1" applyFill="1" applyBorder="1" applyAlignment="1" applyProtection="1" quotePrefix="1">
      <alignment horizontal="right" vertical="center"/>
      <protection/>
    </xf>
    <xf numFmtId="1" fontId="31" fillId="0" borderId="18" xfId="0" applyNumberFormat="1" applyFont="1" applyFill="1" applyBorder="1" applyAlignment="1" applyProtection="1" quotePrefix="1">
      <alignment horizontal="center" vertical="center"/>
      <protection/>
    </xf>
    <xf numFmtId="1" fontId="31" fillId="0" borderId="18" xfId="0" applyNumberFormat="1" applyFont="1" applyFill="1" applyBorder="1" applyAlignment="1" applyProtection="1">
      <alignment horizontal="center" vertical="center"/>
      <protection/>
    </xf>
    <xf numFmtId="1" fontId="32" fillId="0" borderId="0" xfId="0" applyNumberFormat="1" applyFont="1" applyFill="1" applyBorder="1" applyAlignment="1" applyProtection="1">
      <alignment vertical="center"/>
      <protection/>
    </xf>
    <xf numFmtId="1" fontId="19" fillId="0" borderId="0" xfId="0" applyNumberFormat="1" applyFont="1" applyFill="1" applyBorder="1" applyAlignment="1" applyProtection="1" quotePrefix="1">
      <alignment horizontal="right" vertical="center"/>
      <protection/>
    </xf>
    <xf numFmtId="1" fontId="31" fillId="0" borderId="0" xfId="0" applyNumberFormat="1" applyFont="1" applyFill="1" applyBorder="1" applyAlignment="1" applyProtection="1" quotePrefix="1">
      <alignment horizontal="center" vertical="center"/>
      <protection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69" fontId="9" fillId="0" borderId="14" xfId="60" applyNumberFormat="1" applyFont="1" applyFill="1" applyBorder="1" applyAlignment="1" applyProtection="1">
      <alignment horizontal="center"/>
      <protection/>
    </xf>
    <xf numFmtId="15" fontId="9" fillId="0" borderId="14" xfId="60" applyNumberFormat="1" applyFont="1" applyFill="1" applyBorder="1" applyAlignment="1" applyProtection="1">
      <alignment horizontal="center"/>
      <protection/>
    </xf>
    <xf numFmtId="169" fontId="9" fillId="0" borderId="13" xfId="60" applyNumberFormat="1" applyFont="1" applyFill="1" applyBorder="1" applyAlignment="1" applyProtection="1">
      <alignment horizontal="center"/>
      <protection/>
    </xf>
    <xf numFmtId="15" fontId="9" fillId="0" borderId="13" xfId="60" applyNumberFormat="1" applyFont="1" applyFill="1" applyBorder="1" applyAlignment="1" applyProtection="1">
      <alignment horizontal="center"/>
      <protection/>
    </xf>
    <xf numFmtId="169" fontId="9" fillId="0" borderId="37" xfId="60" applyNumberFormat="1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 quotePrefix="1">
      <alignment horizontal="right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right" vertical="center"/>
      <protection/>
    </xf>
    <xf numFmtId="0" fontId="9" fillId="20" borderId="20" xfId="0" applyFont="1" applyFill="1" applyBorder="1" applyAlignment="1" applyProtection="1">
      <alignment horizontal="center" vertical="center"/>
      <protection/>
    </xf>
    <xf numFmtId="164" fontId="9" fillId="0" borderId="11" xfId="0" applyNumberFormat="1" applyFont="1" applyFill="1" applyBorder="1" applyAlignment="1" applyProtection="1" quotePrefix="1">
      <alignment horizontal="center" vertical="center"/>
      <protection/>
    </xf>
    <xf numFmtId="164" fontId="9" fillId="20" borderId="31" xfId="0" applyNumberFormat="1" applyFont="1" applyFill="1" applyBorder="1" applyAlignment="1" applyProtection="1">
      <alignment horizontal="left" vertical="center"/>
      <protection/>
    </xf>
    <xf numFmtId="164" fontId="9" fillId="20" borderId="31" xfId="0" applyNumberFormat="1" applyFont="1" applyFill="1" applyBorder="1" applyAlignment="1">
      <alignment horizontal="left" vertical="center" wrapText="1"/>
    </xf>
    <xf numFmtId="16" fontId="9" fillId="24" borderId="20" xfId="0" applyNumberFormat="1" applyFont="1" applyFill="1" applyBorder="1" applyAlignment="1">
      <alignment horizontal="center" vertical="center" wrapText="1"/>
    </xf>
    <xf numFmtId="1" fontId="9" fillId="24" borderId="20" xfId="0" applyNumberFormat="1" applyFont="1" applyFill="1" applyBorder="1" applyAlignment="1">
      <alignment horizontal="center" vertical="center"/>
    </xf>
    <xf numFmtId="1" fontId="9" fillId="24" borderId="20" xfId="0" applyNumberFormat="1" applyFont="1" applyFill="1" applyBorder="1" applyAlignment="1">
      <alignment horizontal="center" vertical="center" wrapText="1"/>
    </xf>
    <xf numFmtId="164" fontId="9" fillId="24" borderId="2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0" borderId="15" xfId="0" applyFont="1" applyFill="1" applyBorder="1" applyAlignment="1">
      <alignment vertical="center" wrapText="1"/>
    </xf>
    <xf numFmtId="16" fontId="9" fillId="24" borderId="21" xfId="0" applyNumberFormat="1" applyFont="1" applyFill="1" applyBorder="1" applyAlignment="1">
      <alignment horizontal="center" vertical="center" wrapText="1"/>
    </xf>
    <xf numFmtId="1" fontId="9" fillId="24" borderId="15" xfId="0" applyNumberFormat="1" applyFont="1" applyFill="1" applyBorder="1" applyAlignment="1">
      <alignment horizontal="center" vertical="center" wrapText="1"/>
    </xf>
    <xf numFmtId="1" fontId="9" fillId="24" borderId="29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0" borderId="11" xfId="0" applyFont="1" applyFill="1" applyBorder="1" applyAlignment="1">
      <alignment vertical="center"/>
    </xf>
    <xf numFmtId="16" fontId="9" fillId="24" borderId="23" xfId="0" applyNumberFormat="1" applyFont="1" applyFill="1" applyBorder="1" applyAlignment="1">
      <alignment horizontal="center" vertical="center"/>
    </xf>
    <xf numFmtId="1" fontId="9" fillId="24" borderId="11" xfId="0" applyNumberFormat="1" applyFont="1" applyFill="1" applyBorder="1" applyAlignment="1">
      <alignment horizontal="center" vertical="center"/>
    </xf>
    <xf numFmtId="1" fontId="9" fillId="24" borderId="11" xfId="0" applyNumberFormat="1" applyFont="1" applyFill="1" applyBorder="1" applyAlignment="1">
      <alignment horizontal="fill" vertical="center"/>
    </xf>
    <xf numFmtId="1" fontId="9" fillId="24" borderId="24" xfId="0" applyNumberFormat="1" applyFont="1" applyFill="1" applyBorder="1" applyAlignment="1">
      <alignment horizontal="fill" vertical="center"/>
    </xf>
    <xf numFmtId="1" fontId="9" fillId="24" borderId="15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5" fillId="23" borderId="15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23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23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35" fillId="0" borderId="13" xfId="60" applyFont="1" applyFill="1" applyBorder="1" applyAlignment="1" applyProtection="1">
      <alignment horizontal="center" vertical="center"/>
      <protection/>
    </xf>
    <xf numFmtId="1" fontId="9" fillId="0" borderId="19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164" fontId="9" fillId="23" borderId="12" xfId="0" applyNumberFormat="1" applyFont="1" applyFill="1" applyBorder="1" applyAlignment="1">
      <alignment horizontal="center" vertical="center"/>
    </xf>
    <xf numFmtId="169" fontId="9" fillId="23" borderId="12" xfId="60" applyNumberFormat="1" applyFont="1" applyFill="1" applyBorder="1" applyAlignment="1" applyProtection="1">
      <alignment horizontal="center"/>
      <protection/>
    </xf>
    <xf numFmtId="15" fontId="9" fillId="23" borderId="12" xfId="60" applyNumberFormat="1" applyFont="1" applyFill="1" applyBorder="1" applyAlignment="1" applyProtection="1">
      <alignment horizontal="center"/>
      <protection/>
    </xf>
    <xf numFmtId="169" fontId="9" fillId="23" borderId="39" xfId="6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right" vertical="center"/>
      <protection/>
    </xf>
    <xf numFmtId="169" fontId="9" fillId="23" borderId="10" xfId="60" applyNumberFormat="1" applyFont="1" applyFill="1" applyBorder="1" applyAlignment="1" applyProtection="1">
      <alignment horizontal="center" vertical="center"/>
      <protection/>
    </xf>
    <xf numFmtId="15" fontId="9" fillId="23" borderId="10" xfId="60" applyNumberFormat="1" applyFont="1" applyFill="1" applyBorder="1" applyAlignment="1" applyProtection="1">
      <alignment horizontal="center" vertical="center"/>
      <protection/>
    </xf>
    <xf numFmtId="169" fontId="9" fillId="23" borderId="17" xfId="60" applyNumberFormat="1" applyFont="1" applyFill="1" applyBorder="1" applyAlignment="1" applyProtection="1">
      <alignment horizontal="center" wrapText="1"/>
      <protection/>
    </xf>
    <xf numFmtId="1" fontId="37" fillId="0" borderId="0" xfId="0" applyNumberFormat="1" applyFont="1" applyFill="1" applyBorder="1" applyAlignment="1" applyProtection="1" quotePrefix="1">
      <alignment horizontal="right" vertical="center"/>
      <protection/>
    </xf>
    <xf numFmtId="1" fontId="35" fillId="0" borderId="0" xfId="0" applyNumberFormat="1" applyFont="1" applyFill="1" applyBorder="1" applyAlignment="1" applyProtection="1" quotePrefix="1">
      <alignment horizontal="center" vertical="center"/>
      <protection/>
    </xf>
    <xf numFmtId="1" fontId="35" fillId="0" borderId="0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Border="1" applyAlignment="1" applyProtection="1">
      <alignment vertical="center"/>
      <protection/>
    </xf>
    <xf numFmtId="165" fontId="9" fillId="0" borderId="13" xfId="0" applyNumberFormat="1" applyFont="1" applyFill="1" applyBorder="1" applyAlignment="1">
      <alignment horizontal="center" vertical="center"/>
    </xf>
    <xf numFmtId="167" fontId="35" fillId="0" borderId="14" xfId="60" applyNumberFormat="1" applyFont="1" applyFill="1" applyBorder="1" applyAlignment="1" applyProtection="1">
      <alignment horizontal="center" vertical="center"/>
      <protection/>
    </xf>
    <xf numFmtId="169" fontId="9" fillId="23" borderId="17" xfId="60" applyNumberFormat="1" applyFont="1" applyFill="1" applyBorder="1" applyAlignment="1" applyProtection="1">
      <alignment horizontal="center"/>
      <protection/>
    </xf>
    <xf numFmtId="1" fontId="9" fillId="0" borderId="15" xfId="0" applyNumberFormat="1" applyFont="1" applyFill="1" applyBorder="1" applyAlignment="1" applyProtection="1">
      <alignment vertical="center"/>
      <protection/>
    </xf>
    <xf numFmtId="164" fontId="9" fillId="0" borderId="21" xfId="0" applyNumberFormat="1" applyFont="1" applyBorder="1" applyAlignment="1" applyProtection="1">
      <alignment horizontal="center" vertical="center"/>
      <protection/>
    </xf>
    <xf numFmtId="164" fontId="9" fillId="4" borderId="31" xfId="0" applyNumberFormat="1" applyFont="1" applyFill="1" applyBorder="1" applyAlignment="1" applyProtection="1">
      <alignment horizontal="left" vertical="center"/>
      <protection/>
    </xf>
    <xf numFmtId="164" fontId="9" fillId="4" borderId="31" xfId="0" applyNumberFormat="1" applyFont="1" applyFill="1" applyBorder="1" applyAlignment="1">
      <alignment horizontal="left" vertical="center" wrapText="1"/>
    </xf>
    <xf numFmtId="167" fontId="28" fillId="20" borderId="18" xfId="60" applyNumberFormat="1" applyFont="1" applyFill="1" applyBorder="1" applyAlignment="1" applyProtection="1">
      <alignment horizontal="center" vertical="center"/>
      <protection/>
    </xf>
    <xf numFmtId="167" fontId="28" fillId="20" borderId="26" xfId="60" applyNumberFormat="1" applyFont="1" applyFill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vertical="center"/>
      <protection/>
    </xf>
    <xf numFmtId="0" fontId="6" fillId="0" borderId="0" xfId="60" applyFont="1" applyAlignment="1">
      <alignment vertical="center"/>
      <protection/>
    </xf>
    <xf numFmtId="164" fontId="14" fillId="20" borderId="0" xfId="58" applyNumberFormat="1" applyFont="1" applyFill="1" applyBorder="1" applyAlignment="1">
      <alignment horizontal="center" vertical="center"/>
      <protection/>
    </xf>
    <xf numFmtId="179" fontId="5" fillId="20" borderId="18" xfId="60" applyNumberFormat="1" applyFont="1" applyFill="1" applyBorder="1" applyAlignment="1" applyProtection="1">
      <alignment horizontal="center" vertical="center"/>
      <protection/>
    </xf>
    <xf numFmtId="179" fontId="5" fillId="20" borderId="26" xfId="60" applyNumberFormat="1" applyFont="1" applyFill="1" applyBorder="1" applyAlignment="1" applyProtection="1">
      <alignment horizontal="center" vertical="center"/>
      <protection/>
    </xf>
    <xf numFmtId="15" fontId="9" fillId="0" borderId="11" xfId="60" applyNumberFormat="1" applyFont="1" applyFill="1" applyBorder="1" applyAlignment="1" applyProtection="1">
      <alignment horizontal="center" vertical="center"/>
      <protection/>
    </xf>
    <xf numFmtId="164" fontId="9" fillId="0" borderId="10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9" fontId="9" fillId="23" borderId="19" xfId="60" applyNumberFormat="1" applyFont="1" applyFill="1" applyBorder="1" applyAlignment="1" applyProtection="1">
      <alignment horizontal="center"/>
      <protection/>
    </xf>
    <xf numFmtId="15" fontId="9" fillId="23" borderId="19" xfId="60" applyNumberFormat="1" applyFont="1" applyFill="1" applyBorder="1" applyAlignment="1" applyProtection="1">
      <alignment horizontal="center"/>
      <protection/>
    </xf>
    <xf numFmtId="164" fontId="9" fillId="23" borderId="19" xfId="0" applyNumberFormat="1" applyFont="1" applyFill="1" applyBorder="1" applyAlignment="1">
      <alignment horizontal="center" vertical="center"/>
    </xf>
    <xf numFmtId="0" fontId="9" fillId="23" borderId="31" xfId="0" applyFont="1" applyFill="1" applyBorder="1" applyAlignment="1">
      <alignment horizontal="center" vertical="center"/>
    </xf>
    <xf numFmtId="0" fontId="9" fillId="23" borderId="34" xfId="0" applyFont="1" applyFill="1" applyBorder="1" applyAlignment="1">
      <alignment horizontal="center" vertical="center"/>
    </xf>
    <xf numFmtId="169" fontId="9" fillId="23" borderId="14" xfId="60" applyNumberFormat="1" applyFont="1" applyFill="1" applyBorder="1" applyAlignment="1" applyProtection="1">
      <alignment horizontal="center"/>
      <protection/>
    </xf>
    <xf numFmtId="15" fontId="9" fillId="23" borderId="14" xfId="60" applyNumberFormat="1" applyFont="1" applyFill="1" applyBorder="1" applyAlignment="1" applyProtection="1">
      <alignment horizontal="center"/>
      <protection/>
    </xf>
    <xf numFmtId="169" fontId="9" fillId="23" borderId="38" xfId="60" applyNumberFormat="1" applyFont="1" applyFill="1" applyBorder="1" applyAlignment="1" applyProtection="1">
      <alignment horizontal="center"/>
      <protection/>
    </xf>
    <xf numFmtId="165" fontId="40" fillId="0" borderId="21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>
      <alignment horizontal="center" vertical="center"/>
    </xf>
    <xf numFmtId="165" fontId="40" fillId="0" borderId="15" xfId="0" applyNumberFormat="1" applyFont="1" applyFill="1" applyBorder="1" applyAlignment="1" applyProtection="1">
      <alignment horizontal="center" vertical="center"/>
      <protection/>
    </xf>
    <xf numFmtId="179" fontId="6" fillId="0" borderId="0" xfId="60" applyNumberFormat="1" applyFont="1" applyAlignment="1" applyProtection="1">
      <alignment vertical="center"/>
      <protection/>
    </xf>
    <xf numFmtId="0" fontId="9" fillId="23" borderId="13" xfId="0" applyFont="1" applyFill="1" applyBorder="1" applyAlignment="1">
      <alignment horizontal="center" vertical="center"/>
    </xf>
    <xf numFmtId="169" fontId="9" fillId="23" borderId="13" xfId="60" applyNumberFormat="1" applyFont="1" applyFill="1" applyBorder="1" applyAlignment="1" applyProtection="1">
      <alignment horizontal="center"/>
      <protection/>
    </xf>
    <xf numFmtId="15" fontId="9" fillId="23" borderId="13" xfId="60" applyNumberFormat="1" applyFont="1" applyFill="1" applyBorder="1" applyAlignment="1" applyProtection="1">
      <alignment horizontal="center"/>
      <protection/>
    </xf>
    <xf numFmtId="169" fontId="9" fillId="23" borderId="37" xfId="60" applyNumberFormat="1" applyFont="1" applyFill="1" applyBorder="1" applyAlignment="1" applyProtection="1">
      <alignment horizontal="center"/>
      <protection/>
    </xf>
    <xf numFmtId="0" fontId="9" fillId="20" borderId="30" xfId="0" applyFont="1" applyFill="1" applyBorder="1" applyAlignment="1" applyProtection="1">
      <alignment horizontal="center" vertical="center"/>
      <protection/>
    </xf>
    <xf numFmtId="1" fontId="9" fillId="20" borderId="19" xfId="0" applyNumberFormat="1" applyFont="1" applyFill="1" applyBorder="1" applyAlignment="1" applyProtection="1">
      <alignment horizontal="center" vertical="center"/>
      <protection locked="0"/>
    </xf>
    <xf numFmtId="164" fontId="9" fillId="20" borderId="19" xfId="0" applyNumberFormat="1" applyFont="1" applyFill="1" applyBorder="1" applyAlignment="1" applyProtection="1">
      <alignment horizontal="center" vertical="center"/>
      <protection locked="0"/>
    </xf>
    <xf numFmtId="2" fontId="9" fillId="20" borderId="19" xfId="0" applyNumberFormat="1" applyFont="1" applyFill="1" applyBorder="1" applyAlignment="1" applyProtection="1">
      <alignment horizontal="center" vertical="center"/>
      <protection locked="0"/>
    </xf>
    <xf numFmtId="165" fontId="9" fillId="20" borderId="19" xfId="0" applyNumberFormat="1" applyFont="1" applyFill="1" applyBorder="1" applyAlignment="1" applyProtection="1">
      <alignment horizontal="center" vertical="center"/>
      <protection locked="0"/>
    </xf>
    <xf numFmtId="165" fontId="5" fillId="20" borderId="19" xfId="0" applyNumberFormat="1" applyFont="1" applyFill="1" applyBorder="1" applyAlignment="1">
      <alignment horizontal="center" vertical="center"/>
    </xf>
    <xf numFmtId="164" fontId="5" fillId="20" borderId="27" xfId="0" applyNumberFormat="1" applyFont="1" applyFill="1" applyBorder="1" applyAlignment="1" applyProtection="1">
      <alignment horizontal="center" vertical="center"/>
      <protection/>
    </xf>
    <xf numFmtId="0" fontId="9" fillId="0" borderId="20" xfId="60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5" fillId="0" borderId="0" xfId="0" applyFont="1" applyFill="1" applyAlignment="1">
      <alignment horizontal="right"/>
    </xf>
    <xf numFmtId="0" fontId="8" fillId="0" borderId="0" xfId="58" applyFont="1">
      <alignment/>
      <protection/>
    </xf>
    <xf numFmtId="0" fontId="1" fillId="0" borderId="0" xfId="60" applyFont="1">
      <alignment/>
      <protection/>
    </xf>
    <xf numFmtId="1" fontId="9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 quotePrefix="1">
      <alignment horizontal="right" vertical="center"/>
      <protection/>
    </xf>
    <xf numFmtId="167" fontId="9" fillId="20" borderId="19" xfId="60" applyNumberFormat="1" applyFont="1" applyFill="1" applyBorder="1" applyAlignment="1" applyProtection="1">
      <alignment horizontal="center"/>
      <protection/>
    </xf>
    <xf numFmtId="164" fontId="9" fillId="20" borderId="31" xfId="60" applyNumberFormat="1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 quotePrefix="1">
      <alignment horizontal="center" vertical="center"/>
      <protection/>
    </xf>
    <xf numFmtId="1" fontId="58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9" fillId="21" borderId="19" xfId="0" applyFont="1" applyFill="1" applyBorder="1" applyAlignment="1" applyProtection="1">
      <alignment horizontal="center" vertical="center"/>
      <protection/>
    </xf>
    <xf numFmtId="0" fontId="35" fillId="0" borderId="19" xfId="0" applyFont="1" applyFill="1" applyBorder="1" applyAlignment="1" applyProtection="1">
      <alignment horizontal="center" vertical="center"/>
      <protection/>
    </xf>
    <xf numFmtId="180" fontId="8" fillId="20" borderId="0" xfId="42" applyNumberFormat="1" applyFont="1" applyFill="1" applyBorder="1" applyAlignment="1">
      <alignment horizontal="center" vertical="center"/>
    </xf>
    <xf numFmtId="180" fontId="24" fillId="0" borderId="0" xfId="42" applyNumberFormat="1" applyFont="1" applyAlignment="1">
      <alignment horizontal="center"/>
    </xf>
    <xf numFmtId="180" fontId="4" fillId="0" borderId="0" xfId="42" applyNumberFormat="1" applyFont="1" applyAlignment="1">
      <alignment/>
    </xf>
    <xf numFmtId="180" fontId="9" fillId="20" borderId="11" xfId="42" applyNumberFormat="1" applyFont="1" applyFill="1" applyBorder="1" applyAlignment="1">
      <alignment horizontal="center" vertical="center"/>
    </xf>
    <xf numFmtId="180" fontId="9" fillId="20" borderId="15" xfId="42" applyNumberFormat="1" applyFont="1" applyFill="1" applyBorder="1" applyAlignment="1">
      <alignment horizontal="center" vertical="center"/>
    </xf>
    <xf numFmtId="180" fontId="9" fillId="20" borderId="20" xfId="42" applyNumberFormat="1" applyFont="1" applyFill="1" applyBorder="1" applyAlignment="1">
      <alignment horizontal="center" vertical="center"/>
    </xf>
    <xf numFmtId="180" fontId="9" fillId="0" borderId="10" xfId="42" applyNumberFormat="1" applyFont="1" applyFill="1" applyBorder="1" applyAlignment="1" applyProtection="1">
      <alignment horizontal="center" vertical="center"/>
      <protection/>
    </xf>
    <xf numFmtId="180" fontId="9" fillId="0" borderId="15" xfId="42" applyNumberFormat="1" applyFont="1" applyFill="1" applyBorder="1" applyAlignment="1" applyProtection="1">
      <alignment horizontal="center" vertical="center"/>
      <protection/>
    </xf>
    <xf numFmtId="180" fontId="9" fillId="0" borderId="16" xfId="42" applyNumberFormat="1" applyFont="1" applyFill="1" applyBorder="1" applyAlignment="1" applyProtection="1">
      <alignment horizontal="center" vertical="center"/>
      <protection/>
    </xf>
    <xf numFmtId="180" fontId="9" fillId="0" borderId="13" xfId="42" applyNumberFormat="1" applyFont="1" applyFill="1" applyBorder="1" applyAlignment="1" applyProtection="1">
      <alignment horizontal="center" vertical="center"/>
      <protection/>
    </xf>
    <xf numFmtId="180" fontId="9" fillId="0" borderId="14" xfId="42" applyNumberFormat="1" applyFont="1" applyFill="1" applyBorder="1" applyAlignment="1" applyProtection="1">
      <alignment horizontal="center" vertical="center"/>
      <protection/>
    </xf>
    <xf numFmtId="180" fontId="6" fillId="0" borderId="0" xfId="42" applyNumberFormat="1" applyFont="1" applyFill="1" applyAlignment="1">
      <alignment/>
    </xf>
    <xf numFmtId="180" fontId="9" fillId="26" borderId="18" xfId="42" applyNumberFormat="1" applyFont="1" applyFill="1" applyBorder="1" applyAlignment="1">
      <alignment horizontal="fill" vertical="center"/>
    </xf>
    <xf numFmtId="180" fontId="9" fillId="0" borderId="12" xfId="42" applyNumberFormat="1" applyFont="1" applyFill="1" applyBorder="1" applyAlignment="1" applyProtection="1">
      <alignment horizontal="center" vertical="center"/>
      <protection/>
    </xf>
    <xf numFmtId="3" fontId="23" fillId="0" borderId="0" xfId="42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3" fontId="9" fillId="20" borderId="20" xfId="42" applyNumberFormat="1" applyFont="1" applyFill="1" applyBorder="1" applyAlignment="1">
      <alignment horizontal="center" vertical="center"/>
    </xf>
    <xf numFmtId="3" fontId="9" fillId="26" borderId="18" xfId="42" applyNumberFormat="1" applyFont="1" applyFill="1" applyBorder="1" applyAlignment="1">
      <alignment horizontal="fill" vertical="center"/>
    </xf>
    <xf numFmtId="3" fontId="11" fillId="0" borderId="11" xfId="42" applyNumberFormat="1" applyFont="1" applyFill="1" applyBorder="1" applyAlignment="1" applyProtection="1">
      <alignment horizontal="center" vertical="center"/>
      <protection/>
    </xf>
    <xf numFmtId="3" fontId="11" fillId="0" borderId="10" xfId="42" applyNumberFormat="1" applyFont="1" applyFill="1" applyBorder="1" applyAlignment="1" applyProtection="1">
      <alignment horizontal="center" vertical="center"/>
      <protection/>
    </xf>
    <xf numFmtId="3" fontId="11" fillId="0" borderId="15" xfId="42" applyNumberFormat="1" applyFont="1" applyFill="1" applyBorder="1" applyAlignment="1" applyProtection="1">
      <alignment horizontal="center" vertical="center"/>
      <protection/>
    </xf>
    <xf numFmtId="3" fontId="9" fillId="20" borderId="19" xfId="42" applyNumberFormat="1" applyFont="1" applyFill="1" applyBorder="1" applyAlignment="1" applyProtection="1">
      <alignment horizontal="center" vertical="center"/>
      <protection/>
    </xf>
    <xf numFmtId="3" fontId="8" fillId="0" borderId="0" xfId="42" applyNumberFormat="1" applyFont="1" applyFill="1" applyBorder="1" applyAlignment="1" applyProtection="1" quotePrefix="1">
      <alignment horizontal="right" vertical="center"/>
      <protection/>
    </xf>
    <xf numFmtId="3" fontId="11" fillId="0" borderId="12" xfId="42" applyNumberFormat="1" applyFont="1" applyFill="1" applyBorder="1" applyAlignment="1" applyProtection="1">
      <alignment horizontal="center" vertical="center"/>
      <protection/>
    </xf>
    <xf numFmtId="3" fontId="11" fillId="0" borderId="14" xfId="42" applyNumberFormat="1" applyFont="1" applyFill="1" applyBorder="1" applyAlignment="1" applyProtection="1">
      <alignment horizontal="center" vertical="center"/>
      <protection/>
    </xf>
    <xf numFmtId="3" fontId="11" fillId="0" borderId="13" xfId="42" applyNumberFormat="1" applyFont="1" applyFill="1" applyBorder="1" applyAlignment="1" applyProtection="1">
      <alignment horizontal="center" vertical="center"/>
      <protection/>
    </xf>
    <xf numFmtId="3" fontId="11" fillId="0" borderId="16" xfId="42" applyNumberFormat="1" applyFont="1" applyFill="1" applyBorder="1" applyAlignment="1" applyProtection="1">
      <alignment horizontal="center" vertical="center"/>
      <protection/>
    </xf>
    <xf numFmtId="3" fontId="15" fillId="0" borderId="0" xfId="42" applyNumberFormat="1" applyFont="1" applyFill="1" applyBorder="1" applyAlignment="1" applyProtection="1" quotePrefix="1">
      <alignment horizontal="right" vertical="center"/>
      <protection/>
    </xf>
    <xf numFmtId="3" fontId="19" fillId="0" borderId="18" xfId="42" applyNumberFormat="1" applyFont="1" applyFill="1" applyBorder="1" applyAlignment="1" applyProtection="1" quotePrefix="1">
      <alignment horizontal="right" vertical="center"/>
      <protection/>
    </xf>
    <xf numFmtId="3" fontId="37" fillId="0" borderId="0" xfId="42" applyNumberFormat="1" applyFont="1" applyFill="1" applyBorder="1" applyAlignment="1" applyProtection="1" quotePrefix="1">
      <alignment horizontal="right" vertical="center"/>
      <protection/>
    </xf>
    <xf numFmtId="3" fontId="9" fillId="0" borderId="13" xfId="42" applyNumberFormat="1" applyFont="1" applyFill="1" applyBorder="1" applyAlignment="1" applyProtection="1">
      <alignment horizontal="center" vertical="center"/>
      <protection/>
    </xf>
    <xf numFmtId="3" fontId="19" fillId="0" borderId="0" xfId="42" applyNumberFormat="1" applyFont="1" applyFill="1" applyBorder="1" applyAlignment="1" applyProtection="1" quotePrefix="1">
      <alignment horizontal="right" vertical="center"/>
      <protection/>
    </xf>
    <xf numFmtId="3" fontId="9" fillId="0" borderId="11" xfId="42" applyNumberFormat="1" applyFont="1" applyFill="1" applyBorder="1" applyAlignment="1" applyProtection="1">
      <alignment horizontal="center" vertical="center"/>
      <protection/>
    </xf>
    <xf numFmtId="3" fontId="9" fillId="0" borderId="10" xfId="42" applyNumberFormat="1" applyFont="1" applyFill="1" applyBorder="1" applyAlignment="1" applyProtection="1">
      <alignment horizontal="center" vertical="center"/>
      <protection/>
    </xf>
    <xf numFmtId="3" fontId="9" fillId="0" borderId="15" xfId="42" applyNumberFormat="1" applyFont="1" applyFill="1" applyBorder="1" applyAlignment="1" applyProtection="1">
      <alignment horizontal="center" vertical="center"/>
      <protection/>
    </xf>
    <xf numFmtId="3" fontId="9" fillId="0" borderId="12" xfId="42" applyNumberFormat="1" applyFont="1" applyFill="1" applyBorder="1" applyAlignment="1" applyProtection="1">
      <alignment horizontal="center" vertical="center"/>
      <protection/>
    </xf>
    <xf numFmtId="3" fontId="31" fillId="0" borderId="0" xfId="42" applyNumberFormat="1" applyFont="1" applyFill="1" applyBorder="1" applyAlignment="1" applyProtection="1">
      <alignment horizontal="center" vertical="center"/>
      <protection/>
    </xf>
    <xf numFmtId="3" fontId="6" fillId="0" borderId="0" xfId="42" applyNumberFormat="1" applyFont="1" applyFill="1" applyAlignment="1" applyProtection="1">
      <alignment horizontal="center"/>
      <protection/>
    </xf>
    <xf numFmtId="3" fontId="5" fillId="20" borderId="19" xfId="42" applyNumberFormat="1" applyFont="1" applyFill="1" applyBorder="1" applyAlignment="1" applyProtection="1">
      <alignment horizontal="center"/>
      <protection/>
    </xf>
    <xf numFmtId="3" fontId="5" fillId="20" borderId="27" xfId="42" applyNumberFormat="1" applyFont="1" applyFill="1" applyBorder="1" applyAlignment="1" applyProtection="1">
      <alignment horizontal="center" vertical="center"/>
      <protection/>
    </xf>
    <xf numFmtId="3" fontId="6" fillId="0" borderId="0" xfId="42" applyNumberFormat="1" applyFont="1" applyFill="1" applyAlignment="1">
      <alignment horizontal="center"/>
    </xf>
    <xf numFmtId="3" fontId="31" fillId="0" borderId="10" xfId="42" applyNumberFormat="1" applyFont="1" applyFill="1" applyBorder="1" applyAlignment="1" applyProtection="1">
      <alignment horizontal="center" vertical="center"/>
      <protection/>
    </xf>
    <xf numFmtId="180" fontId="9" fillId="0" borderId="11" xfId="42" applyNumberFormat="1" applyFont="1" applyFill="1" applyBorder="1" applyAlignment="1">
      <alignment horizontal="center" vertical="center"/>
    </xf>
    <xf numFmtId="180" fontId="9" fillId="0" borderId="10" xfId="42" applyNumberFormat="1" applyFont="1" applyFill="1" applyBorder="1" applyAlignment="1">
      <alignment horizontal="center" vertical="center"/>
    </xf>
    <xf numFmtId="180" fontId="9" fillId="0" borderId="14" xfId="42" applyNumberFormat="1" applyFont="1" applyFill="1" applyBorder="1" applyAlignment="1">
      <alignment horizontal="center" vertical="center"/>
    </xf>
    <xf numFmtId="180" fontId="9" fillId="0" borderId="15" xfId="42" applyNumberFormat="1" applyFont="1" applyFill="1" applyBorder="1" applyAlignment="1">
      <alignment horizontal="center" vertical="center"/>
    </xf>
    <xf numFmtId="180" fontId="9" fillId="0" borderId="12" xfId="42" applyNumberFormat="1" applyFont="1" applyFill="1" applyBorder="1" applyAlignment="1">
      <alignment horizontal="center" vertical="center"/>
    </xf>
    <xf numFmtId="180" fontId="9" fillId="0" borderId="13" xfId="42" applyNumberFormat="1" applyFont="1" applyFill="1" applyBorder="1" applyAlignment="1">
      <alignment horizontal="center" vertical="center"/>
    </xf>
    <xf numFmtId="180" fontId="9" fillId="0" borderId="16" xfId="42" applyNumberFormat="1" applyFont="1" applyFill="1" applyBorder="1" applyAlignment="1">
      <alignment horizontal="center" vertical="center"/>
    </xf>
    <xf numFmtId="180" fontId="9" fillId="0" borderId="20" xfId="42" applyNumberFormat="1" applyFont="1" applyFill="1" applyBorder="1" applyAlignment="1">
      <alignment horizontal="center" vertical="center"/>
    </xf>
    <xf numFmtId="180" fontId="9" fillId="0" borderId="19" xfId="42" applyNumberFormat="1" applyFont="1" applyFill="1" applyBorder="1" applyAlignment="1">
      <alignment horizontal="center" vertical="center"/>
    </xf>
    <xf numFmtId="180" fontId="9" fillId="24" borderId="19" xfId="42" applyNumberFormat="1" applyFont="1" applyFill="1" applyBorder="1" applyAlignment="1">
      <alignment horizontal="center" wrapText="1"/>
    </xf>
    <xf numFmtId="180" fontId="9" fillId="0" borderId="0" xfId="42" applyNumberFormat="1" applyFont="1" applyBorder="1" applyAlignment="1" applyProtection="1">
      <alignment horizontal="center"/>
      <protection/>
    </xf>
    <xf numFmtId="180" fontId="9" fillId="23" borderId="19" xfId="42" applyNumberFormat="1" applyFont="1" applyFill="1" applyBorder="1" applyAlignment="1" applyProtection="1">
      <alignment horizontal="center" vertical="center"/>
      <protection/>
    </xf>
    <xf numFmtId="180" fontId="9" fillId="23" borderId="16" xfId="42" applyNumberFormat="1" applyFont="1" applyFill="1" applyBorder="1" applyAlignment="1" applyProtection="1">
      <alignment horizontal="center" vertical="center"/>
      <protection/>
    </xf>
    <xf numFmtId="180" fontId="9" fillId="23" borderId="12" xfId="42" applyNumberFormat="1" applyFont="1" applyFill="1" applyBorder="1" applyAlignment="1" applyProtection="1">
      <alignment horizontal="center" vertical="center"/>
      <protection/>
    </xf>
    <xf numFmtId="180" fontId="9" fillId="23" borderId="10" xfId="42" applyNumberFormat="1" applyFont="1" applyFill="1" applyBorder="1" applyAlignment="1" applyProtection="1">
      <alignment horizontal="center" vertical="center"/>
      <protection/>
    </xf>
    <xf numFmtId="180" fontId="9" fillId="23" borderId="14" xfId="42" applyNumberFormat="1" applyFont="1" applyFill="1" applyBorder="1" applyAlignment="1" applyProtection="1">
      <alignment horizontal="center" vertical="center"/>
      <protection/>
    </xf>
    <xf numFmtId="180" fontId="31" fillId="0" borderId="18" xfId="42" applyNumberFormat="1" applyFont="1" applyFill="1" applyBorder="1" applyAlignment="1" applyProtection="1">
      <alignment horizontal="center" vertical="center"/>
      <protection/>
    </xf>
    <xf numFmtId="180" fontId="10" fillId="0" borderId="0" xfId="42" applyNumberFormat="1" applyFont="1" applyAlignment="1" applyProtection="1">
      <alignment horizontal="center"/>
      <protection/>
    </xf>
    <xf numFmtId="180" fontId="9" fillId="0" borderId="29" xfId="42" applyNumberFormat="1" applyFont="1" applyFill="1" applyBorder="1" applyAlignment="1">
      <alignment vertical="center"/>
    </xf>
    <xf numFmtId="180" fontId="12" fillId="0" borderId="0" xfId="42" applyNumberFormat="1" applyFont="1" applyAlignment="1">
      <alignment horizontal="center"/>
    </xf>
    <xf numFmtId="180" fontId="9" fillId="24" borderId="15" xfId="42" applyNumberFormat="1" applyFont="1" applyFill="1" applyBorder="1" applyAlignment="1">
      <alignment horizontal="center" vertical="center" wrapText="1"/>
    </xf>
    <xf numFmtId="180" fontId="9" fillId="24" borderId="20" xfId="42" applyNumberFormat="1" applyFont="1" applyFill="1" applyBorder="1" applyAlignment="1">
      <alignment horizontal="center" vertical="center" wrapText="1"/>
    </xf>
    <xf numFmtId="180" fontId="9" fillId="23" borderId="19" xfId="42" applyNumberFormat="1" applyFont="1" applyFill="1" applyBorder="1" applyAlignment="1">
      <alignment horizontal="center" vertical="center"/>
    </xf>
    <xf numFmtId="180" fontId="9" fillId="23" borderId="12" xfId="42" applyNumberFormat="1" applyFont="1" applyFill="1" applyBorder="1" applyAlignment="1">
      <alignment horizontal="center" vertical="center"/>
    </xf>
    <xf numFmtId="180" fontId="9" fillId="23" borderId="10" xfId="42" applyNumberFormat="1" applyFont="1" applyFill="1" applyBorder="1" applyAlignment="1">
      <alignment horizontal="center" vertical="center"/>
    </xf>
    <xf numFmtId="180" fontId="9" fillId="0" borderId="16" xfId="42" applyNumberFormat="1" applyFont="1" applyBorder="1" applyAlignment="1">
      <alignment horizontal="center" vertical="center"/>
    </xf>
    <xf numFmtId="180" fontId="9" fillId="23" borderId="16" xfId="42" applyNumberFormat="1" applyFont="1" applyFill="1" applyBorder="1" applyAlignment="1">
      <alignment horizontal="center" vertical="center"/>
    </xf>
    <xf numFmtId="180" fontId="9" fillId="23" borderId="13" xfId="42" applyNumberFormat="1" applyFont="1" applyFill="1" applyBorder="1" applyAlignment="1">
      <alignment horizontal="center" vertical="center"/>
    </xf>
    <xf numFmtId="180" fontId="8" fillId="0" borderId="0" xfId="42" applyNumberFormat="1" applyFont="1" applyAlignment="1">
      <alignment horizontal="center"/>
    </xf>
    <xf numFmtId="180" fontId="1" fillId="0" borderId="0" xfId="42" applyNumberFormat="1" applyFont="1" applyAlignment="1">
      <alignment horizontal="center"/>
    </xf>
    <xf numFmtId="3" fontId="24" fillId="0" borderId="0" xfId="42" applyNumberFormat="1" applyFont="1" applyAlignment="1">
      <alignment horizontal="center"/>
    </xf>
    <xf numFmtId="3" fontId="9" fillId="24" borderId="11" xfId="42" applyNumberFormat="1" applyFont="1" applyFill="1" applyBorder="1" applyAlignment="1">
      <alignment horizontal="fill" vertical="center"/>
    </xf>
    <xf numFmtId="3" fontId="9" fillId="24" borderId="15" xfId="42" applyNumberFormat="1" applyFont="1" applyFill="1" applyBorder="1" applyAlignment="1">
      <alignment horizontal="center" vertical="center" wrapText="1"/>
    </xf>
    <xf numFmtId="3" fontId="9" fillId="24" borderId="20" xfId="42" applyNumberFormat="1" applyFont="1" applyFill="1" applyBorder="1" applyAlignment="1">
      <alignment horizontal="center" vertical="center" wrapText="1"/>
    </xf>
    <xf numFmtId="3" fontId="9" fillId="0" borderId="0" xfId="42" applyNumberFormat="1" applyFont="1" applyBorder="1" applyAlignment="1" applyProtection="1">
      <alignment horizontal="center"/>
      <protection/>
    </xf>
    <xf numFmtId="3" fontId="9" fillId="23" borderId="19" xfId="42" applyNumberFormat="1" applyFont="1" applyFill="1" applyBorder="1" applyAlignment="1">
      <alignment horizontal="center" vertical="center"/>
    </xf>
    <xf numFmtId="3" fontId="9" fillId="0" borderId="10" xfId="42" applyNumberFormat="1" applyFont="1" applyFill="1" applyBorder="1" applyAlignment="1">
      <alignment horizontal="center" vertical="center"/>
    </xf>
    <xf numFmtId="3" fontId="9" fillId="0" borderId="14" xfId="42" applyNumberFormat="1" applyFont="1" applyFill="1" applyBorder="1" applyAlignment="1">
      <alignment horizontal="center" vertical="center"/>
    </xf>
    <xf numFmtId="3" fontId="9" fillId="23" borderId="12" xfId="42" applyNumberFormat="1" applyFont="1" applyFill="1" applyBorder="1" applyAlignment="1">
      <alignment horizontal="center" vertical="center"/>
    </xf>
    <xf numFmtId="3" fontId="9" fillId="23" borderId="10" xfId="42" applyNumberFormat="1" applyFont="1" applyFill="1" applyBorder="1" applyAlignment="1">
      <alignment horizontal="center" vertical="center"/>
    </xf>
    <xf numFmtId="3" fontId="9" fillId="0" borderId="16" xfId="42" applyNumberFormat="1" applyFont="1" applyBorder="1" applyAlignment="1">
      <alignment horizontal="center" vertical="center"/>
    </xf>
    <xf numFmtId="3" fontId="9" fillId="0" borderId="13" xfId="42" applyNumberFormat="1" applyFont="1" applyFill="1" applyBorder="1" applyAlignment="1">
      <alignment horizontal="center" vertical="center"/>
    </xf>
    <xf numFmtId="3" fontId="9" fillId="23" borderId="16" xfId="42" applyNumberFormat="1" applyFont="1" applyFill="1" applyBorder="1" applyAlignment="1">
      <alignment horizontal="center" vertical="center"/>
    </xf>
    <xf numFmtId="3" fontId="9" fillId="23" borderId="13" xfId="42" applyNumberFormat="1" applyFont="1" applyFill="1" applyBorder="1" applyAlignment="1">
      <alignment horizontal="center" vertical="center"/>
    </xf>
    <xf numFmtId="3" fontId="8" fillId="0" borderId="0" xfId="42" applyNumberFormat="1" applyFont="1" applyAlignment="1">
      <alignment horizontal="center"/>
    </xf>
    <xf numFmtId="3" fontId="1" fillId="0" borderId="0" xfId="42" applyNumberFormat="1" applyFont="1" applyAlignment="1">
      <alignment horizontal="center"/>
    </xf>
    <xf numFmtId="180" fontId="9" fillId="0" borderId="10" xfId="42" applyNumberFormat="1" applyFont="1" applyBorder="1" applyAlignment="1">
      <alignment horizontal="center" vertical="center"/>
    </xf>
    <xf numFmtId="180" fontId="9" fillId="0" borderId="13" xfId="42" applyNumberFormat="1" applyFont="1" applyBorder="1" applyAlignment="1">
      <alignment horizontal="center" vertical="center"/>
    </xf>
    <xf numFmtId="180" fontId="9" fillId="23" borderId="14" xfId="42" applyNumberFormat="1" applyFont="1" applyFill="1" applyBorder="1" applyAlignment="1">
      <alignment horizontal="center" vertical="center"/>
    </xf>
    <xf numFmtId="180" fontId="9" fillId="0" borderId="0" xfId="42" applyNumberFormat="1" applyFont="1" applyBorder="1" applyAlignment="1">
      <alignment horizontal="center"/>
    </xf>
    <xf numFmtId="180" fontId="9" fillId="0" borderId="0" xfId="42" applyNumberFormat="1" applyFont="1" applyFill="1" applyBorder="1" applyAlignment="1">
      <alignment horizontal="center"/>
    </xf>
    <xf numFmtId="0" fontId="71" fillId="0" borderId="0" xfId="58" applyFont="1">
      <alignment/>
      <protection/>
    </xf>
    <xf numFmtId="2" fontId="72" fillId="0" borderId="0" xfId="59" applyNumberFormat="1" applyFont="1" applyAlignment="1">
      <alignment horizontal="center"/>
      <protection/>
    </xf>
    <xf numFmtId="180" fontId="72" fillId="0" borderId="0" xfId="42" applyNumberFormat="1" applyFont="1" applyAlignment="1">
      <alignment horizontal="center"/>
    </xf>
    <xf numFmtId="0" fontId="73" fillId="0" borderId="0" xfId="60" applyFont="1" applyAlignment="1">
      <alignment horizontal="center"/>
      <protection/>
    </xf>
    <xf numFmtId="0" fontId="73" fillId="0" borderId="0" xfId="60" applyFont="1">
      <alignment/>
      <protection/>
    </xf>
    <xf numFmtId="169" fontId="73" fillId="0" borderId="0" xfId="60" applyNumberFormat="1" applyFont="1" applyAlignment="1">
      <alignment horizontal="center"/>
      <protection/>
    </xf>
    <xf numFmtId="15" fontId="73" fillId="0" borderId="0" xfId="60" applyNumberFormat="1" applyFont="1" applyAlignment="1">
      <alignment horizontal="center"/>
      <protection/>
    </xf>
    <xf numFmtId="0" fontId="73" fillId="0" borderId="0" xfId="60" applyFont="1" applyAlignment="1">
      <alignment horizontal="right"/>
      <protection/>
    </xf>
    <xf numFmtId="180" fontId="73" fillId="0" borderId="0" xfId="42" applyNumberFormat="1" applyFont="1" applyAlignment="1">
      <alignment/>
    </xf>
    <xf numFmtId="2" fontId="73" fillId="0" borderId="0" xfId="60" applyNumberFormat="1" applyFont="1">
      <alignment/>
      <protection/>
    </xf>
    <xf numFmtId="0" fontId="74" fillId="20" borderId="11" xfId="0" applyFont="1" applyFill="1" applyBorder="1" applyAlignment="1">
      <alignment horizontal="center" vertical="center"/>
    </xf>
    <xf numFmtId="164" fontId="74" fillId="20" borderId="11" xfId="0" applyNumberFormat="1" applyFont="1" applyFill="1" applyBorder="1" applyAlignment="1">
      <alignment horizontal="center" vertical="center"/>
    </xf>
    <xf numFmtId="2" fontId="74" fillId="20" borderId="11" xfId="0" applyNumberFormat="1" applyFont="1" applyFill="1" applyBorder="1" applyAlignment="1">
      <alignment horizontal="center" vertical="center"/>
    </xf>
    <xf numFmtId="180" fontId="74" fillId="20" borderId="11" xfId="42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vertical="center"/>
    </xf>
    <xf numFmtId="0" fontId="74" fillId="20" borderId="15" xfId="0" applyFont="1" applyFill="1" applyBorder="1" applyAlignment="1">
      <alignment horizontal="center" vertical="center"/>
    </xf>
    <xf numFmtId="164" fontId="74" fillId="20" borderId="15" xfId="0" applyNumberFormat="1" applyFont="1" applyFill="1" applyBorder="1" applyAlignment="1">
      <alignment horizontal="center" vertical="center"/>
    </xf>
    <xf numFmtId="2" fontId="74" fillId="20" borderId="15" xfId="0" applyNumberFormat="1" applyFont="1" applyFill="1" applyBorder="1" applyAlignment="1">
      <alignment horizontal="center" vertical="center"/>
    </xf>
    <xf numFmtId="180" fontId="74" fillId="20" borderId="15" xfId="42" applyNumberFormat="1" applyFont="1" applyFill="1" applyBorder="1" applyAlignment="1">
      <alignment horizontal="center" vertical="center"/>
    </xf>
    <xf numFmtId="0" fontId="74" fillId="20" borderId="20" xfId="0" applyFont="1" applyFill="1" applyBorder="1" applyAlignment="1">
      <alignment horizontal="center" vertical="center"/>
    </xf>
    <xf numFmtId="164" fontId="74" fillId="20" borderId="20" xfId="0" applyNumberFormat="1" applyFont="1" applyFill="1" applyBorder="1" applyAlignment="1">
      <alignment horizontal="center" vertical="center"/>
    </xf>
    <xf numFmtId="2" fontId="74" fillId="20" borderId="20" xfId="0" applyNumberFormat="1" applyFont="1" applyFill="1" applyBorder="1" applyAlignment="1">
      <alignment horizontal="center" vertical="center"/>
    </xf>
    <xf numFmtId="180" fontId="74" fillId="20" borderId="20" xfId="42" applyNumberFormat="1" applyFont="1" applyFill="1" applyBorder="1" applyAlignment="1">
      <alignment horizontal="center" vertical="center"/>
    </xf>
    <xf numFmtId="16" fontId="75" fillId="26" borderId="18" xfId="0" applyNumberFormat="1" applyFont="1" applyFill="1" applyBorder="1" applyAlignment="1">
      <alignment horizontal="center" vertical="center"/>
    </xf>
    <xf numFmtId="16" fontId="74" fillId="26" borderId="18" xfId="0" applyNumberFormat="1" applyFont="1" applyFill="1" applyBorder="1" applyAlignment="1">
      <alignment horizontal="center" vertical="center"/>
    </xf>
    <xf numFmtId="1" fontId="74" fillId="26" borderId="18" xfId="0" applyNumberFormat="1" applyFont="1" applyFill="1" applyBorder="1" applyAlignment="1">
      <alignment horizontal="center" vertical="center"/>
    </xf>
    <xf numFmtId="1" fontId="74" fillId="26" borderId="18" xfId="0" applyNumberFormat="1" applyFont="1" applyFill="1" applyBorder="1" applyAlignment="1">
      <alignment horizontal="fill" vertical="center"/>
    </xf>
    <xf numFmtId="164" fontId="74" fillId="26" borderId="18" xfId="0" applyNumberFormat="1" applyFont="1" applyFill="1" applyBorder="1" applyAlignment="1">
      <alignment horizontal="fill" vertical="center"/>
    </xf>
    <xf numFmtId="2" fontId="74" fillId="26" borderId="18" xfId="0" applyNumberFormat="1" applyFont="1" applyFill="1" applyBorder="1" applyAlignment="1">
      <alignment horizontal="fill" vertical="center"/>
    </xf>
    <xf numFmtId="180" fontId="74" fillId="26" borderId="18" xfId="42" applyNumberFormat="1" applyFont="1" applyFill="1" applyBorder="1" applyAlignment="1">
      <alignment horizontal="center" vertical="center"/>
    </xf>
    <xf numFmtId="1" fontId="74" fillId="0" borderId="0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center" wrapText="1"/>
    </xf>
    <xf numFmtId="0" fontId="74" fillId="20" borderId="11" xfId="0" applyFont="1" applyFill="1" applyBorder="1" applyAlignment="1" applyProtection="1">
      <alignment horizontal="center" vertical="center"/>
      <protection/>
    </xf>
    <xf numFmtId="0" fontId="74" fillId="0" borderId="11" xfId="0" applyFont="1" applyFill="1" applyBorder="1" applyAlignment="1" applyProtection="1">
      <alignment horizontal="center" vertical="center"/>
      <protection/>
    </xf>
    <xf numFmtId="168" fontId="74" fillId="0" borderId="11" xfId="0" applyNumberFormat="1" applyFont="1" applyFill="1" applyBorder="1" applyAlignment="1" applyProtection="1">
      <alignment horizontal="center" vertical="center"/>
      <protection/>
    </xf>
    <xf numFmtId="164" fontId="74" fillId="0" borderId="11" xfId="0" applyNumberFormat="1" applyFont="1" applyFill="1" applyBorder="1" applyAlignment="1" applyProtection="1">
      <alignment horizontal="center" vertical="center"/>
      <protection/>
    </xf>
    <xf numFmtId="1" fontId="74" fillId="0" borderId="11" xfId="0" applyNumberFormat="1" applyFont="1" applyFill="1" applyBorder="1" applyAlignment="1">
      <alignment horizontal="center" vertical="center"/>
    </xf>
    <xf numFmtId="164" fontId="74" fillId="0" borderId="11" xfId="0" applyNumberFormat="1" applyFont="1" applyFill="1" applyBorder="1" applyAlignment="1">
      <alignment horizontal="center" vertical="center"/>
    </xf>
    <xf numFmtId="2" fontId="74" fillId="0" borderId="11" xfId="0" applyNumberFormat="1" applyFont="1" applyFill="1" applyBorder="1" applyAlignment="1">
      <alignment horizontal="center" vertical="center"/>
    </xf>
    <xf numFmtId="165" fontId="74" fillId="0" borderId="19" xfId="0" applyNumberFormat="1" applyFont="1" applyFill="1" applyBorder="1" applyAlignment="1" applyProtection="1">
      <alignment horizontal="center" vertical="center"/>
      <protection/>
    </xf>
    <xf numFmtId="164" fontId="74" fillId="0" borderId="19" xfId="0" applyNumberFormat="1" applyFont="1" applyFill="1" applyBorder="1" applyAlignment="1" applyProtection="1">
      <alignment horizontal="center" vertical="center"/>
      <protection/>
    </xf>
    <xf numFmtId="180" fontId="74" fillId="0" borderId="11" xfId="42" applyNumberFormat="1" applyFont="1" applyFill="1" applyBorder="1" applyAlignment="1" applyProtection="1">
      <alignment horizontal="center" vertical="center"/>
      <protection/>
    </xf>
    <xf numFmtId="2" fontId="74" fillId="0" borderId="11" xfId="0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Fill="1" applyAlignment="1" applyProtection="1">
      <alignment vertical="center"/>
      <protection/>
    </xf>
    <xf numFmtId="164" fontId="77" fillId="0" borderId="0" xfId="0" applyNumberFormat="1" applyFont="1" applyFill="1" applyAlignment="1" applyProtection="1">
      <alignment vertical="center"/>
      <protection/>
    </xf>
    <xf numFmtId="0" fontId="77" fillId="0" borderId="0" xfId="0" applyFont="1" applyFill="1" applyAlignment="1">
      <alignment vertical="center"/>
    </xf>
    <xf numFmtId="0" fontId="74" fillId="0" borderId="18" xfId="0" applyFont="1" applyFill="1" applyBorder="1" applyAlignment="1" applyProtection="1" quotePrefix="1">
      <alignment horizontal="right" vertical="center"/>
      <protection/>
    </xf>
    <xf numFmtId="0" fontId="74" fillId="0" borderId="18" xfId="0" applyFont="1" applyFill="1" applyBorder="1" applyAlignment="1" applyProtection="1">
      <alignment horizontal="right" vertical="center"/>
      <protection/>
    </xf>
    <xf numFmtId="0" fontId="74" fillId="0" borderId="24" xfId="0" applyFont="1" applyFill="1" applyBorder="1" applyAlignment="1" applyProtection="1">
      <alignment horizontal="right" vertical="center"/>
      <protection/>
    </xf>
    <xf numFmtId="1" fontId="74" fillId="20" borderId="19" xfId="0" applyNumberFormat="1" applyFont="1" applyFill="1" applyBorder="1" applyAlignment="1" applyProtection="1">
      <alignment horizontal="center" vertical="center"/>
      <protection/>
    </xf>
    <xf numFmtId="164" fontId="74" fillId="20" borderId="19" xfId="0" applyNumberFormat="1" applyFont="1" applyFill="1" applyBorder="1" applyAlignment="1" applyProtection="1">
      <alignment horizontal="center" vertical="center"/>
      <protection/>
    </xf>
    <xf numFmtId="2" fontId="74" fillId="20" borderId="19" xfId="0" applyNumberFormat="1" applyFont="1" applyFill="1" applyBorder="1" applyAlignment="1" applyProtection="1">
      <alignment horizontal="center" vertical="center"/>
      <protection/>
    </xf>
    <xf numFmtId="165" fontId="74" fillId="20" borderId="19" xfId="0" applyNumberFormat="1" applyFont="1" applyFill="1" applyBorder="1" applyAlignment="1" applyProtection="1">
      <alignment horizontal="center" vertical="center"/>
      <protection/>
    </xf>
    <xf numFmtId="180" fontId="74" fillId="20" borderId="19" xfId="42" applyNumberFormat="1" applyFont="1" applyFill="1" applyBorder="1" applyAlignment="1" applyProtection="1">
      <alignment horizontal="center" vertical="center"/>
      <protection/>
    </xf>
    <xf numFmtId="0" fontId="75" fillId="0" borderId="0" xfId="0" applyFont="1" applyFill="1" applyBorder="1" applyAlignment="1" applyProtection="1" quotePrefix="1">
      <alignment horizontal="right" vertical="center"/>
      <protection/>
    </xf>
    <xf numFmtId="0" fontId="75" fillId="0" borderId="0" xfId="0" applyFont="1" applyFill="1" applyBorder="1" applyAlignment="1" applyProtection="1">
      <alignment horizontal="right" vertical="center"/>
      <protection/>
    </xf>
    <xf numFmtId="1" fontId="75" fillId="0" borderId="0" xfId="0" applyNumberFormat="1" applyFont="1" applyFill="1" applyBorder="1" applyAlignment="1" applyProtection="1">
      <alignment horizontal="center" vertical="center"/>
      <protection/>
    </xf>
    <xf numFmtId="164" fontId="75" fillId="0" borderId="0" xfId="0" applyNumberFormat="1" applyFont="1" applyFill="1" applyBorder="1" applyAlignment="1" applyProtection="1">
      <alignment horizontal="center" vertical="center"/>
      <protection/>
    </xf>
    <xf numFmtId="2" fontId="75" fillId="0" borderId="0" xfId="0" applyNumberFormat="1" applyFont="1" applyFill="1" applyBorder="1" applyAlignment="1" applyProtection="1">
      <alignment horizontal="center" vertical="center"/>
      <protection/>
    </xf>
    <xf numFmtId="165" fontId="75" fillId="0" borderId="0" xfId="0" applyNumberFormat="1" applyFont="1" applyFill="1" applyBorder="1" applyAlignment="1" applyProtection="1">
      <alignment horizontal="center" vertical="center"/>
      <protection/>
    </xf>
    <xf numFmtId="180" fontId="75" fillId="0" borderId="0" xfId="42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Fill="1" applyBorder="1" applyAlignment="1" applyProtection="1">
      <alignment vertical="center"/>
      <protection/>
    </xf>
    <xf numFmtId="164" fontId="77" fillId="0" borderId="0" xfId="0" applyNumberFormat="1" applyFont="1" applyFill="1" applyBorder="1" applyAlignment="1" applyProtection="1">
      <alignment vertical="center"/>
      <protection/>
    </xf>
    <xf numFmtId="0" fontId="77" fillId="0" borderId="0" xfId="0" applyFont="1" applyFill="1" applyBorder="1" applyAlignment="1">
      <alignment vertical="center"/>
    </xf>
    <xf numFmtId="0" fontId="74" fillId="20" borderId="19" xfId="0" applyFont="1" applyFill="1" applyBorder="1" applyAlignment="1" applyProtection="1">
      <alignment horizontal="center" vertical="center"/>
      <protection/>
    </xf>
    <xf numFmtId="0" fontId="74" fillId="0" borderId="12" xfId="0" applyFont="1" applyFill="1" applyBorder="1" applyAlignment="1" applyProtection="1">
      <alignment horizontal="center" vertical="center"/>
      <protection/>
    </xf>
    <xf numFmtId="168" fontId="74" fillId="0" borderId="12" xfId="0" applyNumberFormat="1" applyFont="1" applyFill="1" applyBorder="1" applyAlignment="1" applyProtection="1">
      <alignment horizontal="center" vertical="center"/>
      <protection/>
    </xf>
    <xf numFmtId="164" fontId="74" fillId="0" borderId="12" xfId="0" applyNumberFormat="1" applyFont="1" applyFill="1" applyBorder="1" applyAlignment="1" applyProtection="1">
      <alignment horizontal="center" vertical="center"/>
      <protection/>
    </xf>
    <xf numFmtId="1" fontId="74" fillId="0" borderId="12" xfId="0" applyNumberFormat="1" applyFont="1" applyFill="1" applyBorder="1" applyAlignment="1">
      <alignment horizontal="center" vertical="center"/>
    </xf>
    <xf numFmtId="164" fontId="74" fillId="0" borderId="12" xfId="0" applyNumberFormat="1" applyFont="1" applyFill="1" applyBorder="1" applyAlignment="1">
      <alignment horizontal="center" vertical="center"/>
    </xf>
    <xf numFmtId="2" fontId="74" fillId="0" borderId="12" xfId="0" applyNumberFormat="1" applyFont="1" applyFill="1" applyBorder="1" applyAlignment="1">
      <alignment horizontal="center" vertical="center"/>
    </xf>
    <xf numFmtId="165" fontId="74" fillId="0" borderId="12" xfId="0" applyNumberFormat="1" applyFont="1" applyFill="1" applyBorder="1" applyAlignment="1" applyProtection="1">
      <alignment horizontal="center" vertical="center"/>
      <protection/>
    </xf>
    <xf numFmtId="0" fontId="74" fillId="0" borderId="24" xfId="0" applyFont="1" applyFill="1" applyBorder="1" applyAlignment="1" applyProtection="1">
      <alignment horizontal="center" vertical="center"/>
      <protection/>
    </xf>
    <xf numFmtId="0" fontId="74" fillId="0" borderId="13" xfId="0" applyFont="1" applyFill="1" applyBorder="1" applyAlignment="1" applyProtection="1">
      <alignment horizontal="center" vertical="center"/>
      <protection/>
    </xf>
    <xf numFmtId="168" fontId="74" fillId="0" borderId="13" xfId="0" applyNumberFormat="1" applyFont="1" applyFill="1" applyBorder="1" applyAlignment="1" applyProtection="1">
      <alignment horizontal="center" vertical="center"/>
      <protection/>
    </xf>
    <xf numFmtId="0" fontId="74" fillId="0" borderId="10" xfId="0" applyFont="1" applyFill="1" applyBorder="1" applyAlignment="1" applyProtection="1">
      <alignment horizontal="center" vertical="center"/>
      <protection/>
    </xf>
    <xf numFmtId="168" fontId="74" fillId="0" borderId="10" xfId="0" applyNumberFormat="1" applyFont="1" applyFill="1" applyBorder="1" applyAlignment="1" applyProtection="1">
      <alignment horizontal="center" vertical="center"/>
      <protection/>
    </xf>
    <xf numFmtId="164" fontId="74" fillId="0" borderId="10" xfId="0" applyNumberFormat="1" applyFont="1" applyFill="1" applyBorder="1" applyAlignment="1" applyProtection="1">
      <alignment horizontal="center" vertical="center"/>
      <protection/>
    </xf>
    <xf numFmtId="1" fontId="74" fillId="0" borderId="10" xfId="0" applyNumberFormat="1" applyFont="1" applyFill="1" applyBorder="1" applyAlignment="1">
      <alignment horizontal="center" vertical="center"/>
    </xf>
    <xf numFmtId="164" fontId="74" fillId="0" borderId="10" xfId="0" applyNumberFormat="1" applyFont="1" applyFill="1" applyBorder="1" applyAlignment="1">
      <alignment horizontal="center" vertical="center"/>
    </xf>
    <xf numFmtId="2" fontId="74" fillId="0" borderId="10" xfId="0" applyNumberFormat="1" applyFont="1" applyFill="1" applyBorder="1" applyAlignment="1">
      <alignment horizontal="center" vertical="center"/>
    </xf>
    <xf numFmtId="165" fontId="74" fillId="0" borderId="10" xfId="0" applyNumberFormat="1" applyFont="1" applyFill="1" applyBorder="1" applyAlignment="1" applyProtection="1">
      <alignment horizontal="center" vertical="center"/>
      <protection/>
    </xf>
    <xf numFmtId="180" fontId="74" fillId="0" borderId="10" xfId="42" applyNumberFormat="1" applyFont="1" applyFill="1" applyBorder="1" applyAlignment="1" applyProtection="1">
      <alignment horizontal="center" vertical="center"/>
      <protection/>
    </xf>
    <xf numFmtId="2" fontId="74" fillId="0" borderId="10" xfId="0" applyNumberFormat="1" applyFont="1" applyFill="1" applyBorder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 quotePrefix="1">
      <alignment horizontal="right" vertical="center"/>
      <protection/>
    </xf>
    <xf numFmtId="0" fontId="74" fillId="0" borderId="0" xfId="0" applyFont="1" applyFill="1" applyBorder="1" applyAlignment="1" applyProtection="1">
      <alignment horizontal="right" vertical="center"/>
      <protection/>
    </xf>
    <xf numFmtId="164" fontId="74" fillId="20" borderId="19" xfId="0" applyNumberFormat="1" applyFont="1" applyFill="1" applyBorder="1" applyAlignment="1" applyProtection="1" quotePrefix="1">
      <alignment horizontal="center" vertical="center"/>
      <protection/>
    </xf>
    <xf numFmtId="0" fontId="74" fillId="0" borderId="29" xfId="0" applyFont="1" applyFill="1" applyBorder="1" applyAlignment="1" applyProtection="1">
      <alignment horizontal="center" vertical="center"/>
      <protection/>
    </xf>
    <xf numFmtId="180" fontId="74" fillId="0" borderId="15" xfId="42" applyNumberFormat="1" applyFont="1" applyFill="1" applyBorder="1" applyAlignment="1" applyProtection="1">
      <alignment horizontal="center" vertical="center"/>
      <protection/>
    </xf>
    <xf numFmtId="0" fontId="74" fillId="0" borderId="19" xfId="0" applyFont="1" applyFill="1" applyBorder="1" applyAlignment="1" applyProtection="1">
      <alignment horizontal="center" vertical="center"/>
      <protection/>
    </xf>
    <xf numFmtId="1" fontId="74" fillId="0" borderId="11" xfId="0" applyNumberFormat="1" applyFont="1" applyFill="1" applyBorder="1" applyAlignment="1" applyProtection="1">
      <alignment horizontal="center" vertical="center"/>
      <protection/>
    </xf>
    <xf numFmtId="165" fontId="74" fillId="0" borderId="11" xfId="0" applyNumberFormat="1" applyFont="1" applyFill="1" applyBorder="1" applyAlignment="1" applyProtection="1">
      <alignment horizontal="center" vertical="center"/>
      <protection/>
    </xf>
    <xf numFmtId="0" fontId="75" fillId="0" borderId="26" xfId="0" applyFont="1" applyFill="1" applyBorder="1" applyAlignment="1" applyProtection="1">
      <alignment horizontal="right" vertical="center"/>
      <protection/>
    </xf>
    <xf numFmtId="164" fontId="74" fillId="0" borderId="13" xfId="0" applyNumberFormat="1" applyFont="1" applyFill="1" applyBorder="1" applyAlignment="1" applyProtection="1">
      <alignment horizontal="center" vertical="center"/>
      <protection/>
    </xf>
    <xf numFmtId="1" fontId="74" fillId="0" borderId="13" xfId="0" applyNumberFormat="1" applyFont="1" applyFill="1" applyBorder="1" applyAlignment="1" applyProtection="1">
      <alignment horizontal="center" vertical="center"/>
      <protection/>
    </xf>
    <xf numFmtId="2" fontId="74" fillId="0" borderId="13" xfId="0" applyNumberFormat="1" applyFont="1" applyFill="1" applyBorder="1" applyAlignment="1" applyProtection="1">
      <alignment horizontal="center" vertical="center"/>
      <protection/>
    </xf>
    <xf numFmtId="164" fontId="74" fillId="0" borderId="16" xfId="0" applyNumberFormat="1" applyFont="1" applyFill="1" applyBorder="1" applyAlignment="1" applyProtection="1">
      <alignment horizontal="center" vertical="center"/>
      <protection/>
    </xf>
    <xf numFmtId="180" fontId="74" fillId="0" borderId="16" xfId="42" applyNumberFormat="1" applyFont="1" applyFill="1" applyBorder="1" applyAlignment="1" applyProtection="1">
      <alignment horizontal="center" vertical="center"/>
      <protection/>
    </xf>
    <xf numFmtId="0" fontId="75" fillId="0" borderId="18" xfId="0" applyFont="1" applyFill="1" applyBorder="1" applyAlignment="1" applyProtection="1" quotePrefix="1">
      <alignment horizontal="right" vertical="center"/>
      <protection/>
    </xf>
    <xf numFmtId="0" fontId="75" fillId="0" borderId="18" xfId="0" applyFont="1" applyFill="1" applyBorder="1" applyAlignment="1" applyProtection="1">
      <alignment horizontal="right" vertical="center"/>
      <protection/>
    </xf>
    <xf numFmtId="168" fontId="74" fillId="0" borderId="19" xfId="0" applyNumberFormat="1" applyFont="1" applyFill="1" applyBorder="1" applyAlignment="1" applyProtection="1">
      <alignment horizontal="center" vertical="center"/>
      <protection/>
    </xf>
    <xf numFmtId="0" fontId="74" fillId="0" borderId="14" xfId="0" applyFont="1" applyFill="1" applyBorder="1" applyAlignment="1" applyProtection="1">
      <alignment horizontal="center" vertical="center"/>
      <protection/>
    </xf>
    <xf numFmtId="168" fontId="74" fillId="0" borderId="14" xfId="0" applyNumberFormat="1" applyFont="1" applyFill="1" applyBorder="1" applyAlignment="1" applyProtection="1">
      <alignment horizontal="center" vertical="center"/>
      <protection/>
    </xf>
    <xf numFmtId="164" fontId="74" fillId="0" borderId="14" xfId="0" applyNumberFormat="1" applyFont="1" applyFill="1" applyBorder="1" applyAlignment="1" applyProtection="1">
      <alignment horizontal="center" vertical="center"/>
      <protection/>
    </xf>
    <xf numFmtId="0" fontId="74" fillId="0" borderId="20" xfId="0" applyFont="1" applyFill="1" applyBorder="1" applyAlignment="1" applyProtection="1">
      <alignment horizontal="center" vertical="center"/>
      <protection/>
    </xf>
    <xf numFmtId="0" fontId="74" fillId="0" borderId="16" xfId="0" applyFont="1" applyFill="1" applyBorder="1" applyAlignment="1" applyProtection="1">
      <alignment horizontal="center" vertical="center"/>
      <protection/>
    </xf>
    <xf numFmtId="168" fontId="74" fillId="0" borderId="20" xfId="0" applyNumberFormat="1" applyFont="1" applyFill="1" applyBorder="1" applyAlignment="1" applyProtection="1">
      <alignment horizontal="center" vertical="center"/>
      <protection/>
    </xf>
    <xf numFmtId="1" fontId="74" fillId="0" borderId="14" xfId="0" applyNumberFormat="1" applyFont="1" applyFill="1" applyBorder="1" applyAlignment="1">
      <alignment horizontal="center" vertical="center"/>
    </xf>
    <xf numFmtId="164" fontId="74" fillId="0" borderId="14" xfId="0" applyNumberFormat="1" applyFont="1" applyFill="1" applyBorder="1" applyAlignment="1">
      <alignment horizontal="center" vertical="center"/>
    </xf>
    <xf numFmtId="2" fontId="74" fillId="0" borderId="14" xfId="0" applyNumberFormat="1" applyFont="1" applyFill="1" applyBorder="1" applyAlignment="1">
      <alignment horizontal="center" vertical="center"/>
    </xf>
    <xf numFmtId="180" fontId="74" fillId="0" borderId="14" xfId="42" applyNumberFormat="1" applyFont="1" applyFill="1" applyBorder="1" applyAlignment="1" applyProtection="1">
      <alignment horizontal="center" vertical="center"/>
      <protection/>
    </xf>
    <xf numFmtId="2" fontId="74" fillId="0" borderId="14" xfId="0" applyNumberFormat="1" applyFont="1" applyFill="1" applyBorder="1" applyAlignment="1" applyProtection="1">
      <alignment horizontal="center" vertical="center"/>
      <protection/>
    </xf>
    <xf numFmtId="1" fontId="74" fillId="0" borderId="13" xfId="0" applyNumberFormat="1" applyFont="1" applyFill="1" applyBorder="1" applyAlignment="1">
      <alignment horizontal="center" vertical="center"/>
    </xf>
    <xf numFmtId="164" fontId="74" fillId="0" borderId="13" xfId="0" applyNumberFormat="1" applyFont="1" applyFill="1" applyBorder="1" applyAlignment="1">
      <alignment horizontal="center" vertical="center"/>
    </xf>
    <xf numFmtId="2" fontId="74" fillId="0" borderId="13" xfId="0" applyNumberFormat="1" applyFont="1" applyFill="1" applyBorder="1" applyAlignment="1">
      <alignment horizontal="center" vertical="center"/>
    </xf>
    <xf numFmtId="165" fontId="74" fillId="0" borderId="14" xfId="0" applyNumberFormat="1" applyFont="1" applyFill="1" applyBorder="1" applyAlignment="1" applyProtection="1">
      <alignment horizontal="center" vertical="center"/>
      <protection/>
    </xf>
    <xf numFmtId="180" fontId="74" fillId="0" borderId="13" xfId="42" applyNumberFormat="1" applyFont="1" applyFill="1" applyBorder="1" applyAlignment="1" applyProtection="1">
      <alignment horizontal="center" vertical="center"/>
      <protection/>
    </xf>
    <xf numFmtId="1" fontId="74" fillId="20" borderId="20" xfId="0" applyNumberFormat="1" applyFont="1" applyFill="1" applyBorder="1" applyAlignment="1" applyProtection="1">
      <alignment horizontal="center" vertical="center"/>
      <protection/>
    </xf>
    <xf numFmtId="164" fontId="74" fillId="20" borderId="20" xfId="0" applyNumberFormat="1" applyFont="1" applyFill="1" applyBorder="1" applyAlignment="1" applyProtection="1">
      <alignment horizontal="center" vertical="center"/>
      <protection/>
    </xf>
    <xf numFmtId="2" fontId="74" fillId="20" borderId="20" xfId="0" applyNumberFormat="1" applyFont="1" applyFill="1" applyBorder="1" applyAlignment="1" applyProtection="1">
      <alignment horizontal="center" vertical="center"/>
      <protection/>
    </xf>
    <xf numFmtId="180" fontId="74" fillId="20" borderId="20" xfId="42" applyNumberFormat="1" applyFont="1" applyFill="1" applyBorder="1" applyAlignment="1" applyProtection="1">
      <alignment horizontal="center" vertical="center"/>
      <protection/>
    </xf>
    <xf numFmtId="1" fontId="75" fillId="0" borderId="26" xfId="0" applyNumberFormat="1" applyFont="1" applyFill="1" applyBorder="1" applyAlignment="1" applyProtection="1">
      <alignment horizontal="center" vertical="center"/>
      <protection/>
    </xf>
    <xf numFmtId="164" fontId="75" fillId="0" borderId="26" xfId="0" applyNumberFormat="1" applyFont="1" applyFill="1" applyBorder="1" applyAlignment="1" applyProtection="1">
      <alignment horizontal="center" vertical="center"/>
      <protection/>
    </xf>
    <xf numFmtId="2" fontId="75" fillId="0" borderId="26" xfId="0" applyNumberFormat="1" applyFont="1" applyFill="1" applyBorder="1" applyAlignment="1" applyProtection="1">
      <alignment horizontal="center" vertical="center"/>
      <protection/>
    </xf>
    <xf numFmtId="165" fontId="75" fillId="0" borderId="26" xfId="0" applyNumberFormat="1" applyFont="1" applyFill="1" applyBorder="1" applyAlignment="1" applyProtection="1">
      <alignment horizontal="center" vertical="center"/>
      <protection/>
    </xf>
    <xf numFmtId="180" fontId="75" fillId="0" borderId="26" xfId="42" applyNumberFormat="1" applyFont="1" applyFill="1" applyBorder="1" applyAlignment="1" applyProtection="1">
      <alignment horizontal="center" vertical="center"/>
      <protection/>
    </xf>
    <xf numFmtId="0" fontId="74" fillId="0" borderId="26" xfId="0" applyFont="1" applyFill="1" applyBorder="1" applyAlignment="1" applyProtection="1" quotePrefix="1">
      <alignment horizontal="right" vertical="center"/>
      <protection/>
    </xf>
    <xf numFmtId="0" fontId="74" fillId="0" borderId="26" xfId="0" applyFont="1" applyFill="1" applyBorder="1" applyAlignment="1" applyProtection="1">
      <alignment horizontal="right" vertical="center"/>
      <protection/>
    </xf>
    <xf numFmtId="1" fontId="74" fillId="0" borderId="26" xfId="0" applyNumberFormat="1" applyFont="1" applyFill="1" applyBorder="1" applyAlignment="1" applyProtection="1">
      <alignment horizontal="center" vertical="center"/>
      <protection/>
    </xf>
    <xf numFmtId="164" fontId="74" fillId="0" borderId="26" xfId="0" applyNumberFormat="1" applyFont="1" applyFill="1" applyBorder="1" applyAlignment="1" applyProtection="1">
      <alignment horizontal="center" vertical="center"/>
      <protection/>
    </xf>
    <xf numFmtId="2" fontId="74" fillId="0" borderId="26" xfId="0" applyNumberFormat="1" applyFont="1" applyFill="1" applyBorder="1" applyAlignment="1" applyProtection="1">
      <alignment horizontal="center" vertical="center"/>
      <protection/>
    </xf>
    <xf numFmtId="165" fontId="74" fillId="0" borderId="26" xfId="0" applyNumberFormat="1" applyFont="1" applyFill="1" applyBorder="1" applyAlignment="1" applyProtection="1">
      <alignment horizontal="center" vertical="center"/>
      <protection/>
    </xf>
    <xf numFmtId="180" fontId="74" fillId="0" borderId="26" xfId="42" applyNumberFormat="1" applyFont="1" applyFill="1" applyBorder="1" applyAlignment="1" applyProtection="1">
      <alignment horizontal="center" vertical="center"/>
      <protection/>
    </xf>
    <xf numFmtId="1" fontId="74" fillId="0" borderId="19" xfId="0" applyNumberFormat="1" applyFont="1" applyFill="1" applyBorder="1" applyAlignment="1">
      <alignment horizontal="center" vertical="center"/>
    </xf>
    <xf numFmtId="164" fontId="74" fillId="0" borderId="19" xfId="0" applyNumberFormat="1" applyFont="1" applyFill="1" applyBorder="1" applyAlignment="1">
      <alignment horizontal="center" vertical="center"/>
    </xf>
    <xf numFmtId="2" fontId="74" fillId="0" borderId="19" xfId="0" applyNumberFormat="1" applyFont="1" applyFill="1" applyBorder="1" applyAlignment="1">
      <alignment horizontal="center" vertical="center"/>
    </xf>
    <xf numFmtId="180" fontId="74" fillId="0" borderId="19" xfId="42" applyNumberFormat="1" applyFont="1" applyFill="1" applyBorder="1" applyAlignment="1" applyProtection="1">
      <alignment horizontal="center" vertical="center"/>
      <protection/>
    </xf>
    <xf numFmtId="2" fontId="74" fillId="0" borderId="19" xfId="0" applyNumberFormat="1" applyFont="1" applyFill="1" applyBorder="1" applyAlignment="1" applyProtection="1">
      <alignment horizontal="center" vertical="center"/>
      <protection/>
    </xf>
    <xf numFmtId="0" fontId="74" fillId="0" borderId="29" xfId="0" applyFont="1" applyFill="1" applyBorder="1" applyAlignment="1" applyProtection="1">
      <alignment horizontal="right" vertical="center"/>
      <protection/>
    </xf>
    <xf numFmtId="1" fontId="74" fillId="0" borderId="0" xfId="0" applyNumberFormat="1" applyFont="1" applyFill="1" applyBorder="1" applyAlignment="1" applyProtection="1">
      <alignment horizontal="center" vertical="center"/>
      <protection/>
    </xf>
    <xf numFmtId="164" fontId="74" fillId="0" borderId="0" xfId="0" applyNumberFormat="1" applyFont="1" applyFill="1" applyBorder="1" applyAlignment="1" applyProtection="1">
      <alignment horizontal="center" vertical="center"/>
      <protection/>
    </xf>
    <xf numFmtId="2" fontId="74" fillId="0" borderId="0" xfId="0" applyNumberFormat="1" applyFont="1" applyFill="1" applyBorder="1" applyAlignment="1" applyProtection="1">
      <alignment horizontal="center" vertical="center"/>
      <protection/>
    </xf>
    <xf numFmtId="165" fontId="74" fillId="0" borderId="0" xfId="0" applyNumberFormat="1" applyFont="1" applyFill="1" applyBorder="1" applyAlignment="1" applyProtection="1">
      <alignment horizontal="center" vertical="center"/>
      <protection/>
    </xf>
    <xf numFmtId="180" fontId="74" fillId="0" borderId="0" xfId="42" applyNumberFormat="1" applyFont="1" applyFill="1" applyBorder="1" applyAlignment="1" applyProtection="1">
      <alignment horizontal="center" vertical="center"/>
      <protection/>
    </xf>
    <xf numFmtId="165" fontId="74" fillId="20" borderId="20" xfId="0" applyNumberFormat="1" applyFont="1" applyFill="1" applyBorder="1" applyAlignment="1" applyProtection="1">
      <alignment horizontal="center" vertical="center"/>
      <protection/>
    </xf>
    <xf numFmtId="0" fontId="75" fillId="0" borderId="13" xfId="0" applyFont="1" applyFill="1" applyBorder="1" applyAlignment="1" applyProtection="1">
      <alignment horizontal="center" vertical="center"/>
      <protection/>
    </xf>
    <xf numFmtId="165" fontId="74" fillId="0" borderId="13" xfId="0" applyNumberFormat="1" applyFont="1" applyFill="1" applyBorder="1" applyAlignment="1" applyProtection="1">
      <alignment horizontal="center" vertical="center"/>
      <protection/>
    </xf>
    <xf numFmtId="0" fontId="76" fillId="0" borderId="0" xfId="0" applyFont="1" applyFill="1" applyBorder="1" applyAlignment="1" applyProtection="1">
      <alignment vertical="center"/>
      <protection/>
    </xf>
    <xf numFmtId="164" fontId="76" fillId="0" borderId="0" xfId="0" applyNumberFormat="1" applyFont="1" applyFill="1" applyBorder="1" applyAlignment="1" applyProtection="1">
      <alignment vertical="center"/>
      <protection/>
    </xf>
    <xf numFmtId="0" fontId="76" fillId="0" borderId="0" xfId="0" applyFont="1" applyFill="1" applyBorder="1" applyAlignment="1">
      <alignment vertical="center"/>
    </xf>
    <xf numFmtId="0" fontId="74" fillId="0" borderId="0" xfId="0" applyFont="1" applyFill="1" applyBorder="1" applyAlignment="1" applyProtection="1">
      <alignment horizontal="center" vertical="center"/>
      <protection/>
    </xf>
    <xf numFmtId="164" fontId="74" fillId="0" borderId="20" xfId="0" applyNumberFormat="1" applyFont="1" applyFill="1" applyBorder="1" applyAlignment="1" applyProtection="1">
      <alignment horizontal="center" vertical="center"/>
      <protection/>
    </xf>
    <xf numFmtId="1" fontId="74" fillId="0" borderId="20" xfId="0" applyNumberFormat="1" applyFont="1" applyFill="1" applyBorder="1" applyAlignment="1">
      <alignment horizontal="center" vertical="center"/>
    </xf>
    <xf numFmtId="164" fontId="74" fillId="0" borderId="20" xfId="0" applyNumberFormat="1" applyFont="1" applyFill="1" applyBorder="1" applyAlignment="1">
      <alignment horizontal="center" vertical="center"/>
    </xf>
    <xf numFmtId="164" fontId="74" fillId="0" borderId="15" xfId="0" applyNumberFormat="1" applyFont="1" applyFill="1" applyBorder="1" applyAlignment="1" applyProtection="1">
      <alignment horizontal="center" vertical="center"/>
      <protection/>
    </xf>
    <xf numFmtId="2" fontId="74" fillId="0" borderId="20" xfId="0" applyNumberFormat="1" applyFont="1" applyFill="1" applyBorder="1" applyAlignment="1" applyProtection="1">
      <alignment horizontal="center" vertical="center"/>
      <protection/>
    </xf>
    <xf numFmtId="0" fontId="71" fillId="0" borderId="0" xfId="0" applyFont="1" applyFill="1" applyBorder="1" applyAlignment="1" applyProtection="1" quotePrefix="1">
      <alignment horizontal="right" vertical="center"/>
      <protection/>
    </xf>
    <xf numFmtId="0" fontId="71" fillId="0" borderId="0" xfId="0" applyFont="1" applyFill="1" applyBorder="1" applyAlignment="1" applyProtection="1" quotePrefix="1">
      <alignment horizontal="right"/>
      <protection/>
    </xf>
    <xf numFmtId="0" fontId="78" fillId="0" borderId="0" xfId="0" applyFont="1" applyAlignment="1">
      <alignment/>
    </xf>
    <xf numFmtId="164" fontId="78" fillId="0" borderId="0" xfId="0" applyNumberFormat="1" applyFont="1" applyAlignment="1">
      <alignment/>
    </xf>
    <xf numFmtId="2" fontId="78" fillId="0" borderId="0" xfId="0" applyNumberFormat="1" applyFont="1" applyAlignment="1">
      <alignment/>
    </xf>
    <xf numFmtId="180" fontId="78" fillId="0" borderId="0" xfId="42" applyNumberFormat="1" applyFont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center"/>
    </xf>
    <xf numFmtId="0" fontId="76" fillId="0" borderId="0" xfId="0" applyFont="1" applyFill="1" applyAlignment="1">
      <alignment/>
    </xf>
    <xf numFmtId="164" fontId="76" fillId="0" borderId="0" xfId="0" applyNumberFormat="1" applyFont="1" applyFill="1" applyAlignment="1" applyProtection="1">
      <alignment/>
      <protection/>
    </xf>
    <xf numFmtId="2" fontId="76" fillId="0" borderId="0" xfId="0" applyNumberFormat="1" applyFont="1" applyFill="1" applyAlignment="1" applyProtection="1">
      <alignment/>
      <protection/>
    </xf>
    <xf numFmtId="165" fontId="76" fillId="0" borderId="0" xfId="0" applyNumberFormat="1" applyFont="1" applyFill="1" applyAlignment="1" applyProtection="1">
      <alignment horizontal="center"/>
      <protection/>
    </xf>
    <xf numFmtId="164" fontId="76" fillId="0" borderId="0" xfId="0" applyNumberFormat="1" applyFont="1" applyFill="1" applyAlignment="1" applyProtection="1">
      <alignment horizontal="center"/>
      <protection/>
    </xf>
    <xf numFmtId="180" fontId="76" fillId="0" borderId="0" xfId="42" applyNumberFormat="1" applyFont="1" applyFill="1" applyAlignment="1" applyProtection="1">
      <alignment horizontal="center"/>
      <protection/>
    </xf>
    <xf numFmtId="168" fontId="76" fillId="0" borderId="0" xfId="0" applyNumberFormat="1" applyFont="1" applyFill="1" applyAlignment="1">
      <alignment/>
    </xf>
    <xf numFmtId="1" fontId="76" fillId="0" borderId="0" xfId="0" applyNumberFormat="1" applyFont="1" applyFill="1" applyAlignment="1">
      <alignment/>
    </xf>
    <xf numFmtId="2" fontId="76" fillId="0" borderId="0" xfId="0" applyNumberFormat="1" applyFont="1" applyFill="1" applyAlignment="1">
      <alignment/>
    </xf>
    <xf numFmtId="164" fontId="76" fillId="0" borderId="0" xfId="0" applyNumberFormat="1" applyFont="1" applyFill="1" applyAlignment="1">
      <alignment horizontal="center"/>
    </xf>
    <xf numFmtId="164" fontId="76" fillId="0" borderId="0" xfId="0" applyNumberFormat="1" applyFont="1" applyFill="1" applyAlignment="1">
      <alignment/>
    </xf>
    <xf numFmtId="180" fontId="76" fillId="0" borderId="0" xfId="42" applyNumberFormat="1" applyFont="1" applyFill="1" applyAlignment="1">
      <alignment horizontal="center"/>
    </xf>
    <xf numFmtId="1" fontId="76" fillId="0" borderId="0" xfId="0" applyNumberFormat="1" applyFont="1" applyFill="1" applyAlignment="1" applyProtection="1">
      <alignment/>
      <protection/>
    </xf>
    <xf numFmtId="180" fontId="76" fillId="0" borderId="0" xfId="42" applyNumberFormat="1" applyFont="1" applyFill="1" applyAlignment="1" applyProtection="1">
      <alignment/>
      <protection/>
    </xf>
    <xf numFmtId="180" fontId="76" fillId="0" borderId="0" xfId="42" applyNumberFormat="1" applyFont="1" applyFill="1" applyAlignment="1">
      <alignment/>
    </xf>
    <xf numFmtId="0" fontId="74" fillId="0" borderId="15" xfId="0" applyFont="1" applyFill="1" applyBorder="1" applyAlignment="1">
      <alignment horizontal="center" vertical="center"/>
    </xf>
    <xf numFmtId="0" fontId="74" fillId="20" borderId="23" xfId="0" applyFont="1" applyFill="1" applyBorder="1" applyAlignment="1">
      <alignment horizontal="center" vertical="center"/>
    </xf>
    <xf numFmtId="16" fontId="74" fillId="26" borderId="0" xfId="0" applyNumberFormat="1" applyFont="1" applyFill="1" applyBorder="1" applyAlignment="1">
      <alignment horizontal="center" vertical="center"/>
    </xf>
    <xf numFmtId="164" fontId="74" fillId="26" borderId="18" xfId="0" applyNumberFormat="1" applyFont="1" applyFill="1" applyBorder="1" applyAlignment="1">
      <alignment horizontal="center" vertical="center"/>
    </xf>
    <xf numFmtId="0" fontId="75" fillId="23" borderId="19" xfId="0" applyFont="1" applyFill="1" applyBorder="1" applyAlignment="1" applyProtection="1">
      <alignment horizontal="center" vertical="center"/>
      <protection/>
    </xf>
    <xf numFmtId="0" fontId="75" fillId="0" borderId="15" xfId="0" applyFont="1" applyFill="1" applyBorder="1" applyAlignment="1" applyProtection="1">
      <alignment horizontal="center" vertical="center"/>
      <protection/>
    </xf>
    <xf numFmtId="176" fontId="75" fillId="23" borderId="19" xfId="0" applyNumberFormat="1" applyFont="1" applyFill="1" applyBorder="1" applyAlignment="1" applyProtection="1">
      <alignment horizontal="center" vertical="center"/>
      <protection/>
    </xf>
    <xf numFmtId="2" fontId="75" fillId="23" borderId="19" xfId="0" applyNumberFormat="1" applyFont="1" applyFill="1" applyBorder="1" applyAlignment="1" applyProtection="1">
      <alignment horizontal="center" vertical="center"/>
      <protection/>
    </xf>
    <xf numFmtId="180" fontId="75" fillId="23" borderId="19" xfId="42" applyNumberFormat="1" applyFont="1" applyFill="1" applyBorder="1" applyAlignment="1" applyProtection="1">
      <alignment horizontal="center" vertical="center"/>
      <protection/>
    </xf>
    <xf numFmtId="180" fontId="74" fillId="23" borderId="19" xfId="42" applyNumberFormat="1" applyFont="1" applyFill="1" applyBorder="1" applyAlignment="1" applyProtection="1">
      <alignment horizontal="center" vertical="center"/>
      <protection/>
    </xf>
    <xf numFmtId="0" fontId="75" fillId="0" borderId="11" xfId="0" applyFont="1" applyFill="1" applyBorder="1" applyAlignment="1" applyProtection="1">
      <alignment horizontal="center" vertical="center"/>
      <protection/>
    </xf>
    <xf numFmtId="0" fontId="75" fillId="0" borderId="12" xfId="0" applyFont="1" applyFill="1" applyBorder="1" applyAlignment="1" applyProtection="1">
      <alignment horizontal="center" vertical="center"/>
      <protection/>
    </xf>
    <xf numFmtId="176" fontId="75" fillId="0" borderId="11" xfId="0" applyNumberFormat="1" applyFont="1" applyFill="1" applyBorder="1" applyAlignment="1" applyProtection="1">
      <alignment horizontal="center" vertical="center"/>
      <protection/>
    </xf>
    <xf numFmtId="2" fontId="75" fillId="0" borderId="12" xfId="0" applyNumberFormat="1" applyFont="1" applyFill="1" applyBorder="1" applyAlignment="1" applyProtection="1">
      <alignment horizontal="center" vertical="center"/>
      <protection/>
    </xf>
    <xf numFmtId="180" fontId="75" fillId="0" borderId="12" xfId="42" applyNumberFormat="1" applyFont="1" applyFill="1" applyBorder="1" applyAlignment="1" applyProtection="1">
      <alignment horizontal="center" vertical="center"/>
      <protection/>
    </xf>
    <xf numFmtId="180" fontId="74" fillId="0" borderId="12" xfId="42" applyNumberFormat="1" applyFont="1" applyFill="1" applyBorder="1" applyAlignment="1" applyProtection="1">
      <alignment horizontal="center" vertical="center"/>
      <protection/>
    </xf>
    <xf numFmtId="164" fontId="75" fillId="0" borderId="12" xfId="0" applyNumberFormat="1" applyFont="1" applyFill="1" applyBorder="1" applyAlignment="1" applyProtection="1">
      <alignment horizontal="center" vertical="center"/>
      <protection/>
    </xf>
    <xf numFmtId="0" fontId="75" fillId="0" borderId="20" xfId="0" applyFont="1" applyFill="1" applyBorder="1" applyAlignment="1" applyProtection="1">
      <alignment horizontal="center" vertical="center"/>
      <protection/>
    </xf>
    <xf numFmtId="176" fontId="75" fillId="0" borderId="13" xfId="0" applyNumberFormat="1" applyFont="1" applyFill="1" applyBorder="1" applyAlignment="1" applyProtection="1">
      <alignment horizontal="center" vertical="center"/>
      <protection/>
    </xf>
    <xf numFmtId="2" fontId="75" fillId="0" borderId="13" xfId="0" applyNumberFormat="1" applyFont="1" applyFill="1" applyBorder="1" applyAlignment="1" applyProtection="1">
      <alignment horizontal="center" vertical="center"/>
      <protection/>
    </xf>
    <xf numFmtId="180" fontId="75" fillId="0" borderId="13" xfId="42" applyNumberFormat="1" applyFont="1" applyFill="1" applyBorder="1" applyAlignment="1" applyProtection="1">
      <alignment horizontal="center" vertical="center"/>
      <protection/>
    </xf>
    <xf numFmtId="164" fontId="75" fillId="0" borderId="13" xfId="0" applyNumberFormat="1" applyFont="1" applyFill="1" applyBorder="1" applyAlignment="1" applyProtection="1">
      <alignment horizontal="center" vertical="center"/>
      <protection/>
    </xf>
    <xf numFmtId="0" fontId="75" fillId="0" borderId="0" xfId="0" applyFont="1" applyFill="1" applyBorder="1" applyAlignment="1" applyProtection="1">
      <alignment horizontal="center" vertical="center"/>
      <protection/>
    </xf>
    <xf numFmtId="0" fontId="75" fillId="23" borderId="11" xfId="0" applyFont="1" applyFill="1" applyBorder="1" applyAlignment="1" applyProtection="1">
      <alignment horizontal="center" vertical="center"/>
      <protection/>
    </xf>
    <xf numFmtId="0" fontId="75" fillId="23" borderId="12" xfId="0" applyFont="1" applyFill="1" applyBorder="1" applyAlignment="1" applyProtection="1">
      <alignment horizontal="center" vertical="center"/>
      <protection/>
    </xf>
    <xf numFmtId="176" fontId="75" fillId="23" borderId="11" xfId="0" applyNumberFormat="1" applyFont="1" applyFill="1" applyBorder="1" applyAlignment="1" applyProtection="1">
      <alignment horizontal="center" vertical="center"/>
      <protection/>
    </xf>
    <xf numFmtId="2" fontId="75" fillId="23" borderId="12" xfId="0" applyNumberFormat="1" applyFont="1" applyFill="1" applyBorder="1" applyAlignment="1" applyProtection="1">
      <alignment horizontal="center" vertical="center"/>
      <protection/>
    </xf>
    <xf numFmtId="180" fontId="75" fillId="23" borderId="12" xfId="42" applyNumberFormat="1" applyFont="1" applyFill="1" applyBorder="1" applyAlignment="1" applyProtection="1">
      <alignment horizontal="center" vertical="center"/>
      <protection/>
    </xf>
    <xf numFmtId="180" fontId="74" fillId="23" borderId="12" xfId="42" applyNumberFormat="1" applyFont="1" applyFill="1" applyBorder="1" applyAlignment="1" applyProtection="1">
      <alignment horizontal="center" vertical="center"/>
      <protection/>
    </xf>
    <xf numFmtId="164" fontId="75" fillId="23" borderId="12" xfId="0" applyNumberFormat="1" applyFont="1" applyFill="1" applyBorder="1" applyAlignment="1" applyProtection="1">
      <alignment horizontal="center" vertical="center"/>
      <protection/>
    </xf>
    <xf numFmtId="0" fontId="75" fillId="23" borderId="15" xfId="0" applyFont="1" applyFill="1" applyBorder="1" applyAlignment="1" applyProtection="1">
      <alignment horizontal="center" vertical="center"/>
      <protection/>
    </xf>
    <xf numFmtId="0" fontId="75" fillId="23" borderId="10" xfId="0" applyFont="1" applyFill="1" applyBorder="1" applyAlignment="1" applyProtection="1">
      <alignment horizontal="center" vertical="center"/>
      <protection/>
    </xf>
    <xf numFmtId="176" fontId="75" fillId="23" borderId="10" xfId="0" applyNumberFormat="1" applyFont="1" applyFill="1" applyBorder="1" applyAlignment="1" applyProtection="1">
      <alignment horizontal="center" vertical="center"/>
      <protection/>
    </xf>
    <xf numFmtId="2" fontId="75" fillId="23" borderId="10" xfId="0" applyNumberFormat="1" applyFont="1" applyFill="1" applyBorder="1" applyAlignment="1" applyProtection="1">
      <alignment horizontal="center" vertical="center"/>
      <protection/>
    </xf>
    <xf numFmtId="180" fontId="75" fillId="23" borderId="10" xfId="42" applyNumberFormat="1" applyFont="1" applyFill="1" applyBorder="1" applyAlignment="1" applyProtection="1">
      <alignment horizontal="center" vertical="center"/>
      <protection/>
    </xf>
    <xf numFmtId="180" fontId="74" fillId="23" borderId="10" xfId="42" applyNumberFormat="1" applyFont="1" applyFill="1" applyBorder="1" applyAlignment="1" applyProtection="1">
      <alignment horizontal="center" vertical="center"/>
      <protection/>
    </xf>
    <xf numFmtId="164" fontId="74" fillId="23" borderId="10" xfId="0" applyNumberFormat="1" applyFont="1" applyFill="1" applyBorder="1" applyAlignment="1" applyProtection="1">
      <alignment horizontal="center" vertical="center"/>
      <protection/>
    </xf>
    <xf numFmtId="0" fontId="75" fillId="23" borderId="13" xfId="0" applyFont="1" applyFill="1" applyBorder="1" applyAlignment="1" applyProtection="1">
      <alignment horizontal="center" vertical="center"/>
      <protection/>
    </xf>
    <xf numFmtId="176" fontId="75" fillId="23" borderId="20" xfId="0" applyNumberFormat="1" applyFont="1" applyFill="1" applyBorder="1" applyAlignment="1" applyProtection="1">
      <alignment horizontal="center" vertical="center"/>
      <protection/>
    </xf>
    <xf numFmtId="2" fontId="75" fillId="23" borderId="13" xfId="0" applyNumberFormat="1" applyFont="1" applyFill="1" applyBorder="1" applyAlignment="1" applyProtection="1">
      <alignment horizontal="center" vertical="center"/>
      <protection/>
    </xf>
    <xf numFmtId="180" fontId="75" fillId="23" borderId="13" xfId="42" applyNumberFormat="1" applyFont="1" applyFill="1" applyBorder="1" applyAlignment="1" applyProtection="1">
      <alignment horizontal="center" vertical="center"/>
      <protection/>
    </xf>
    <xf numFmtId="180" fontId="74" fillId="23" borderId="13" xfId="42" applyNumberFormat="1" applyFont="1" applyFill="1" applyBorder="1" applyAlignment="1" applyProtection="1">
      <alignment horizontal="center" vertical="center"/>
      <protection/>
    </xf>
    <xf numFmtId="164" fontId="74" fillId="23" borderId="13" xfId="0" applyNumberFormat="1" applyFont="1" applyFill="1" applyBorder="1" applyAlignment="1" applyProtection="1">
      <alignment horizontal="center" vertical="center"/>
      <protection/>
    </xf>
    <xf numFmtId="0" fontId="75" fillId="0" borderId="19" xfId="0" applyFont="1" applyFill="1" applyBorder="1" applyAlignment="1" applyProtection="1">
      <alignment horizontal="center" vertical="center"/>
      <protection/>
    </xf>
    <xf numFmtId="176" fontId="75" fillId="0" borderId="19" xfId="0" applyNumberFormat="1" applyFont="1" applyFill="1" applyBorder="1" applyAlignment="1" applyProtection="1">
      <alignment horizontal="center" vertical="center"/>
      <protection/>
    </xf>
    <xf numFmtId="2" fontId="75" fillId="0" borderId="19" xfId="0" applyNumberFormat="1" applyFont="1" applyFill="1" applyBorder="1" applyAlignment="1" applyProtection="1">
      <alignment horizontal="center" vertical="center"/>
      <protection/>
    </xf>
    <xf numFmtId="180" fontId="75" fillId="0" borderId="19" xfId="42" applyNumberFormat="1" applyFont="1" applyFill="1" applyBorder="1" applyAlignment="1" applyProtection="1">
      <alignment horizontal="center" vertical="center"/>
      <protection/>
    </xf>
    <xf numFmtId="164" fontId="75" fillId="0" borderId="19" xfId="0" applyNumberFormat="1" applyFont="1" applyFill="1" applyBorder="1" applyAlignment="1" applyProtection="1">
      <alignment horizontal="center" vertical="center"/>
      <protection/>
    </xf>
    <xf numFmtId="164" fontId="75" fillId="23" borderId="10" xfId="0" applyNumberFormat="1" applyFont="1" applyFill="1" applyBorder="1" applyAlignment="1" applyProtection="1">
      <alignment horizontal="center" vertical="center"/>
      <protection/>
    </xf>
    <xf numFmtId="164" fontId="75" fillId="23" borderId="13" xfId="0" applyNumberFormat="1" applyFont="1" applyFill="1" applyBorder="1" applyAlignment="1" applyProtection="1">
      <alignment horizontal="center" vertical="center"/>
      <protection/>
    </xf>
    <xf numFmtId="180" fontId="75" fillId="23" borderId="11" xfId="42" applyNumberFormat="1" applyFont="1" applyFill="1" applyBorder="1" applyAlignment="1" applyProtection="1">
      <alignment horizontal="center" vertical="center"/>
      <protection/>
    </xf>
    <xf numFmtId="0" fontId="75" fillId="23" borderId="14" xfId="0" applyFont="1" applyFill="1" applyBorder="1" applyAlignment="1" applyProtection="1">
      <alignment horizontal="center" vertical="center"/>
      <protection/>
    </xf>
    <xf numFmtId="2" fontId="75" fillId="23" borderId="14" xfId="0" applyNumberFormat="1" applyFont="1" applyFill="1" applyBorder="1" applyAlignment="1" applyProtection="1">
      <alignment horizontal="center" vertical="center"/>
      <protection/>
    </xf>
    <xf numFmtId="180" fontId="74" fillId="23" borderId="14" xfId="42" applyNumberFormat="1" applyFont="1" applyFill="1" applyBorder="1" applyAlignment="1" applyProtection="1">
      <alignment horizontal="center" vertical="center"/>
      <protection/>
    </xf>
    <xf numFmtId="180" fontId="75" fillId="23" borderId="14" xfId="42" applyNumberFormat="1" applyFont="1" applyFill="1" applyBorder="1" applyAlignment="1" applyProtection="1">
      <alignment horizontal="center" vertical="center"/>
      <protection/>
    </xf>
    <xf numFmtId="164" fontId="74" fillId="23" borderId="14" xfId="0" applyNumberFormat="1" applyFont="1" applyFill="1" applyBorder="1" applyAlignment="1" applyProtection="1">
      <alignment horizontal="center" vertical="center"/>
      <protection/>
    </xf>
    <xf numFmtId="0" fontId="75" fillId="23" borderId="20" xfId="0" applyFont="1" applyFill="1" applyBorder="1" applyAlignment="1" applyProtection="1">
      <alignment horizontal="center" vertical="center"/>
      <protection/>
    </xf>
    <xf numFmtId="2" fontId="75" fillId="23" borderId="20" xfId="0" applyNumberFormat="1" applyFont="1" applyFill="1" applyBorder="1" applyAlignment="1" applyProtection="1">
      <alignment horizontal="center" vertical="center"/>
      <protection/>
    </xf>
    <xf numFmtId="180" fontId="74" fillId="23" borderId="20" xfId="42" applyNumberFormat="1" applyFont="1" applyFill="1" applyBorder="1" applyAlignment="1" applyProtection="1">
      <alignment horizontal="center" vertical="center"/>
      <protection/>
    </xf>
    <xf numFmtId="180" fontId="75" fillId="23" borderId="20" xfId="42" applyNumberFormat="1" applyFont="1" applyFill="1" applyBorder="1" applyAlignment="1" applyProtection="1">
      <alignment horizontal="center" vertical="center"/>
      <protection/>
    </xf>
    <xf numFmtId="164" fontId="75" fillId="23" borderId="20" xfId="0" applyNumberFormat="1" applyFont="1" applyFill="1" applyBorder="1" applyAlignment="1" applyProtection="1">
      <alignment horizontal="center" vertical="center"/>
      <protection/>
    </xf>
    <xf numFmtId="164" fontId="75" fillId="23" borderId="19" xfId="0" applyNumberFormat="1" applyFont="1" applyFill="1" applyBorder="1" applyAlignment="1" applyProtection="1">
      <alignment horizontal="center" vertical="center"/>
      <protection/>
    </xf>
    <xf numFmtId="0" fontId="75" fillId="0" borderId="10" xfId="0" applyFont="1" applyFill="1" applyBorder="1" applyAlignment="1" applyProtection="1">
      <alignment horizontal="center" vertical="center"/>
      <protection/>
    </xf>
    <xf numFmtId="176" fontId="75" fillId="0" borderId="10" xfId="0" applyNumberFormat="1" applyFont="1" applyFill="1" applyBorder="1" applyAlignment="1" applyProtection="1">
      <alignment horizontal="center" vertical="center"/>
      <protection/>
    </xf>
    <xf numFmtId="2" fontId="75" fillId="0" borderId="10" xfId="0" applyNumberFormat="1" applyFont="1" applyFill="1" applyBorder="1" applyAlignment="1" applyProtection="1">
      <alignment horizontal="center" vertical="center"/>
      <protection/>
    </xf>
    <xf numFmtId="180" fontId="75" fillId="0" borderId="10" xfId="42" applyNumberFormat="1" applyFont="1" applyFill="1" applyBorder="1" applyAlignment="1" applyProtection="1">
      <alignment horizontal="center" vertical="center"/>
      <protection/>
    </xf>
    <xf numFmtId="0" fontId="75" fillId="0" borderId="14" xfId="0" applyFont="1" applyFill="1" applyBorder="1" applyAlignment="1" applyProtection="1">
      <alignment horizontal="center" vertical="center"/>
      <protection/>
    </xf>
    <xf numFmtId="2" fontId="75" fillId="0" borderId="14" xfId="0" applyNumberFormat="1" applyFont="1" applyFill="1" applyBorder="1" applyAlignment="1" applyProtection="1">
      <alignment horizontal="center" vertical="center"/>
      <protection/>
    </xf>
    <xf numFmtId="180" fontId="75" fillId="0" borderId="14" xfId="42" applyNumberFormat="1" applyFont="1" applyFill="1" applyBorder="1" applyAlignment="1" applyProtection="1">
      <alignment horizontal="center" vertical="center"/>
      <protection/>
    </xf>
    <xf numFmtId="164" fontId="75" fillId="0" borderId="14" xfId="0" applyNumberFormat="1" applyFont="1" applyFill="1" applyBorder="1" applyAlignment="1" applyProtection="1">
      <alignment horizontal="center" vertical="center"/>
      <protection/>
    </xf>
    <xf numFmtId="176" fontId="75" fillId="0" borderId="20" xfId="0" applyNumberFormat="1" applyFont="1" applyFill="1" applyBorder="1" applyAlignment="1" applyProtection="1">
      <alignment horizontal="center" vertical="center"/>
      <protection/>
    </xf>
    <xf numFmtId="0" fontId="76" fillId="0" borderId="0" xfId="0" applyFont="1" applyFill="1" applyAlignment="1" applyProtection="1">
      <alignment vertical="center"/>
      <protection/>
    </xf>
    <xf numFmtId="164" fontId="76" fillId="0" borderId="0" xfId="0" applyNumberFormat="1" applyFont="1" applyFill="1" applyAlignment="1" applyProtection="1">
      <alignment vertical="center"/>
      <protection/>
    </xf>
    <xf numFmtId="0" fontId="76" fillId="0" borderId="0" xfId="0" applyFont="1" applyFill="1" applyAlignment="1">
      <alignment vertical="center"/>
    </xf>
    <xf numFmtId="164" fontId="74" fillId="23" borderId="19" xfId="0" applyNumberFormat="1" applyFont="1" applyFill="1" applyBorder="1" applyAlignment="1" applyProtection="1">
      <alignment horizontal="center" vertical="center"/>
      <protection/>
    </xf>
    <xf numFmtId="0" fontId="74" fillId="0" borderId="15" xfId="0" applyFont="1" applyFill="1" applyBorder="1" applyAlignment="1" applyProtection="1">
      <alignment horizontal="center" vertical="center"/>
      <protection/>
    </xf>
    <xf numFmtId="180" fontId="77" fillId="0" borderId="0" xfId="42" applyNumberFormat="1" applyFont="1" applyFill="1" applyAlignment="1">
      <alignment horizontal="center"/>
    </xf>
    <xf numFmtId="164" fontId="77" fillId="0" borderId="0" xfId="0" applyNumberFormat="1" applyFont="1" applyFill="1" applyAlignment="1">
      <alignment horizontal="center"/>
    </xf>
    <xf numFmtId="2" fontId="79" fillId="0" borderId="0" xfId="61" applyNumberFormat="1" applyFont="1">
      <alignment/>
      <protection/>
    </xf>
    <xf numFmtId="2" fontId="77" fillId="0" borderId="0" xfId="61" applyNumberFormat="1" applyFont="1">
      <alignment/>
      <protection/>
    </xf>
    <xf numFmtId="0" fontId="77" fillId="0" borderId="0" xfId="61" applyFont="1">
      <alignment/>
      <protection/>
    </xf>
    <xf numFmtId="0" fontId="77" fillId="0" borderId="0" xfId="61" applyFont="1" applyAlignment="1">
      <alignment horizontal="center"/>
      <protection/>
    </xf>
    <xf numFmtId="164" fontId="77" fillId="0" borderId="0" xfId="61" applyNumberFormat="1" applyFont="1" applyAlignment="1">
      <alignment horizontal="left"/>
      <protection/>
    </xf>
    <xf numFmtId="16" fontId="72" fillId="0" borderId="0" xfId="61" applyNumberFormat="1" applyFont="1" applyAlignment="1">
      <alignment horizontal="center"/>
      <protection/>
    </xf>
    <xf numFmtId="16" fontId="77" fillId="0" borderId="0" xfId="61" applyNumberFormat="1" applyFont="1" applyAlignment="1">
      <alignment horizontal="center"/>
      <protection/>
    </xf>
    <xf numFmtId="2" fontId="77" fillId="0" borderId="0" xfId="61" applyNumberFormat="1" applyFont="1" applyAlignment="1">
      <alignment horizontal="center"/>
      <protection/>
    </xf>
    <xf numFmtId="16" fontId="74" fillId="24" borderId="23" xfId="0" applyNumberFormat="1" applyFont="1" applyFill="1" applyBorder="1" applyAlignment="1">
      <alignment horizontal="center" vertical="center"/>
    </xf>
    <xf numFmtId="1" fontId="74" fillId="24" borderId="11" xfId="0" applyNumberFormat="1" applyFont="1" applyFill="1" applyBorder="1" applyAlignment="1">
      <alignment horizontal="center" vertical="center"/>
    </xf>
    <xf numFmtId="1" fontId="74" fillId="24" borderId="24" xfId="0" applyNumberFormat="1" applyFont="1" applyFill="1" applyBorder="1" applyAlignment="1">
      <alignment horizontal="center" vertical="center"/>
    </xf>
    <xf numFmtId="2" fontId="79" fillId="0" borderId="0" xfId="61" applyNumberFormat="1" applyFont="1" applyAlignment="1">
      <alignment vertical="center"/>
      <protection/>
    </xf>
    <xf numFmtId="2" fontId="77" fillId="0" borderId="0" xfId="61" applyNumberFormat="1" applyFont="1" applyAlignment="1">
      <alignment vertical="center"/>
      <protection/>
    </xf>
    <xf numFmtId="0" fontId="77" fillId="0" borderId="0" xfId="61" applyFont="1" applyAlignment="1">
      <alignment vertical="center"/>
      <protection/>
    </xf>
    <xf numFmtId="0" fontId="77" fillId="0" borderId="0" xfId="61" applyFont="1" applyAlignment="1">
      <alignment horizontal="center" vertical="center"/>
      <protection/>
    </xf>
    <xf numFmtId="164" fontId="77" fillId="0" borderId="0" xfId="61" applyNumberFormat="1" applyFont="1" applyAlignment="1">
      <alignment horizontal="left" vertical="center"/>
      <protection/>
    </xf>
    <xf numFmtId="1" fontId="74" fillId="24" borderId="21" xfId="0" applyNumberFormat="1" applyFont="1" applyFill="1" applyBorder="1" applyAlignment="1">
      <alignment horizontal="center" vertical="center"/>
    </xf>
    <xf numFmtId="1" fontId="74" fillId="24" borderId="15" xfId="0" applyNumberFormat="1" applyFont="1" applyFill="1" applyBorder="1" applyAlignment="1">
      <alignment horizontal="center" vertical="center"/>
    </xf>
    <xf numFmtId="1" fontId="74" fillId="24" borderId="29" xfId="0" applyNumberFormat="1" applyFont="1" applyFill="1" applyBorder="1" applyAlignment="1">
      <alignment horizontal="center" vertical="center"/>
    </xf>
    <xf numFmtId="16" fontId="74" fillId="24" borderId="25" xfId="0" applyNumberFormat="1" applyFont="1" applyFill="1" applyBorder="1" applyAlignment="1" quotePrefix="1">
      <alignment horizontal="center" vertical="center"/>
    </xf>
    <xf numFmtId="1" fontId="74" fillId="24" borderId="20" xfId="0" applyNumberFormat="1" applyFont="1" applyFill="1" applyBorder="1" applyAlignment="1">
      <alignment horizontal="center" vertical="center"/>
    </xf>
    <xf numFmtId="1" fontId="74" fillId="24" borderId="19" xfId="0" applyNumberFormat="1" applyFont="1" applyFill="1" applyBorder="1" applyAlignment="1">
      <alignment horizontal="center" vertical="center"/>
    </xf>
    <xf numFmtId="16" fontId="74" fillId="24" borderId="19" xfId="0" applyNumberFormat="1" applyFont="1" applyFill="1" applyBorder="1" applyAlignment="1">
      <alignment horizontal="center" vertical="center"/>
    </xf>
    <xf numFmtId="16" fontId="74" fillId="0" borderId="18" xfId="61" applyNumberFormat="1" applyFont="1" applyBorder="1" applyAlignment="1">
      <alignment horizontal="center" vertical="center"/>
      <protection/>
    </xf>
    <xf numFmtId="2" fontId="74" fillId="0" borderId="18" xfId="61" applyNumberFormat="1" applyFont="1" applyBorder="1" applyAlignment="1">
      <alignment horizontal="center" vertical="center"/>
      <protection/>
    </xf>
    <xf numFmtId="0" fontId="77" fillId="0" borderId="0" xfId="61" applyFont="1" applyBorder="1" applyAlignment="1">
      <alignment vertical="center"/>
      <protection/>
    </xf>
    <xf numFmtId="0" fontId="77" fillId="0" borderId="0" xfId="61" applyFont="1" applyBorder="1" applyAlignment="1">
      <alignment horizontal="center" vertical="center"/>
      <protection/>
    </xf>
    <xf numFmtId="2" fontId="77" fillId="0" borderId="0" xfId="61" applyNumberFormat="1" applyFont="1" applyBorder="1" applyAlignment="1">
      <alignment vertical="center"/>
      <protection/>
    </xf>
    <xf numFmtId="164" fontId="77" fillId="0" borderId="0" xfId="61" applyNumberFormat="1" applyFont="1" applyBorder="1" applyAlignment="1">
      <alignment horizontal="left" vertical="center"/>
      <protection/>
    </xf>
    <xf numFmtId="16" fontId="74" fillId="0" borderId="12" xfId="61" applyNumberFormat="1" applyFont="1" applyFill="1" applyBorder="1" applyAlignment="1">
      <alignment horizontal="center" vertical="center"/>
      <protection/>
    </xf>
    <xf numFmtId="2" fontId="74" fillId="0" borderId="12" xfId="61" applyNumberFormat="1" applyFont="1" applyBorder="1" applyAlignment="1">
      <alignment horizontal="center" vertical="center"/>
      <protection/>
    </xf>
    <xf numFmtId="2" fontId="74" fillId="0" borderId="11" xfId="61" applyNumberFormat="1" applyFont="1" applyBorder="1" applyAlignment="1">
      <alignment horizontal="center" vertical="center"/>
      <protection/>
    </xf>
    <xf numFmtId="16" fontId="74" fillId="0" borderId="10" xfId="61" applyNumberFormat="1" applyFont="1" applyFill="1" applyBorder="1" applyAlignment="1">
      <alignment horizontal="center" vertical="center"/>
      <protection/>
    </xf>
    <xf numFmtId="2" fontId="74" fillId="0" borderId="10" xfId="61" applyNumberFormat="1" applyFont="1" applyBorder="1" applyAlignment="1">
      <alignment horizontal="center" vertical="center"/>
      <protection/>
    </xf>
    <xf numFmtId="2" fontId="74" fillId="0" borderId="22" xfId="61" applyNumberFormat="1" applyFont="1" applyBorder="1" applyAlignment="1">
      <alignment horizontal="center" vertical="center"/>
      <protection/>
    </xf>
    <xf numFmtId="2" fontId="74" fillId="0" borderId="17" xfId="61" applyNumberFormat="1" applyFont="1" applyBorder="1" applyAlignment="1">
      <alignment horizontal="center" vertical="center"/>
      <protection/>
    </xf>
    <xf numFmtId="2" fontId="74" fillId="0" borderId="16" xfId="61" applyNumberFormat="1" applyFont="1" applyBorder="1" applyAlignment="1">
      <alignment horizontal="center" vertical="center"/>
      <protection/>
    </xf>
    <xf numFmtId="2" fontId="77" fillId="0" borderId="0" xfId="61" applyNumberFormat="1" applyFont="1" applyAlignment="1">
      <alignment horizontal="left" vertical="center"/>
      <protection/>
    </xf>
    <xf numFmtId="2" fontId="74" fillId="0" borderId="21" xfId="61" applyNumberFormat="1" applyFont="1" applyBorder="1" applyAlignment="1">
      <alignment horizontal="center" vertical="center"/>
      <protection/>
    </xf>
    <xf numFmtId="2" fontId="74" fillId="0" borderId="14" xfId="61" applyNumberFormat="1" applyFont="1" applyBorder="1" applyAlignment="1">
      <alignment horizontal="center" vertical="center"/>
      <protection/>
    </xf>
    <xf numFmtId="1" fontId="77" fillId="0" borderId="0" xfId="61" applyNumberFormat="1" applyFont="1" applyAlignment="1">
      <alignment horizontal="center" vertical="center"/>
      <protection/>
    </xf>
    <xf numFmtId="164" fontId="77" fillId="0" borderId="0" xfId="61" applyNumberFormat="1" applyFont="1" applyAlignment="1">
      <alignment vertical="center"/>
      <protection/>
    </xf>
    <xf numFmtId="164" fontId="77" fillId="0" borderId="0" xfId="61" applyNumberFormat="1" applyFont="1" applyAlignment="1">
      <alignment horizontal="center" vertical="center"/>
      <protection/>
    </xf>
    <xf numFmtId="1" fontId="77" fillId="0" borderId="0" xfId="61" applyNumberFormat="1" applyFont="1" applyAlignment="1">
      <alignment horizontal="left" vertical="center"/>
      <protection/>
    </xf>
    <xf numFmtId="16" fontId="74" fillId="0" borderId="40" xfId="61" applyNumberFormat="1" applyFont="1" applyFill="1" applyBorder="1" applyAlignment="1">
      <alignment horizontal="center" vertical="center"/>
      <protection/>
    </xf>
    <xf numFmtId="2" fontId="74" fillId="0" borderId="40" xfId="61" applyNumberFormat="1" applyFont="1" applyBorder="1" applyAlignment="1">
      <alignment horizontal="center" vertical="center"/>
      <protection/>
    </xf>
    <xf numFmtId="16" fontId="74" fillId="0" borderId="41" xfId="61" applyNumberFormat="1" applyFont="1" applyFill="1" applyBorder="1" applyAlignment="1">
      <alignment horizontal="center" vertical="center"/>
      <protection/>
    </xf>
    <xf numFmtId="2" fontId="74" fillId="0" borderId="42" xfId="61" applyNumberFormat="1" applyFont="1" applyBorder="1" applyAlignment="1">
      <alignment horizontal="center" vertical="center"/>
      <protection/>
    </xf>
    <xf numFmtId="2" fontId="74" fillId="0" borderId="41" xfId="61" applyNumberFormat="1" applyFont="1" applyBorder="1" applyAlignment="1">
      <alignment horizontal="center" vertical="center"/>
      <protection/>
    </xf>
    <xf numFmtId="2" fontId="74" fillId="0" borderId="34" xfId="61" applyNumberFormat="1" applyFont="1" applyBorder="1" applyAlignment="1">
      <alignment horizontal="center" vertical="center"/>
      <protection/>
    </xf>
    <xf numFmtId="2" fontId="74" fillId="0" borderId="38" xfId="61" applyNumberFormat="1" applyFont="1" applyBorder="1" applyAlignment="1">
      <alignment horizontal="center" vertical="center"/>
      <protection/>
    </xf>
    <xf numFmtId="2" fontId="74" fillId="0" borderId="15" xfId="61" applyNumberFormat="1" applyFont="1" applyBorder="1" applyAlignment="1">
      <alignment horizontal="center" vertical="center"/>
      <protection/>
    </xf>
    <xf numFmtId="16" fontId="74" fillId="0" borderId="13" xfId="61" applyNumberFormat="1" applyFont="1" applyFill="1" applyBorder="1" applyAlignment="1">
      <alignment horizontal="center" vertical="center"/>
      <protection/>
    </xf>
    <xf numFmtId="2" fontId="74" fillId="0" borderId="13" xfId="61" applyNumberFormat="1" applyFont="1" applyBorder="1" applyAlignment="1">
      <alignment horizontal="center" vertical="center"/>
      <protection/>
    </xf>
    <xf numFmtId="16" fontId="74" fillId="0" borderId="14" xfId="61" applyNumberFormat="1" applyFont="1" applyFill="1" applyBorder="1" applyAlignment="1">
      <alignment horizontal="center" vertical="center"/>
      <protection/>
    </xf>
    <xf numFmtId="2" fontId="74" fillId="0" borderId="14" xfId="61" applyNumberFormat="1" applyFont="1" applyBorder="1" applyAlignment="1">
      <alignment horizontal="left" vertical="center"/>
      <protection/>
    </xf>
    <xf numFmtId="16" fontId="74" fillId="0" borderId="20" xfId="61" applyNumberFormat="1" applyFont="1" applyFill="1" applyBorder="1" applyAlignment="1">
      <alignment horizontal="center" vertical="center"/>
      <protection/>
    </xf>
    <xf numFmtId="2" fontId="74" fillId="0" borderId="20" xfId="61" applyNumberFormat="1" applyFont="1" applyBorder="1" applyAlignment="1">
      <alignment horizontal="center" vertical="center"/>
      <protection/>
    </xf>
    <xf numFmtId="16" fontId="74" fillId="23" borderId="10" xfId="61" applyNumberFormat="1" applyFont="1" applyFill="1" applyBorder="1" applyAlignment="1">
      <alignment horizontal="center" vertical="center"/>
      <protection/>
    </xf>
    <xf numFmtId="2" fontId="74" fillId="23" borderId="14" xfId="61" applyNumberFormat="1" applyFont="1" applyFill="1" applyBorder="1" applyAlignment="1">
      <alignment horizontal="center" vertical="center"/>
      <protection/>
    </xf>
    <xf numFmtId="2" fontId="74" fillId="23" borderId="10" xfId="61" applyNumberFormat="1" applyFont="1" applyFill="1" applyBorder="1" applyAlignment="1">
      <alignment horizontal="center" vertical="center"/>
      <protection/>
    </xf>
    <xf numFmtId="16" fontId="74" fillId="0" borderId="18" xfId="61" applyNumberFormat="1" applyFont="1" applyBorder="1" applyAlignment="1">
      <alignment horizontal="left" vertical="center"/>
      <protection/>
    </xf>
    <xf numFmtId="1" fontId="77" fillId="0" borderId="0" xfId="61" applyNumberFormat="1" applyFont="1" applyAlignment="1">
      <alignment vertical="center"/>
      <protection/>
    </xf>
    <xf numFmtId="16" fontId="74" fillId="0" borderId="26" xfId="61" applyNumberFormat="1" applyFont="1" applyBorder="1" applyAlignment="1">
      <alignment horizontal="left" vertical="center"/>
      <protection/>
    </xf>
    <xf numFmtId="2" fontId="74" fillId="0" borderId="26" xfId="61" applyNumberFormat="1" applyFont="1" applyBorder="1" applyAlignment="1">
      <alignment horizontal="center" vertical="center"/>
      <protection/>
    </xf>
    <xf numFmtId="2" fontId="74" fillId="20" borderId="19" xfId="61" applyNumberFormat="1" applyFont="1" applyFill="1" applyBorder="1" applyAlignment="1">
      <alignment horizontal="center" vertical="center"/>
      <protection/>
    </xf>
    <xf numFmtId="0" fontId="74" fillId="0" borderId="43" xfId="61" applyFont="1" applyBorder="1" applyAlignment="1">
      <alignment vertical="center"/>
      <protection/>
    </xf>
    <xf numFmtId="2" fontId="74" fillId="0" borderId="43" xfId="61" applyNumberFormat="1" applyFont="1" applyBorder="1" applyAlignment="1">
      <alignment horizontal="center" vertical="center"/>
      <protection/>
    </xf>
    <xf numFmtId="2" fontId="77" fillId="0" borderId="0" xfId="61" applyNumberFormat="1" applyFont="1" applyAlignment="1">
      <alignment horizontal="center" vertical="center"/>
      <protection/>
    </xf>
    <xf numFmtId="16" fontId="79" fillId="0" borderId="0" xfId="61" applyNumberFormat="1" applyFont="1" applyAlignment="1">
      <alignment horizontal="left" vertical="center"/>
      <protection/>
    </xf>
    <xf numFmtId="2" fontId="79" fillId="0" borderId="0" xfId="61" applyNumberFormat="1" applyFont="1" applyAlignment="1">
      <alignment horizontal="center" vertical="center"/>
      <protection/>
    </xf>
    <xf numFmtId="0" fontId="79" fillId="0" borderId="0" xfId="61" applyFont="1" applyAlignment="1">
      <alignment vertical="center"/>
      <protection/>
    </xf>
    <xf numFmtId="0" fontId="79" fillId="0" borderId="0" xfId="61" applyFont="1" applyAlignment="1">
      <alignment horizontal="center" vertical="center"/>
      <protection/>
    </xf>
    <xf numFmtId="164" fontId="79" fillId="0" borderId="0" xfId="61" applyNumberFormat="1" applyFont="1" applyAlignment="1">
      <alignment horizontal="left" vertical="center"/>
      <protection/>
    </xf>
    <xf numFmtId="0" fontId="77" fillId="0" borderId="0" xfId="61" applyFont="1" applyAlignment="1">
      <alignment horizontal="left"/>
      <protection/>
    </xf>
    <xf numFmtId="2" fontId="80" fillId="0" borderId="0" xfId="61" applyNumberFormat="1" applyFont="1" applyAlignment="1">
      <alignment horizontal="left"/>
      <protection/>
    </xf>
    <xf numFmtId="180" fontId="74" fillId="20" borderId="21" xfId="42" applyNumberFormat="1" applyFont="1" applyFill="1" applyBorder="1" applyAlignment="1">
      <alignment horizontal="center" vertical="center"/>
    </xf>
    <xf numFmtId="0" fontId="74" fillId="0" borderId="29" xfId="0" applyFont="1" applyFill="1" applyBorder="1" applyAlignment="1">
      <alignment horizontal="center" vertical="center"/>
    </xf>
    <xf numFmtId="180" fontId="74" fillId="26" borderId="0" xfId="42" applyNumberFormat="1" applyFont="1" applyFill="1" applyBorder="1" applyAlignment="1">
      <alignment horizontal="center" vertical="center"/>
    </xf>
    <xf numFmtId="180" fontId="74" fillId="20" borderId="25" xfId="42" applyNumberFormat="1" applyFont="1" applyFill="1" applyBorder="1" applyAlignment="1">
      <alignment horizontal="center" vertical="center"/>
    </xf>
    <xf numFmtId="180" fontId="74" fillId="20" borderId="23" xfId="42" applyNumberFormat="1" applyFont="1" applyFill="1" applyBorder="1" applyAlignment="1">
      <alignment horizontal="center" vertical="center"/>
    </xf>
    <xf numFmtId="180" fontId="74" fillId="20" borderId="29" xfId="42" applyNumberFormat="1" applyFont="1" applyFill="1" applyBorder="1" applyAlignment="1">
      <alignment horizontal="center" vertical="center"/>
    </xf>
    <xf numFmtId="180" fontId="74" fillId="20" borderId="27" xfId="42" applyNumberFormat="1" applyFont="1" applyFill="1" applyBorder="1" applyAlignment="1">
      <alignment horizontal="center" vertical="center"/>
    </xf>
    <xf numFmtId="16" fontId="9" fillId="26" borderId="20" xfId="0" applyNumberFormat="1" applyFont="1" applyFill="1" applyBorder="1" applyAlignment="1">
      <alignment horizontal="center" vertical="center"/>
    </xf>
    <xf numFmtId="1" fontId="9" fillId="26" borderId="20" xfId="0" applyNumberFormat="1" applyFont="1" applyFill="1" applyBorder="1" applyAlignment="1">
      <alignment horizontal="fill" vertical="center"/>
    </xf>
    <xf numFmtId="164" fontId="9" fillId="26" borderId="20" xfId="0" applyNumberFormat="1" applyFont="1" applyFill="1" applyBorder="1" applyAlignment="1">
      <alignment horizontal="fill" vertical="center"/>
    </xf>
    <xf numFmtId="164" fontId="9" fillId="20" borderId="24" xfId="0" applyNumberFormat="1" applyFont="1" applyFill="1" applyBorder="1" applyAlignment="1">
      <alignment horizontal="center" vertical="center"/>
    </xf>
    <xf numFmtId="164" fontId="9" fillId="20" borderId="27" xfId="0" applyNumberFormat="1" applyFont="1" applyFill="1" applyBorder="1" applyAlignment="1">
      <alignment horizontal="center" vertical="center"/>
    </xf>
    <xf numFmtId="2" fontId="14" fillId="0" borderId="0" xfId="58" applyNumberFormat="1" applyFont="1" applyBorder="1" applyAlignment="1">
      <alignment horizontal="center" vertical="center"/>
      <protection/>
    </xf>
    <xf numFmtId="2" fontId="14" fillId="0" borderId="0" xfId="59" applyNumberFormat="1" applyFont="1" applyBorder="1" applyAlignment="1">
      <alignment horizontal="center" vertical="center"/>
      <protection/>
    </xf>
    <xf numFmtId="2" fontId="9" fillId="0" borderId="0" xfId="59" applyNumberFormat="1" applyFont="1" applyBorder="1" applyAlignment="1">
      <alignment horizontal="center"/>
      <protection/>
    </xf>
    <xf numFmtId="2" fontId="25" fillId="0" borderId="0" xfId="59" applyNumberFormat="1" applyFont="1" applyAlignment="1">
      <alignment horizontal="center"/>
      <protection/>
    </xf>
    <xf numFmtId="2" fontId="23" fillId="0" borderId="0" xfId="59" applyNumberFormat="1" applyFont="1" applyAlignment="1">
      <alignment horizontal="center"/>
      <protection/>
    </xf>
    <xf numFmtId="2" fontId="24" fillId="0" borderId="0" xfId="59" applyNumberFormat="1" applyFont="1" applyAlignment="1">
      <alignment horizontal="center"/>
      <protection/>
    </xf>
    <xf numFmtId="15" fontId="9" fillId="20" borderId="30" xfId="60" applyNumberFormat="1" applyFont="1" applyFill="1" applyBorder="1" applyAlignment="1" applyProtection="1">
      <alignment horizontal="center"/>
      <protection/>
    </xf>
    <xf numFmtId="15" fontId="9" fillId="20" borderId="43" xfId="60" applyNumberFormat="1" applyFont="1" applyFill="1" applyBorder="1" applyAlignment="1" applyProtection="1">
      <alignment horizontal="center"/>
      <protection/>
    </xf>
    <xf numFmtId="15" fontId="9" fillId="20" borderId="31" xfId="60" applyNumberFormat="1" applyFont="1" applyFill="1" applyBorder="1" applyAlignment="1" applyProtection="1">
      <alignment horizontal="center"/>
      <protection/>
    </xf>
    <xf numFmtId="0" fontId="9" fillId="23" borderId="30" xfId="0" applyFont="1" applyFill="1" applyBorder="1" applyAlignment="1" applyProtection="1">
      <alignment horizontal="center" vertical="center"/>
      <protection/>
    </xf>
    <xf numFmtId="0" fontId="9" fillId="23" borderId="43" xfId="0" applyFont="1" applyFill="1" applyBorder="1" applyAlignment="1" applyProtection="1" quotePrefix="1">
      <alignment horizontal="center" vertical="center"/>
      <protection/>
    </xf>
    <xf numFmtId="0" fontId="9" fillId="23" borderId="31" xfId="0" applyFont="1" applyFill="1" applyBorder="1" applyAlignment="1" applyProtection="1" quotePrefix="1">
      <alignment horizontal="center" vertical="center"/>
      <protection/>
    </xf>
    <xf numFmtId="0" fontId="9" fillId="23" borderId="25" xfId="0" applyFont="1" applyFill="1" applyBorder="1" applyAlignment="1" applyProtection="1">
      <alignment horizontal="center" vertical="center"/>
      <protection/>
    </xf>
    <xf numFmtId="0" fontId="9" fillId="23" borderId="26" xfId="0" applyFont="1" applyFill="1" applyBorder="1" applyAlignment="1" applyProtection="1" quotePrefix="1">
      <alignment horizontal="center" vertical="center"/>
      <protection/>
    </xf>
    <xf numFmtId="0" fontId="9" fillId="23" borderId="27" xfId="0" applyFont="1" applyFill="1" applyBorder="1" applyAlignment="1" applyProtection="1" quotePrefix="1">
      <alignment horizontal="center" vertical="center"/>
      <protection/>
    </xf>
    <xf numFmtId="0" fontId="74" fillId="20" borderId="20" xfId="0" applyFont="1" applyFill="1" applyBorder="1" applyAlignment="1">
      <alignment horizontal="center" vertical="center"/>
    </xf>
    <xf numFmtId="0" fontId="74" fillId="20" borderId="15" xfId="0" applyFont="1" applyFill="1" applyBorder="1" applyAlignment="1">
      <alignment horizontal="center" vertical="center"/>
    </xf>
    <xf numFmtId="0" fontId="74" fillId="20" borderId="30" xfId="0" applyFont="1" applyFill="1" applyBorder="1" applyAlignment="1" applyProtection="1">
      <alignment horizontal="right" vertical="center"/>
      <protection/>
    </xf>
    <xf numFmtId="0" fontId="78" fillId="20" borderId="43" xfId="0" applyFont="1" applyFill="1" applyBorder="1" applyAlignment="1">
      <alignment horizontal="right" vertical="center"/>
    </xf>
    <xf numFmtId="0" fontId="78" fillId="20" borderId="31" xfId="0" applyFont="1" applyFill="1" applyBorder="1" applyAlignment="1">
      <alignment horizontal="right" vertical="center"/>
    </xf>
    <xf numFmtId="1" fontId="74" fillId="0" borderId="0" xfId="0" applyNumberFormat="1" applyFont="1" applyFill="1" applyBorder="1" applyAlignment="1" applyProtection="1">
      <alignment vertical="center"/>
      <protection/>
    </xf>
    <xf numFmtId="2" fontId="81" fillId="0" borderId="0" xfId="59" applyNumberFormat="1" applyFont="1" applyAlignment="1">
      <alignment horizontal="center"/>
      <protection/>
    </xf>
    <xf numFmtId="2" fontId="72" fillId="0" borderId="0" xfId="59" applyNumberFormat="1" applyFont="1" applyAlignment="1">
      <alignment horizontal="center"/>
      <protection/>
    </xf>
    <xf numFmtId="0" fontId="74" fillId="20" borderId="11" xfId="0" applyFont="1" applyFill="1" applyBorder="1" applyAlignment="1">
      <alignment horizontal="center" vertical="center"/>
    </xf>
    <xf numFmtId="0" fontId="9" fillId="20" borderId="30" xfId="0" applyFont="1" applyFill="1" applyBorder="1" applyAlignment="1">
      <alignment horizontal="center" vertical="center"/>
    </xf>
    <xf numFmtId="0" fontId="9" fillId="20" borderId="43" xfId="0" applyFont="1" applyFill="1" applyBorder="1" applyAlignment="1">
      <alignment horizontal="center" vertical="center"/>
    </xf>
    <xf numFmtId="0" fontId="9" fillId="20" borderId="31" xfId="0" applyFont="1" applyFill="1" applyBorder="1" applyAlignment="1">
      <alignment horizontal="center" vertical="center"/>
    </xf>
    <xf numFmtId="165" fontId="33" fillId="20" borderId="11" xfId="0" applyNumberFormat="1" applyFont="1" applyFill="1" applyBorder="1" applyAlignment="1">
      <alignment horizontal="center" vertical="center"/>
    </xf>
    <xf numFmtId="165" fontId="33" fillId="20" borderId="15" xfId="0" applyNumberFormat="1" applyFont="1" applyFill="1" applyBorder="1" applyAlignment="1">
      <alignment horizontal="center" vertical="center"/>
    </xf>
    <xf numFmtId="165" fontId="33" fillId="20" borderId="20" xfId="0" applyNumberFormat="1" applyFont="1" applyFill="1" applyBorder="1" applyAlignment="1">
      <alignment horizontal="center" vertical="center"/>
    </xf>
    <xf numFmtId="165" fontId="33" fillId="20" borderId="11" xfId="0" applyNumberFormat="1" applyFont="1" applyFill="1" applyBorder="1" applyAlignment="1">
      <alignment horizontal="center" vertical="center"/>
    </xf>
    <xf numFmtId="165" fontId="33" fillId="20" borderId="15" xfId="0" applyNumberFormat="1" applyFont="1" applyFill="1" applyBorder="1" applyAlignment="1">
      <alignment horizontal="center" vertical="center"/>
    </xf>
    <xf numFmtId="165" fontId="33" fillId="20" borderId="20" xfId="0" applyNumberFormat="1" applyFont="1" applyFill="1" applyBorder="1" applyAlignment="1">
      <alignment horizontal="center" vertical="center"/>
    </xf>
    <xf numFmtId="165" fontId="5" fillId="20" borderId="11" xfId="0" applyNumberFormat="1" applyFont="1" applyFill="1" applyBorder="1" applyAlignment="1">
      <alignment horizontal="center" vertical="center"/>
    </xf>
    <xf numFmtId="165" fontId="5" fillId="20" borderId="15" xfId="0" applyNumberFormat="1" applyFont="1" applyFill="1" applyBorder="1" applyAlignment="1">
      <alignment horizontal="center" vertical="center"/>
    </xf>
    <xf numFmtId="165" fontId="5" fillId="20" borderId="20" xfId="0" applyNumberFormat="1" applyFont="1" applyFill="1" applyBorder="1" applyAlignment="1">
      <alignment horizontal="center" vertical="center"/>
    </xf>
    <xf numFmtId="1" fontId="9" fillId="20" borderId="30" xfId="0" applyNumberFormat="1" applyFont="1" applyFill="1" applyBorder="1" applyAlignment="1">
      <alignment horizontal="center" vertical="center"/>
    </xf>
    <xf numFmtId="1" fontId="9" fillId="20" borderId="31" xfId="0" applyNumberFormat="1" applyFont="1" applyFill="1" applyBorder="1" applyAlignment="1">
      <alignment horizontal="center" vertical="center"/>
    </xf>
    <xf numFmtId="2" fontId="9" fillId="20" borderId="30" xfId="0" applyNumberFormat="1" applyFont="1" applyFill="1" applyBorder="1" applyAlignment="1">
      <alignment horizontal="center" vertical="center"/>
    </xf>
    <xf numFmtId="2" fontId="9" fillId="20" borderId="31" xfId="0" applyNumberFormat="1" applyFont="1" applyFill="1" applyBorder="1" applyAlignment="1">
      <alignment horizontal="center" vertical="center"/>
    </xf>
    <xf numFmtId="1" fontId="9" fillId="20" borderId="43" xfId="0" applyNumberFormat="1" applyFont="1" applyFill="1" applyBorder="1" applyAlignment="1">
      <alignment horizontal="center" vertical="center"/>
    </xf>
    <xf numFmtId="165" fontId="5" fillId="20" borderId="11" xfId="0" applyNumberFormat="1" applyFont="1" applyFill="1" applyBorder="1" applyAlignment="1">
      <alignment vertical="center"/>
    </xf>
    <xf numFmtId="165" fontId="5" fillId="20" borderId="15" xfId="0" applyNumberFormat="1" applyFont="1" applyFill="1" applyBorder="1" applyAlignment="1">
      <alignment vertical="center"/>
    </xf>
    <xf numFmtId="165" fontId="16" fillId="20" borderId="20" xfId="0" applyNumberFormat="1" applyFont="1" applyFill="1" applyBorder="1" applyAlignment="1">
      <alignment vertical="center"/>
    </xf>
    <xf numFmtId="165" fontId="0" fillId="20" borderId="20" xfId="0" applyNumberFormat="1" applyFill="1" applyBorder="1" applyAlignment="1">
      <alignment horizontal="center" vertical="center"/>
    </xf>
    <xf numFmtId="165" fontId="0" fillId="20" borderId="20" xfId="0" applyNumberFormat="1" applyFont="1" applyFill="1" applyBorder="1" applyAlignment="1">
      <alignment horizontal="center" vertical="center"/>
    </xf>
    <xf numFmtId="165" fontId="16" fillId="20" borderId="20" xfId="0" applyNumberFormat="1" applyFont="1" applyFill="1" applyBorder="1" applyAlignment="1">
      <alignment horizontal="center" vertical="center"/>
    </xf>
    <xf numFmtId="1" fontId="5" fillId="20" borderId="30" xfId="0" applyNumberFormat="1" applyFont="1" applyFill="1" applyBorder="1" applyAlignment="1" applyProtection="1">
      <alignment horizontal="center"/>
      <protection/>
    </xf>
    <xf numFmtId="1" fontId="5" fillId="20" borderId="43" xfId="0" applyNumberFormat="1" applyFont="1" applyFill="1" applyBorder="1" applyAlignment="1" applyProtection="1">
      <alignment horizontal="center"/>
      <protection/>
    </xf>
    <xf numFmtId="1" fontId="5" fillId="20" borderId="31" xfId="0" applyNumberFormat="1" applyFont="1" applyFill="1" applyBorder="1" applyAlignment="1" applyProtection="1">
      <alignment horizontal="center"/>
      <protection/>
    </xf>
    <xf numFmtId="1" fontId="5" fillId="20" borderId="30" xfId="0" applyNumberFormat="1" applyFont="1" applyFill="1" applyBorder="1" applyAlignment="1">
      <alignment horizontal="center"/>
    </xf>
    <xf numFmtId="1" fontId="5" fillId="20" borderId="31" xfId="0" applyNumberFormat="1" applyFont="1" applyFill="1" applyBorder="1" applyAlignment="1">
      <alignment horizontal="center"/>
    </xf>
    <xf numFmtId="2" fontId="5" fillId="20" borderId="30" xfId="0" applyNumberFormat="1" applyFont="1" applyFill="1" applyBorder="1" applyAlignment="1" applyProtection="1">
      <alignment horizontal="center"/>
      <protection/>
    </xf>
    <xf numFmtId="2" fontId="5" fillId="20" borderId="43" xfId="0" applyNumberFormat="1" applyFont="1" applyFill="1" applyBorder="1" applyAlignment="1" applyProtection="1">
      <alignment horizontal="center"/>
      <protection/>
    </xf>
    <xf numFmtId="2" fontId="5" fillId="20" borderId="31" xfId="0" applyNumberFormat="1" applyFont="1" applyFill="1" applyBorder="1" applyAlignment="1" applyProtection="1">
      <alignment horizontal="center"/>
      <protection/>
    </xf>
    <xf numFmtId="165" fontId="5" fillId="20" borderId="20" xfId="0" applyNumberFormat="1" applyFont="1" applyFill="1" applyBorder="1" applyAlignment="1">
      <alignment vertical="center"/>
    </xf>
    <xf numFmtId="1" fontId="9" fillId="20" borderId="30" xfId="0" applyNumberFormat="1" applyFont="1" applyFill="1" applyBorder="1" applyAlignment="1" applyProtection="1">
      <alignment horizontal="center" vertical="center"/>
      <protection locked="0"/>
    </xf>
    <xf numFmtId="1" fontId="9" fillId="20" borderId="31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73" fillId="0" borderId="0" xfId="60" applyFont="1" applyAlignment="1">
      <alignment horizontal="center"/>
      <protection/>
    </xf>
    <xf numFmtId="180" fontId="74" fillId="20" borderId="23" xfId="42" applyNumberFormat="1" applyFont="1" applyFill="1" applyBorder="1" applyAlignment="1">
      <alignment horizontal="center" vertical="center"/>
    </xf>
    <xf numFmtId="180" fontId="74" fillId="20" borderId="18" xfId="42" applyNumberFormat="1" applyFont="1" applyFill="1" applyBorder="1" applyAlignment="1">
      <alignment horizontal="center" vertical="center"/>
    </xf>
    <xf numFmtId="2" fontId="24" fillId="0" borderId="26" xfId="59" applyNumberFormat="1" applyFont="1" applyBorder="1" applyAlignment="1">
      <alignment horizontal="center" vertical="center"/>
      <protection/>
    </xf>
    <xf numFmtId="1" fontId="9" fillId="4" borderId="30" xfId="0" applyNumberFormat="1" applyFont="1" applyFill="1" applyBorder="1" applyAlignment="1" applyProtection="1">
      <alignment horizontal="center" vertical="center"/>
      <protection/>
    </xf>
    <xf numFmtId="1" fontId="9" fillId="4" borderId="43" xfId="0" applyNumberFormat="1" applyFont="1" applyFill="1" applyBorder="1" applyAlignment="1" applyProtection="1">
      <alignment horizontal="center" vertical="center"/>
      <protection/>
    </xf>
    <xf numFmtId="1" fontId="9" fillId="4" borderId="31" xfId="0" applyNumberFormat="1" applyFont="1" applyFill="1" applyBorder="1" applyAlignment="1" applyProtection="1">
      <alignment horizontal="center" vertical="center"/>
      <protection/>
    </xf>
    <xf numFmtId="1" fontId="9" fillId="4" borderId="30" xfId="0" applyNumberFormat="1" applyFont="1" applyFill="1" applyBorder="1" applyAlignment="1" applyProtection="1">
      <alignment horizontal="right" vertical="center"/>
      <protection/>
    </xf>
    <xf numFmtId="1" fontId="9" fillId="4" borderId="43" xfId="0" applyNumberFormat="1" applyFont="1" applyFill="1" applyBorder="1" applyAlignment="1" applyProtection="1">
      <alignment horizontal="right" vertical="center"/>
      <protection/>
    </xf>
    <xf numFmtId="164" fontId="9" fillId="4" borderId="30" xfId="0" applyNumberFormat="1" applyFont="1" applyFill="1" applyBorder="1" applyAlignment="1">
      <alignment horizontal="right" vertical="center"/>
    </xf>
    <xf numFmtId="164" fontId="9" fillId="4" borderId="43" xfId="0" applyNumberFormat="1" applyFont="1" applyFill="1" applyBorder="1" applyAlignment="1">
      <alignment horizontal="right" vertical="center"/>
    </xf>
    <xf numFmtId="164" fontId="9" fillId="20" borderId="30" xfId="0" applyNumberFormat="1" applyFont="1" applyFill="1" applyBorder="1" applyAlignment="1">
      <alignment horizontal="right" vertical="center"/>
    </xf>
    <xf numFmtId="164" fontId="9" fillId="20" borderId="43" xfId="0" applyNumberFormat="1" applyFont="1" applyFill="1" applyBorder="1" applyAlignment="1">
      <alignment horizontal="right" vertical="center"/>
    </xf>
    <xf numFmtId="1" fontId="9" fillId="20" borderId="30" xfId="0" applyNumberFormat="1" applyFont="1" applyFill="1" applyBorder="1" applyAlignment="1" applyProtection="1">
      <alignment horizontal="right" vertical="center"/>
      <protection/>
    </xf>
    <xf numFmtId="1" fontId="9" fillId="20" borderId="43" xfId="0" applyNumberFormat="1" applyFont="1" applyFill="1" applyBorder="1" applyAlignment="1" applyProtection="1">
      <alignment horizontal="right" vertical="center"/>
      <protection/>
    </xf>
    <xf numFmtId="1" fontId="9" fillId="20" borderId="30" xfId="0" applyNumberFormat="1" applyFont="1" applyFill="1" applyBorder="1" applyAlignment="1" applyProtection="1">
      <alignment horizontal="center" vertical="center"/>
      <protection/>
    </xf>
    <xf numFmtId="1" fontId="9" fillId="20" borderId="43" xfId="0" applyNumberFormat="1" applyFont="1" applyFill="1" applyBorder="1" applyAlignment="1" applyProtection="1">
      <alignment horizontal="center" vertical="center"/>
      <protection/>
    </xf>
    <xf numFmtId="1" fontId="9" fillId="20" borderId="31" xfId="0" applyNumberFormat="1" applyFont="1" applyFill="1" applyBorder="1" applyAlignment="1" applyProtection="1">
      <alignment horizontal="center" vertical="center"/>
      <protection/>
    </xf>
    <xf numFmtId="0" fontId="4" fillId="0" borderId="26" xfId="60" applyFont="1" applyBorder="1" applyAlignment="1">
      <alignment horizontal="center"/>
      <protection/>
    </xf>
    <xf numFmtId="2" fontId="23" fillId="0" borderId="0" xfId="58" applyNumberFormat="1" applyFont="1" applyAlignment="1">
      <alignment horizontal="center"/>
      <protection/>
    </xf>
    <xf numFmtId="164" fontId="9" fillId="23" borderId="14" xfId="0" applyNumberFormat="1" applyFont="1" applyFill="1" applyBorder="1" applyAlignment="1">
      <alignment horizontal="center" vertical="center"/>
    </xf>
    <xf numFmtId="164" fontId="9" fillId="23" borderId="20" xfId="0" applyNumberFormat="1" applyFont="1" applyFill="1" applyBorder="1" applyAlignment="1">
      <alignment horizontal="center" vertical="center"/>
    </xf>
    <xf numFmtId="0" fontId="9" fillId="23" borderId="14" xfId="0" applyFont="1" applyFill="1" applyBorder="1" applyAlignment="1">
      <alignment horizontal="center" vertical="center"/>
    </xf>
    <xf numFmtId="0" fontId="9" fillId="23" borderId="20" xfId="0" applyFont="1" applyFill="1" applyBorder="1" applyAlignment="1">
      <alignment horizontal="center" vertical="center"/>
    </xf>
    <xf numFmtId="3" fontId="9" fillId="23" borderId="14" xfId="42" applyNumberFormat="1" applyFont="1" applyFill="1" applyBorder="1" applyAlignment="1">
      <alignment horizontal="center" vertical="center"/>
    </xf>
    <xf numFmtId="3" fontId="9" fillId="23" borderId="20" xfId="42" applyNumberFormat="1" applyFont="1" applyFill="1" applyBorder="1" applyAlignment="1">
      <alignment horizontal="center" vertical="center"/>
    </xf>
    <xf numFmtId="169" fontId="9" fillId="23" borderId="14" xfId="60" applyNumberFormat="1" applyFont="1" applyFill="1" applyBorder="1" applyAlignment="1" applyProtection="1">
      <alignment horizontal="center" vertical="center"/>
      <protection/>
    </xf>
    <xf numFmtId="169" fontId="9" fillId="23" borderId="20" xfId="60" applyNumberFormat="1" applyFont="1" applyFill="1" applyBorder="1" applyAlignment="1" applyProtection="1">
      <alignment horizontal="center" vertical="center"/>
      <protection/>
    </xf>
    <xf numFmtId="15" fontId="9" fillId="23" borderId="14" xfId="60" applyNumberFormat="1" applyFont="1" applyFill="1" applyBorder="1" applyAlignment="1" applyProtection="1">
      <alignment horizontal="center" vertical="center"/>
      <protection/>
    </xf>
    <xf numFmtId="15" fontId="9" fillId="23" borderId="20" xfId="60" applyNumberFormat="1" applyFont="1" applyFill="1" applyBorder="1" applyAlignment="1" applyProtection="1">
      <alignment horizontal="center" vertical="center"/>
      <protection/>
    </xf>
    <xf numFmtId="1" fontId="9" fillId="23" borderId="14" xfId="0" applyNumberFormat="1" applyFont="1" applyFill="1" applyBorder="1" applyAlignment="1">
      <alignment horizontal="center" vertical="center"/>
    </xf>
    <xf numFmtId="1" fontId="9" fillId="23" borderId="20" xfId="0" applyNumberFormat="1" applyFont="1" applyFill="1" applyBorder="1" applyAlignment="1">
      <alignment horizontal="center" vertical="center"/>
    </xf>
    <xf numFmtId="2" fontId="74" fillId="22" borderId="44" xfId="61" applyNumberFormat="1" applyFont="1" applyFill="1" applyBorder="1" applyAlignment="1">
      <alignment horizontal="center" vertical="center"/>
      <protection/>
    </xf>
    <xf numFmtId="2" fontId="74" fillId="22" borderId="45" xfId="61" applyNumberFormat="1" applyFont="1" applyFill="1" applyBorder="1" applyAlignment="1">
      <alignment horizontal="center" vertical="center"/>
      <protection/>
    </xf>
    <xf numFmtId="2" fontId="74" fillId="22" borderId="46" xfId="61" applyNumberFormat="1" applyFont="1" applyFill="1" applyBorder="1" applyAlignment="1">
      <alignment horizontal="center" vertical="center"/>
      <protection/>
    </xf>
    <xf numFmtId="2" fontId="74" fillId="22" borderId="47" xfId="61" applyNumberFormat="1" applyFont="1" applyFill="1" applyBorder="1" applyAlignment="1">
      <alignment horizontal="center" vertical="center"/>
      <protection/>
    </xf>
    <xf numFmtId="2" fontId="74" fillId="0" borderId="22" xfId="61" applyNumberFormat="1" applyFont="1" applyBorder="1" applyAlignment="1">
      <alignment horizontal="left" vertical="center"/>
      <protection/>
    </xf>
    <xf numFmtId="2" fontId="74" fillId="0" borderId="17" xfId="61" applyNumberFormat="1" applyFont="1" applyBorder="1" applyAlignment="1">
      <alignment horizontal="left" vertical="center"/>
      <protection/>
    </xf>
    <xf numFmtId="2" fontId="74" fillId="0" borderId="36" xfId="61" applyNumberFormat="1" applyFont="1" applyBorder="1" applyAlignment="1">
      <alignment horizontal="left" vertical="center"/>
      <protection/>
    </xf>
    <xf numFmtId="2" fontId="74" fillId="0" borderId="37" xfId="61" applyNumberFormat="1" applyFont="1" applyBorder="1" applyAlignment="1">
      <alignment horizontal="left" vertical="center"/>
      <protection/>
    </xf>
    <xf numFmtId="2" fontId="74" fillId="0" borderId="22" xfId="61" applyNumberFormat="1" applyFont="1" applyBorder="1" applyAlignment="1">
      <alignment horizontal="center" vertical="center"/>
      <protection/>
    </xf>
    <xf numFmtId="2" fontId="74" fillId="0" borderId="17" xfId="61" applyNumberFormat="1" applyFont="1" applyBorder="1" applyAlignment="1">
      <alignment horizontal="center" vertical="center"/>
      <protection/>
    </xf>
    <xf numFmtId="2" fontId="74" fillId="0" borderId="34" xfId="61" applyNumberFormat="1" applyFont="1" applyBorder="1" applyAlignment="1">
      <alignment horizontal="left" vertical="center"/>
      <protection/>
    </xf>
    <xf numFmtId="2" fontId="74" fillId="0" borderId="38" xfId="61" applyNumberFormat="1" applyFont="1" applyBorder="1" applyAlignment="1">
      <alignment horizontal="left" vertical="center"/>
      <protection/>
    </xf>
    <xf numFmtId="16" fontId="72" fillId="0" borderId="0" xfId="61" applyNumberFormat="1" applyFont="1" applyAlignment="1">
      <alignment horizontal="center"/>
      <protection/>
    </xf>
    <xf numFmtId="1" fontId="74" fillId="24" borderId="30" xfId="0" applyNumberFormat="1" applyFont="1" applyFill="1" applyBorder="1" applyAlignment="1">
      <alignment horizontal="center" vertical="center"/>
    </xf>
    <xf numFmtId="1" fontId="74" fillId="24" borderId="43" xfId="0" applyNumberFormat="1" applyFont="1" applyFill="1" applyBorder="1" applyAlignment="1">
      <alignment horizontal="center" vertical="center"/>
    </xf>
    <xf numFmtId="1" fontId="74" fillId="24" borderId="31" xfId="0" applyNumberFormat="1" applyFont="1" applyFill="1" applyBorder="1" applyAlignment="1">
      <alignment horizontal="center" vertical="center"/>
    </xf>
    <xf numFmtId="16" fontId="81" fillId="0" borderId="0" xfId="61" applyNumberFormat="1" applyFont="1" applyAlignment="1">
      <alignment horizontal="center"/>
      <protection/>
    </xf>
    <xf numFmtId="2" fontId="74" fillId="0" borderId="33" xfId="61" applyNumberFormat="1" applyFont="1" applyBorder="1" applyAlignment="1">
      <alignment horizontal="left" vertical="center"/>
      <protection/>
    </xf>
    <xf numFmtId="2" fontId="74" fillId="0" borderId="32" xfId="61" applyNumberFormat="1" applyFont="1" applyBorder="1" applyAlignment="1">
      <alignment horizontal="left" vertical="center"/>
      <protection/>
    </xf>
    <xf numFmtId="1" fontId="74" fillId="24" borderId="21" xfId="0" applyNumberFormat="1" applyFont="1" applyFill="1" applyBorder="1" applyAlignment="1">
      <alignment horizontal="center" vertical="center"/>
    </xf>
    <xf numFmtId="1" fontId="74" fillId="24" borderId="29" xfId="0" applyNumberFormat="1" applyFont="1" applyFill="1" applyBorder="1" applyAlignment="1">
      <alignment horizontal="center" vertical="center"/>
    </xf>
    <xf numFmtId="2" fontId="74" fillId="0" borderId="48" xfId="61" applyNumberFormat="1" applyFont="1" applyBorder="1" applyAlignment="1">
      <alignment horizontal="left" vertical="center"/>
      <protection/>
    </xf>
    <xf numFmtId="2" fontId="74" fillId="0" borderId="49" xfId="61" applyNumberFormat="1" applyFont="1" applyBorder="1" applyAlignment="1">
      <alignment horizontal="left" vertical="center"/>
      <protection/>
    </xf>
    <xf numFmtId="0" fontId="74" fillId="20" borderId="19" xfId="6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81INFO" xfId="57"/>
    <cellStyle name="Normal_182_info2" xfId="58"/>
    <cellStyle name="Normal_OPSRESUM" xfId="59"/>
    <cellStyle name="Normal_SITETIME" xfId="60"/>
    <cellStyle name="Normal_TIMEDIS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70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183_Operations\181INFO.XLW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NG-OPS\LEG_DATA\191%20Operations\191data\182%20Operations\182_inf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istribution"/>
      <sheetName val="Operations Resume"/>
      <sheetName val="Site Summary"/>
      <sheetName val="Bit Summary"/>
      <sheetName val="Beacon Summary"/>
      <sheetName val="Site Time"/>
      <sheetName val="Depth"/>
    </sheetNames>
    <sheetDataSet>
      <sheetData sheetId="0">
        <row r="64">
          <cell r="A64" t="str">
            <v>TOTAL  (hours)</v>
          </cell>
          <cell r="C64">
            <v>147.25</v>
          </cell>
          <cell r="D64">
            <v>353.5</v>
          </cell>
          <cell r="E64">
            <v>0</v>
          </cell>
          <cell r="F64">
            <v>90.75</v>
          </cell>
        </row>
        <row r="66">
          <cell r="A66" t="str">
            <v>TOTAL  (days)</v>
          </cell>
          <cell r="C66">
            <v>6.135416666666667</v>
          </cell>
          <cell r="D66">
            <v>14.729166666666666</v>
          </cell>
          <cell r="E66">
            <v>0</v>
          </cell>
          <cell r="F66">
            <v>3.78125</v>
          </cell>
        </row>
      </sheetData>
      <sheetData sheetId="1">
        <row r="9">
          <cell r="A9" t="str">
            <v>Total Days in Port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me Distribution"/>
      <sheetName val="Operations Resume"/>
      <sheetName val="Site Summary"/>
      <sheetName val="Bit Summary"/>
      <sheetName val="Beacon Summary"/>
      <sheetName val="Site Time"/>
      <sheetName val="Depth"/>
    </sheetNames>
    <sheetDataSet>
      <sheetData sheetId="0">
        <row r="66">
          <cell r="A66" t="str">
            <v>TOTAL  (hours)</v>
          </cell>
          <cell r="C66">
            <v>142</v>
          </cell>
          <cell r="D66">
            <v>375.75</v>
          </cell>
          <cell r="E66">
            <v>0</v>
          </cell>
          <cell r="F66">
            <v>0</v>
          </cell>
        </row>
        <row r="68">
          <cell r="A68" t="str">
            <v>TOTAL  (days)</v>
          </cell>
          <cell r="C68">
            <v>5.916666666666667</v>
          </cell>
          <cell r="D68">
            <v>15.65625</v>
          </cell>
          <cell r="E68">
            <v>0</v>
          </cell>
          <cell r="F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K11" sqref="K11"/>
    </sheetView>
  </sheetViews>
  <sheetFormatPr defaultColWidth="7.625" defaultRowHeight="12.75"/>
  <cols>
    <col min="1" max="3" width="6.625" style="54" customWidth="1"/>
    <col min="4" max="4" width="8.625" style="55" customWidth="1"/>
    <col min="5" max="5" width="2.625" style="56" customWidth="1"/>
    <col min="6" max="6" width="9.625" style="56" customWidth="1"/>
    <col min="7" max="7" width="5.625" style="55" customWidth="1"/>
    <col min="8" max="9" width="6.625" style="55" customWidth="1"/>
    <col min="10" max="10" width="11.625" style="55" customWidth="1"/>
    <col min="11" max="11" width="6.625" style="57" bestFit="1" customWidth="1"/>
    <col min="12" max="12" width="2.625" style="57" customWidth="1"/>
    <col min="13" max="13" width="7.00390625" style="58" bestFit="1" customWidth="1"/>
    <col min="14" max="16384" width="7.625" style="53" customWidth="1"/>
  </cols>
  <sheetData>
    <row r="1" spans="1:13" ht="18">
      <c r="A1" s="1158" t="s">
        <v>245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</row>
    <row r="2" spans="1:13" ht="18" customHeight="1">
      <c r="A2" s="1158" t="s">
        <v>246</v>
      </c>
      <c r="B2" s="1158"/>
      <c r="C2" s="1158"/>
      <c r="D2" s="1158"/>
      <c r="E2" s="1158"/>
      <c r="F2" s="1158"/>
      <c r="G2" s="1158"/>
      <c r="H2" s="1158"/>
      <c r="I2" s="1158"/>
      <c r="J2" s="1158"/>
      <c r="K2" s="1158"/>
      <c r="L2" s="1158"/>
      <c r="M2" s="1158"/>
    </row>
    <row r="3" spans="1:13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9.5" customHeight="1">
      <c r="A4" s="1159" t="s">
        <v>776</v>
      </c>
      <c r="B4" s="1159"/>
      <c r="C4" s="1159"/>
      <c r="D4" s="1159"/>
      <c r="E4" s="1159"/>
      <c r="F4" s="1159"/>
      <c r="G4" s="1159"/>
      <c r="H4" s="1159"/>
      <c r="I4" s="1159"/>
      <c r="J4" s="1159"/>
      <c r="K4" s="1159"/>
      <c r="L4" s="1159"/>
      <c r="M4" s="1159"/>
    </row>
    <row r="5" spans="1:13" ht="18" customHeight="1">
      <c r="A5" s="1157" t="s">
        <v>777</v>
      </c>
      <c r="B5" s="1157"/>
      <c r="C5" s="1157"/>
      <c r="D5" s="1157"/>
      <c r="E5" s="1157"/>
      <c r="F5" s="1157"/>
      <c r="G5" s="1157"/>
      <c r="H5" s="1157"/>
      <c r="I5" s="1157"/>
      <c r="J5" s="1157"/>
      <c r="K5" s="1157"/>
      <c r="L5" s="1157"/>
      <c r="M5" s="1157"/>
    </row>
    <row r="6" spans="1:13" ht="15" customHeight="1">
      <c r="A6" s="1156"/>
      <c r="B6" s="1156"/>
      <c r="C6" s="1156"/>
      <c r="D6" s="1156"/>
      <c r="E6" s="1156"/>
      <c r="F6" s="1156"/>
      <c r="G6" s="1156"/>
      <c r="H6" s="1156"/>
      <c r="I6" s="1156"/>
      <c r="J6" s="1156"/>
      <c r="K6" s="1156"/>
      <c r="L6" s="1156"/>
      <c r="M6" s="1156"/>
    </row>
    <row r="7" spans="1:13" s="142" customFormat="1" ht="12" customHeight="1">
      <c r="A7" s="1155" t="s">
        <v>149</v>
      </c>
      <c r="B7" s="1155"/>
      <c r="C7" s="1155"/>
      <c r="D7" s="1155"/>
      <c r="E7" s="1155"/>
      <c r="F7" s="1155"/>
      <c r="G7" s="139"/>
      <c r="H7" s="139"/>
      <c r="I7" s="139"/>
      <c r="J7" s="139"/>
      <c r="K7" s="140" t="s">
        <v>72</v>
      </c>
      <c r="L7" s="140"/>
      <c r="M7" s="141" t="s">
        <v>66</v>
      </c>
    </row>
    <row r="8" spans="1:13" s="142" customFormat="1" ht="6" customHeight="1">
      <c r="A8" s="138"/>
      <c r="B8" s="138"/>
      <c r="C8" s="138"/>
      <c r="D8" s="138"/>
      <c r="E8" s="138"/>
      <c r="F8" s="138"/>
      <c r="G8" s="139"/>
      <c r="H8" s="139"/>
      <c r="I8" s="139"/>
      <c r="J8" s="139"/>
      <c r="K8" s="139"/>
      <c r="L8" s="139"/>
      <c r="M8" s="139"/>
    </row>
    <row r="9" spans="1:13" s="142" customFormat="1" ht="12.75" customHeight="1">
      <c r="A9" s="143" t="s">
        <v>20</v>
      </c>
      <c r="B9" s="143"/>
      <c r="C9" s="144"/>
      <c r="D9" s="145"/>
      <c r="E9" s="146"/>
      <c r="F9" s="146"/>
      <c r="G9" s="139"/>
      <c r="H9" s="139"/>
      <c r="I9" s="139"/>
      <c r="J9" s="147"/>
      <c r="K9" s="182">
        <f>'Time Distribution'!C129</f>
        <v>19.020833333333332</v>
      </c>
      <c r="L9" s="148"/>
      <c r="M9" s="149">
        <f>IF(K9&gt;0,K9/K12,"0.0%")</f>
        <v>0.16752293577981653</v>
      </c>
    </row>
    <row r="10" spans="1:13" s="142" customFormat="1" ht="12.75">
      <c r="A10" s="143" t="s">
        <v>88</v>
      </c>
      <c r="B10" s="143"/>
      <c r="C10" s="144"/>
      <c r="D10" s="145"/>
      <c r="E10" s="146"/>
      <c r="F10" s="146"/>
      <c r="G10" s="139"/>
      <c r="H10" s="139"/>
      <c r="I10" s="139"/>
      <c r="J10" s="147"/>
      <c r="K10" s="182">
        <f>'Time Distribution'!D129</f>
        <v>24.15625</v>
      </c>
      <c r="L10" s="148"/>
      <c r="M10" s="149">
        <f>IF(K10&gt;0,K10/K12,"0.0%")</f>
        <v>0.21275229357798167</v>
      </c>
    </row>
    <row r="11" spans="1:13" s="142" customFormat="1" ht="12.75">
      <c r="A11" s="143" t="s">
        <v>21</v>
      </c>
      <c r="B11" s="143"/>
      <c r="C11" s="144"/>
      <c r="D11" s="145"/>
      <c r="E11" s="146"/>
      <c r="F11" s="146"/>
      <c r="G11" s="139"/>
      <c r="H11" s="139"/>
      <c r="I11" s="139"/>
      <c r="J11" s="147"/>
      <c r="K11" s="673">
        <f>SUM(K18:K25)</f>
        <v>70.36458333333333</v>
      </c>
      <c r="L11" s="148"/>
      <c r="M11" s="150">
        <f>IF(K11&gt;0,K11/K12,"0.0%")</f>
        <v>0.6197247706422019</v>
      </c>
    </row>
    <row r="12" spans="1:13" s="154" customFormat="1" ht="12.75" customHeight="1">
      <c r="A12" s="151" t="s">
        <v>150</v>
      </c>
      <c r="B12" s="151"/>
      <c r="C12" s="152"/>
      <c r="D12" s="152"/>
      <c r="E12" s="152"/>
      <c r="F12" s="152"/>
      <c r="G12" s="139"/>
      <c r="H12" s="139"/>
      <c r="I12" s="139"/>
      <c r="J12" s="153"/>
      <c r="K12" s="182">
        <f>SUM(K9:K11)</f>
        <v>113.54166666666666</v>
      </c>
      <c r="L12" s="148"/>
      <c r="M12" s="149">
        <f>IF(K12&gt;0,K12/K12,"0.0%")</f>
        <v>1</v>
      </c>
    </row>
    <row r="13" spans="1:13" s="142" customFormat="1" ht="12.75" customHeight="1">
      <c r="A13" s="155"/>
      <c r="B13" s="155"/>
      <c r="C13" s="155"/>
      <c r="D13" s="147"/>
      <c r="E13" s="156"/>
      <c r="F13" s="156"/>
      <c r="G13" s="147"/>
      <c r="H13" s="147"/>
      <c r="I13" s="147"/>
      <c r="J13" s="147"/>
      <c r="K13" s="157"/>
      <c r="L13" s="157"/>
      <c r="M13" s="158"/>
    </row>
    <row r="14" spans="1:13" s="142" customFormat="1" ht="12.75" customHeight="1">
      <c r="A14" s="155"/>
      <c r="B14" s="155"/>
      <c r="C14" s="155"/>
      <c r="D14" s="147"/>
      <c r="E14" s="156"/>
      <c r="F14" s="156"/>
      <c r="G14" s="147"/>
      <c r="H14" s="147"/>
      <c r="I14" s="147"/>
      <c r="J14" s="147"/>
      <c r="K14" s="157"/>
      <c r="L14" s="157"/>
      <c r="M14" s="158"/>
    </row>
    <row r="15" spans="1:13" s="142" customFormat="1" ht="12.75" customHeight="1">
      <c r="A15" s="155"/>
      <c r="B15" s="155"/>
      <c r="C15" s="155"/>
      <c r="D15" s="147"/>
      <c r="E15" s="156"/>
      <c r="F15" s="156"/>
      <c r="G15" s="147"/>
      <c r="H15" s="147"/>
      <c r="I15" s="147"/>
      <c r="J15" s="147"/>
      <c r="K15" s="157"/>
      <c r="L15" s="157"/>
      <c r="M15" s="158"/>
    </row>
    <row r="16" spans="1:13" s="142" customFormat="1" ht="12.75">
      <c r="A16" s="155"/>
      <c r="B16" s="159"/>
      <c r="C16" s="159" t="s">
        <v>145</v>
      </c>
      <c r="D16" s="159"/>
      <c r="E16" s="159"/>
      <c r="F16" s="159"/>
      <c r="G16" s="159"/>
      <c r="H16" s="159"/>
      <c r="I16" s="159"/>
      <c r="J16" s="147"/>
      <c r="K16" s="140" t="s">
        <v>72</v>
      </c>
      <c r="L16" s="140"/>
      <c r="M16" s="160" t="s">
        <v>66</v>
      </c>
    </row>
    <row r="17" spans="1:13" s="142" customFormat="1" ht="6" customHeight="1">
      <c r="A17" s="155"/>
      <c r="B17" s="161"/>
      <c r="C17" s="161"/>
      <c r="D17" s="161"/>
      <c r="E17" s="161"/>
      <c r="F17" s="161"/>
      <c r="G17" s="161"/>
      <c r="H17" s="161"/>
      <c r="I17" s="161"/>
      <c r="J17" s="147"/>
      <c r="K17" s="140"/>
      <c r="L17" s="140"/>
      <c r="M17" s="160"/>
    </row>
    <row r="18" spans="1:13" s="154" customFormat="1" ht="12.75">
      <c r="A18" s="162"/>
      <c r="B18" s="161"/>
      <c r="C18" s="163" t="s">
        <v>328</v>
      </c>
      <c r="D18" s="145"/>
      <c r="E18" s="145"/>
      <c r="F18" s="145"/>
      <c r="G18" s="145"/>
      <c r="H18" s="145"/>
      <c r="I18" s="145"/>
      <c r="J18" s="147"/>
      <c r="K18" s="148">
        <f>'Time Distribution'!E129+'Time Distribution'!F129+'Time Distribution'!G129</f>
        <v>38.458333333333336</v>
      </c>
      <c r="L18" s="148"/>
      <c r="M18" s="149">
        <f>IF(K18&gt;0,K18/K11,"0.0%")</f>
        <v>0.5465581051073279</v>
      </c>
    </row>
    <row r="19" spans="1:13" s="142" customFormat="1" ht="12.75">
      <c r="A19" s="155"/>
      <c r="B19" s="161"/>
      <c r="C19" s="163" t="s">
        <v>528</v>
      </c>
      <c r="D19" s="145"/>
      <c r="E19" s="164"/>
      <c r="F19" s="164"/>
      <c r="G19" s="145"/>
      <c r="H19" s="145"/>
      <c r="I19" s="145"/>
      <c r="J19" s="147"/>
      <c r="K19" s="148">
        <f>'Time Distribution'!J129</f>
        <v>13.041666666666666</v>
      </c>
      <c r="L19" s="148"/>
      <c r="M19" s="149">
        <f>IF(K19&gt;0,K19/K11,"0.0%")</f>
        <v>0.1853441894892672</v>
      </c>
    </row>
    <row r="20" spans="1:13" s="142" customFormat="1" ht="12.75">
      <c r="A20" s="155"/>
      <c r="B20" s="161"/>
      <c r="C20" s="163" t="s">
        <v>529</v>
      </c>
      <c r="D20" s="145"/>
      <c r="E20" s="164"/>
      <c r="F20" s="164"/>
      <c r="G20" s="145"/>
      <c r="H20" s="145"/>
      <c r="I20" s="145"/>
      <c r="J20" s="147"/>
      <c r="K20" s="148">
        <f>'Time Distribution'!I129</f>
        <v>12.458333333333334</v>
      </c>
      <c r="L20" s="148"/>
      <c r="M20" s="149">
        <f>IF(K20&gt;0,K20/K12,"0.0%")</f>
        <v>0.10972477064220185</v>
      </c>
    </row>
    <row r="21" spans="1:13" s="142" customFormat="1" ht="12.75">
      <c r="A21" s="155"/>
      <c r="B21" s="161"/>
      <c r="C21" s="163" t="s">
        <v>804</v>
      </c>
      <c r="D21" s="145"/>
      <c r="E21" s="164"/>
      <c r="F21" s="164"/>
      <c r="G21" s="145"/>
      <c r="H21" s="145"/>
      <c r="I21" s="145"/>
      <c r="J21" s="147"/>
      <c r="K21" s="148">
        <f>'Time Distribution'!H129</f>
        <v>2.21875</v>
      </c>
      <c r="L21" s="148"/>
      <c r="M21" s="149">
        <f>IF(K21&gt;0,K21/K12,"0.0%")</f>
        <v>0.019541284403669725</v>
      </c>
    </row>
    <row r="22" spans="1:13" s="142" customFormat="1" ht="12.75">
      <c r="A22" s="155"/>
      <c r="B22" s="161"/>
      <c r="C22" s="163" t="s">
        <v>132</v>
      </c>
      <c r="D22" s="145"/>
      <c r="E22" s="146"/>
      <c r="F22" s="146"/>
      <c r="G22" s="145"/>
      <c r="H22" s="145"/>
      <c r="I22" s="145"/>
      <c r="J22" s="147"/>
      <c r="K22" s="148">
        <f>'Time Distribution'!K129+'Time Distribution'!L129+'Time Distribution'!M129</f>
        <v>0</v>
      </c>
      <c r="L22" s="148"/>
      <c r="M22" s="149" t="str">
        <f>IF(K22&gt;0,K22/K11,"0.0%")</f>
        <v>0.0%</v>
      </c>
    </row>
    <row r="23" spans="1:13" s="142" customFormat="1" ht="12.75">
      <c r="A23" s="155"/>
      <c r="B23" s="161"/>
      <c r="C23" s="163" t="s">
        <v>123</v>
      </c>
      <c r="D23" s="145"/>
      <c r="E23" s="146"/>
      <c r="F23" s="146"/>
      <c r="G23" s="145"/>
      <c r="H23" s="145"/>
      <c r="I23" s="145"/>
      <c r="J23" s="147"/>
      <c r="K23" s="148">
        <f>'Time Distribution'!N129+'Time Distribution'!O129</f>
        <v>0.14583333333333334</v>
      </c>
      <c r="L23" s="148"/>
      <c r="M23" s="149">
        <f>IF(K23&gt;0,K23/K11,"0.0%")</f>
        <v>0.0020725388601036273</v>
      </c>
    </row>
    <row r="24" spans="1:13" s="142" customFormat="1" ht="12.75">
      <c r="A24" s="155"/>
      <c r="B24" s="161"/>
      <c r="C24" s="163" t="s">
        <v>124</v>
      </c>
      <c r="D24" s="145"/>
      <c r="E24" s="146"/>
      <c r="F24" s="146"/>
      <c r="G24" s="145"/>
      <c r="H24" s="145"/>
      <c r="I24" s="145"/>
      <c r="J24" s="147"/>
      <c r="K24" s="148">
        <f>'Time Distribution'!P129+'Time Distribution'!Q129+'Time Distribution'!R129</f>
        <v>0.6458333333333334</v>
      </c>
      <c r="L24" s="148"/>
      <c r="M24" s="149">
        <f>IF(K24&gt;0,K24/K11,"0.0%")</f>
        <v>0.00917838638045892</v>
      </c>
    </row>
    <row r="25" spans="1:13" s="142" customFormat="1" ht="12.75">
      <c r="A25" s="155"/>
      <c r="B25" s="161"/>
      <c r="C25" s="163" t="s">
        <v>427</v>
      </c>
      <c r="D25" s="145"/>
      <c r="E25" s="146"/>
      <c r="F25" s="146"/>
      <c r="G25" s="145"/>
      <c r="H25" s="145"/>
      <c r="I25" s="145"/>
      <c r="J25" s="147"/>
      <c r="K25" s="148">
        <f>'Time Distribution'!S129</f>
        <v>3.3958333333333335</v>
      </c>
      <c r="L25" s="148"/>
      <c r="M25" s="149">
        <f>IF(K25&gt;0,K25/K11,"0.0%")</f>
        <v>0.048260547742413035</v>
      </c>
    </row>
    <row r="26" spans="1:13" s="142" customFormat="1" ht="12.75">
      <c r="A26" s="155"/>
      <c r="B26" s="161"/>
      <c r="C26" s="155"/>
      <c r="D26" s="147"/>
      <c r="E26" s="156"/>
      <c r="F26" s="156"/>
      <c r="G26" s="147"/>
      <c r="H26" s="147"/>
      <c r="I26" s="147"/>
      <c r="J26" s="147"/>
      <c r="K26" s="155"/>
      <c r="L26" s="147"/>
      <c r="M26" s="155"/>
    </row>
    <row r="27" spans="1:13" s="142" customFormat="1" ht="12.75">
      <c r="A27" s="155"/>
      <c r="B27" s="155"/>
      <c r="C27" s="155"/>
      <c r="D27" s="147"/>
      <c r="E27" s="156"/>
      <c r="F27" s="156"/>
      <c r="G27" s="147"/>
      <c r="H27" s="147"/>
      <c r="I27" s="147"/>
      <c r="J27" s="147"/>
      <c r="K27" s="147"/>
      <c r="L27" s="147"/>
      <c r="M27" s="147"/>
    </row>
    <row r="28" spans="1:13" s="142" customFormat="1" ht="12.75">
      <c r="A28" s="155"/>
      <c r="B28" s="155"/>
      <c r="C28" s="155"/>
      <c r="D28" s="147"/>
      <c r="E28" s="147"/>
      <c r="F28" s="147"/>
      <c r="G28" s="147"/>
      <c r="H28" s="147"/>
      <c r="I28" s="147"/>
      <c r="J28" s="147"/>
      <c r="K28" s="147"/>
      <c r="L28" s="147"/>
      <c r="M28" s="147"/>
    </row>
    <row r="29" spans="1:13" s="142" customFormat="1" ht="12.75">
      <c r="A29" s="1154" t="s">
        <v>87</v>
      </c>
      <c r="B29" s="1154"/>
      <c r="C29" s="1154"/>
      <c r="D29" s="1154"/>
      <c r="E29" s="166"/>
      <c r="F29" s="166"/>
      <c r="G29" s="167"/>
      <c r="H29" s="1155" t="s">
        <v>94</v>
      </c>
      <c r="I29" s="1155"/>
      <c r="J29" s="1155"/>
      <c r="K29" s="1155"/>
      <c r="L29" s="168"/>
      <c r="M29" s="168"/>
    </row>
    <row r="30" spans="1:13" s="142" customFormat="1" ht="6" customHeight="1">
      <c r="A30" s="165"/>
      <c r="B30" s="169"/>
      <c r="C30" s="169"/>
      <c r="D30" s="169"/>
      <c r="E30" s="169"/>
      <c r="F30" s="169"/>
      <c r="G30" s="167"/>
      <c r="H30" s="138"/>
      <c r="I30" s="138"/>
      <c r="J30" s="138"/>
      <c r="K30" s="138"/>
      <c r="L30" s="138"/>
      <c r="M30" s="138"/>
    </row>
    <row r="31" spans="1:13" s="171" customFormat="1" ht="12.75">
      <c r="A31" s="144" t="s">
        <v>136</v>
      </c>
      <c r="B31" s="144"/>
      <c r="C31" s="144"/>
      <c r="D31" s="145"/>
      <c r="E31" s="169"/>
      <c r="F31" s="716">
        <v>5351.9</v>
      </c>
      <c r="G31" s="147"/>
      <c r="H31" s="170" t="s">
        <v>92</v>
      </c>
      <c r="I31" s="145"/>
      <c r="J31" s="145"/>
      <c r="K31" s="146"/>
      <c r="L31" s="156"/>
      <c r="M31" s="146">
        <v>4</v>
      </c>
    </row>
    <row r="32" spans="1:13" s="171" customFormat="1" ht="12.75">
      <c r="A32" s="144" t="s">
        <v>75</v>
      </c>
      <c r="B32" s="144"/>
      <c r="C32" s="144"/>
      <c r="D32" s="145"/>
      <c r="E32" s="169"/>
      <c r="F32" s="146">
        <v>9.5</v>
      </c>
      <c r="G32" s="147"/>
      <c r="H32" s="170" t="s">
        <v>767</v>
      </c>
      <c r="I32" s="145"/>
      <c r="J32" s="145"/>
      <c r="K32" s="146"/>
      <c r="L32" s="156"/>
      <c r="M32" s="146">
        <v>11.9</v>
      </c>
    </row>
    <row r="33" spans="1:13" s="142" customFormat="1" ht="12.75">
      <c r="A33" s="144" t="s">
        <v>76</v>
      </c>
      <c r="B33" s="144"/>
      <c r="C33" s="144"/>
      <c r="D33" s="145"/>
      <c r="E33" s="169"/>
      <c r="F33" s="146">
        <v>21</v>
      </c>
      <c r="G33" s="147"/>
      <c r="H33" s="170" t="s">
        <v>135</v>
      </c>
      <c r="I33" s="145"/>
      <c r="J33" s="145"/>
      <c r="K33" s="146"/>
      <c r="L33" s="156"/>
      <c r="M33" s="146">
        <v>1</v>
      </c>
    </row>
    <row r="34" spans="1:13" s="142" customFormat="1" ht="12.75">
      <c r="A34" s="144" t="s">
        <v>77</v>
      </c>
      <c r="B34" s="144"/>
      <c r="C34" s="144"/>
      <c r="D34" s="145"/>
      <c r="E34" s="169"/>
      <c r="F34" s="146">
        <v>39</v>
      </c>
      <c r="G34" s="147"/>
      <c r="H34" s="172" t="s">
        <v>93</v>
      </c>
      <c r="I34" s="145"/>
      <c r="J34" s="145"/>
      <c r="K34" s="146"/>
      <c r="L34" s="156"/>
      <c r="M34" s="146">
        <v>2</v>
      </c>
    </row>
    <row r="35" spans="1:13" s="142" customFormat="1" ht="12.75">
      <c r="A35" s="144" t="s">
        <v>89</v>
      </c>
      <c r="B35" s="144"/>
      <c r="C35" s="144"/>
      <c r="D35" s="145"/>
      <c r="E35" s="169"/>
      <c r="F35" s="173">
        <f>'Standard+Pressure Core Summary'!S115</f>
        <v>494</v>
      </c>
      <c r="G35" s="147"/>
      <c r="H35" s="172" t="s">
        <v>138</v>
      </c>
      <c r="I35" s="145"/>
      <c r="J35" s="145"/>
      <c r="K35" s="146"/>
      <c r="L35" s="156"/>
      <c r="M35" s="146">
        <v>26</v>
      </c>
    </row>
    <row r="36" spans="1:14" s="142" customFormat="1" ht="12.75">
      <c r="A36" s="144" t="s">
        <v>806</v>
      </c>
      <c r="B36" s="144"/>
      <c r="C36" s="144"/>
      <c r="D36" s="145"/>
      <c r="E36" s="169"/>
      <c r="F36" s="716">
        <f>'Standard+Pressure Core Summary'!T115</f>
        <v>3618.3999999999996</v>
      </c>
      <c r="G36" s="147"/>
      <c r="H36" s="172" t="s">
        <v>805</v>
      </c>
      <c r="I36" s="145"/>
      <c r="J36" s="145"/>
      <c r="K36" s="173"/>
      <c r="L36" s="174"/>
      <c r="M36" s="146">
        <v>0</v>
      </c>
      <c r="N36" s="178"/>
    </row>
    <row r="37" spans="1:14" s="142" customFormat="1" ht="12.75">
      <c r="A37" s="144" t="s">
        <v>807</v>
      </c>
      <c r="B37" s="144"/>
      <c r="C37" s="144"/>
      <c r="D37" s="145"/>
      <c r="E37" s="169"/>
      <c r="F37" s="716">
        <f>'Standard+Pressure Core Summary'!U115</f>
        <v>2847.0099999999998</v>
      </c>
      <c r="G37" s="147"/>
      <c r="H37" s="175"/>
      <c r="I37" s="175"/>
      <c r="J37" s="175"/>
      <c r="K37" s="176"/>
      <c r="L37" s="176"/>
      <c r="M37" s="177"/>
      <c r="N37" s="179"/>
    </row>
    <row r="38" spans="1:14" s="142" customFormat="1" ht="12.75">
      <c r="A38" s="144" t="s">
        <v>79</v>
      </c>
      <c r="B38" s="144"/>
      <c r="C38" s="144"/>
      <c r="D38" s="145"/>
      <c r="E38" s="169"/>
      <c r="F38" s="180">
        <f>'Standard+Pressure Core Summary'!V115</f>
        <v>0.7868146141941189</v>
      </c>
      <c r="G38" s="147"/>
      <c r="H38" s="147"/>
      <c r="I38" s="147"/>
      <c r="J38" s="147"/>
      <c r="K38" s="174"/>
      <c r="L38" s="174"/>
      <c r="M38" s="174"/>
      <c r="N38" s="181"/>
    </row>
    <row r="39" spans="1:14" s="142" customFormat="1" ht="12.75">
      <c r="A39" s="144" t="s">
        <v>653</v>
      </c>
      <c r="B39" s="144"/>
      <c r="C39" s="144"/>
      <c r="D39" s="145"/>
      <c r="E39" s="169"/>
      <c r="F39" s="173">
        <f>'Standard+Pressure Core Summary'!L115</f>
        <v>97</v>
      </c>
      <c r="G39" s="147"/>
      <c r="H39" s="147"/>
      <c r="I39" s="147"/>
      <c r="J39" s="147"/>
      <c r="K39" s="174"/>
      <c r="L39" s="174"/>
      <c r="M39" s="174"/>
      <c r="N39" s="181"/>
    </row>
    <row r="40" spans="1:14" s="142" customFormat="1" ht="12.75">
      <c r="A40" s="144" t="s">
        <v>654</v>
      </c>
      <c r="B40" s="144"/>
      <c r="C40" s="144"/>
      <c r="D40" s="145"/>
      <c r="E40" s="169"/>
      <c r="F40" s="173">
        <f>'Standard+Pressure Core Summary'!M115</f>
        <v>49</v>
      </c>
      <c r="G40" s="147"/>
      <c r="H40" s="147"/>
      <c r="I40" s="147"/>
      <c r="J40" s="147"/>
      <c r="K40" s="174"/>
      <c r="L40" s="174"/>
      <c r="M40" s="174"/>
      <c r="N40" s="181"/>
    </row>
    <row r="41" spans="1:14" s="142" customFormat="1" ht="12.75">
      <c r="A41" s="144" t="s">
        <v>655</v>
      </c>
      <c r="B41" s="144"/>
      <c r="C41" s="144"/>
      <c r="D41" s="145"/>
      <c r="E41" s="169"/>
      <c r="F41" s="180">
        <f>F40/F39</f>
        <v>0.5051546391752577</v>
      </c>
      <c r="G41" s="147"/>
      <c r="H41" s="147"/>
      <c r="I41" s="147"/>
      <c r="J41" s="147"/>
      <c r="K41" s="174"/>
      <c r="L41" s="174"/>
      <c r="M41" s="174"/>
      <c r="N41" s="181"/>
    </row>
    <row r="42" spans="1:14" s="142" customFormat="1" ht="12.75">
      <c r="A42" s="144" t="s">
        <v>808</v>
      </c>
      <c r="B42" s="144"/>
      <c r="C42" s="144"/>
      <c r="D42" s="145"/>
      <c r="E42" s="169"/>
      <c r="F42" s="716">
        <f>'Site Summary'!O92</f>
        <v>5810.599999999999</v>
      </c>
      <c r="G42" s="147"/>
      <c r="H42" s="144" t="s">
        <v>78</v>
      </c>
      <c r="I42" s="145"/>
      <c r="J42" s="145"/>
      <c r="K42" s="173"/>
      <c r="L42" s="174"/>
      <c r="M42" s="173">
        <v>0</v>
      </c>
      <c r="N42" s="181"/>
    </row>
    <row r="43" spans="1:14" s="142" customFormat="1" ht="12.75">
      <c r="A43" s="144" t="s">
        <v>809</v>
      </c>
      <c r="B43" s="144"/>
      <c r="C43" s="144"/>
      <c r="D43" s="183"/>
      <c r="E43" s="169"/>
      <c r="F43" s="716">
        <f>'Site Summary'!P92</f>
        <v>9257.800000000001</v>
      </c>
      <c r="G43" s="147"/>
      <c r="H43" s="147"/>
      <c r="I43" s="147"/>
      <c r="J43" s="147"/>
      <c r="K43" s="174"/>
      <c r="L43" s="174"/>
      <c r="M43" s="184"/>
      <c r="N43" s="181"/>
    </row>
    <row r="44" spans="1:14" s="142" customFormat="1" ht="12.75">
      <c r="A44" s="144" t="s">
        <v>810</v>
      </c>
      <c r="B44" s="144"/>
      <c r="C44" s="144"/>
      <c r="D44" s="183"/>
      <c r="E44" s="169"/>
      <c r="F44" s="182">
        <v>718</v>
      </c>
      <c r="G44" s="139"/>
      <c r="H44" s="144" t="s">
        <v>90</v>
      </c>
      <c r="I44" s="183"/>
      <c r="J44" s="145"/>
      <c r="K44" s="173"/>
      <c r="L44" s="174"/>
      <c r="M44" s="716">
        <v>2674.2</v>
      </c>
      <c r="N44" s="181"/>
    </row>
    <row r="45" spans="1:14" s="142" customFormat="1" ht="12.75">
      <c r="A45" s="144" t="s">
        <v>811</v>
      </c>
      <c r="B45" s="144"/>
      <c r="C45" s="144"/>
      <c r="D45" s="183"/>
      <c r="E45" s="169"/>
      <c r="F45" s="182">
        <v>32.6</v>
      </c>
      <c r="G45" s="139"/>
      <c r="H45" s="144" t="s">
        <v>91</v>
      </c>
      <c r="I45" s="183"/>
      <c r="J45" s="145"/>
      <c r="K45" s="173"/>
      <c r="L45" s="174"/>
      <c r="M45" s="182">
        <v>906.6</v>
      </c>
      <c r="N45" s="181"/>
    </row>
    <row r="46" spans="1:14" s="142" customFormat="1" ht="12.75">
      <c r="A46" s="175"/>
      <c r="B46" s="175"/>
      <c r="C46" s="175"/>
      <c r="D46" s="175"/>
      <c r="E46" s="185"/>
      <c r="F46" s="185"/>
      <c r="G46" s="175"/>
      <c r="H46" s="175"/>
      <c r="I46" s="175"/>
      <c r="J46" s="175"/>
      <c r="K46" s="176"/>
      <c r="L46" s="176"/>
      <c r="M46" s="177"/>
      <c r="N46" s="181"/>
    </row>
    <row r="47" spans="1:13" s="142" customFormat="1" ht="12.75">
      <c r="A47" s="186"/>
      <c r="B47" s="175"/>
      <c r="C47" s="175"/>
      <c r="D47" s="175"/>
      <c r="E47" s="185"/>
      <c r="F47" s="185"/>
      <c r="G47" s="175"/>
      <c r="H47" s="175"/>
      <c r="I47" s="175"/>
      <c r="J47" s="175"/>
      <c r="K47" s="176"/>
      <c r="L47" s="176"/>
      <c r="M47" s="187"/>
    </row>
    <row r="48" spans="1:3" ht="12.75">
      <c r="A48" s="63"/>
      <c r="B48" s="55"/>
      <c r="C48" s="55"/>
    </row>
    <row r="62" spans="11:12" ht="12.75">
      <c r="K62" s="56"/>
      <c r="L62" s="56"/>
    </row>
    <row r="63" spans="11:12" ht="12.75">
      <c r="K63" s="56"/>
      <c r="L63" s="56"/>
    </row>
    <row r="64" spans="1:12" ht="12.75">
      <c r="A64" s="55"/>
      <c r="B64" s="55"/>
      <c r="C64" s="55"/>
      <c r="E64" s="55"/>
      <c r="F64" s="55"/>
      <c r="K64" s="56"/>
      <c r="L64" s="56"/>
    </row>
    <row r="65" spans="1:12" ht="12.75">
      <c r="A65" s="55"/>
      <c r="B65" s="55"/>
      <c r="C65" s="55"/>
      <c r="E65" s="55"/>
      <c r="F65" s="55"/>
      <c r="K65" s="56"/>
      <c r="L65" s="56"/>
    </row>
    <row r="66" spans="1:12" ht="12.75">
      <c r="A66" s="55"/>
      <c r="B66" s="55"/>
      <c r="C66" s="55"/>
      <c r="E66" s="55"/>
      <c r="F66" s="55"/>
      <c r="K66" s="56"/>
      <c r="L66" s="56"/>
    </row>
    <row r="67" spans="1:12" ht="12.75">
      <c r="A67" s="55"/>
      <c r="B67" s="55"/>
      <c r="C67" s="55"/>
      <c r="E67" s="55"/>
      <c r="F67" s="55"/>
      <c r="K67" s="56"/>
      <c r="L67" s="56"/>
    </row>
    <row r="68" spans="1:12" ht="12.75">
      <c r="A68" s="55"/>
      <c r="B68" s="55"/>
      <c r="C68" s="55"/>
      <c r="E68" s="55"/>
      <c r="F68" s="55"/>
      <c r="K68" s="56"/>
      <c r="L68" s="56"/>
    </row>
    <row r="69" spans="1:12" ht="12.75">
      <c r="A69" s="55"/>
      <c r="B69" s="55"/>
      <c r="C69" s="55"/>
      <c r="E69" s="55"/>
      <c r="F69" s="55"/>
      <c r="K69" s="56"/>
      <c r="L69" s="56"/>
    </row>
    <row r="70" spans="1:12" ht="12.75">
      <c r="A70" s="55"/>
      <c r="B70" s="55"/>
      <c r="C70" s="55"/>
      <c r="E70" s="55"/>
      <c r="F70" s="55"/>
      <c r="K70" s="56"/>
      <c r="L70" s="56"/>
    </row>
    <row r="71" spans="1:12" ht="12.75">
      <c r="A71" s="55"/>
      <c r="B71" s="55"/>
      <c r="C71" s="55"/>
      <c r="E71" s="55"/>
      <c r="F71" s="55"/>
      <c r="K71" s="56"/>
      <c r="L71" s="56"/>
    </row>
    <row r="72" spans="1:12" ht="12.75">
      <c r="A72" s="55"/>
      <c r="B72" s="55"/>
      <c r="C72" s="55"/>
      <c r="E72" s="55"/>
      <c r="F72" s="55"/>
      <c r="K72" s="56"/>
      <c r="L72" s="56"/>
    </row>
    <row r="73" spans="1:12" ht="12.75">
      <c r="A73" s="55"/>
      <c r="B73" s="55"/>
      <c r="C73" s="55"/>
      <c r="E73" s="55"/>
      <c r="F73" s="55"/>
      <c r="K73" s="56"/>
      <c r="L73" s="56"/>
    </row>
    <row r="74" spans="1:12" ht="12.75">
      <c r="A74" s="55"/>
      <c r="B74" s="55"/>
      <c r="C74" s="55"/>
      <c r="E74" s="55"/>
      <c r="F74" s="55"/>
      <c r="K74" s="56"/>
      <c r="L74" s="56"/>
    </row>
    <row r="75" spans="1:12" ht="12.75">
      <c r="A75" s="55"/>
      <c r="B75" s="55"/>
      <c r="C75" s="55"/>
      <c r="E75" s="55"/>
      <c r="F75" s="55"/>
      <c r="K75" s="56"/>
      <c r="L75" s="56"/>
    </row>
    <row r="76" spans="1:12" ht="12.75">
      <c r="A76" s="55"/>
      <c r="B76" s="55"/>
      <c r="C76" s="55"/>
      <c r="E76" s="55"/>
      <c r="F76" s="55"/>
      <c r="K76" s="56"/>
      <c r="L76" s="56"/>
    </row>
    <row r="77" spans="1:12" ht="12.75">
      <c r="A77" s="55"/>
      <c r="B77" s="55"/>
      <c r="C77" s="55"/>
      <c r="E77" s="55"/>
      <c r="F77" s="55"/>
      <c r="K77" s="56"/>
      <c r="L77" s="56"/>
    </row>
    <row r="78" spans="1:12" ht="12.75">
      <c r="A78" s="55"/>
      <c r="B78" s="55"/>
      <c r="C78" s="55"/>
      <c r="E78" s="55"/>
      <c r="F78" s="55"/>
      <c r="K78" s="56"/>
      <c r="L78" s="56"/>
    </row>
    <row r="79" spans="1:12" ht="12.75">
      <c r="A79" s="55"/>
      <c r="B79" s="55"/>
      <c r="C79" s="55"/>
      <c r="E79" s="55"/>
      <c r="F79" s="55"/>
      <c r="K79" s="56"/>
      <c r="L79" s="56"/>
    </row>
    <row r="80" spans="1:12" ht="12.75">
      <c r="A80" s="55"/>
      <c r="B80" s="55"/>
      <c r="C80" s="55"/>
      <c r="E80" s="55"/>
      <c r="F80" s="55"/>
      <c r="K80" s="56"/>
      <c r="L80" s="56"/>
    </row>
    <row r="81" spans="1:12" ht="12.75">
      <c r="A81" s="55"/>
      <c r="B81" s="55"/>
      <c r="C81" s="55"/>
      <c r="E81" s="55"/>
      <c r="F81" s="55"/>
      <c r="K81" s="56"/>
      <c r="L81" s="56"/>
    </row>
    <row r="82" spans="1:12" ht="12.75">
      <c r="A82" s="55"/>
      <c r="B82" s="55"/>
      <c r="C82" s="55"/>
      <c r="E82" s="55"/>
      <c r="F82" s="55"/>
      <c r="K82" s="56"/>
      <c r="L82" s="56"/>
    </row>
    <row r="83" spans="1:12" ht="12.75">
      <c r="A83" s="55"/>
      <c r="B83" s="55"/>
      <c r="C83" s="55"/>
      <c r="E83" s="55"/>
      <c r="F83" s="55"/>
      <c r="K83" s="56"/>
      <c r="L83" s="56"/>
    </row>
    <row r="84" spans="1:12" ht="12.75">
      <c r="A84" s="55"/>
      <c r="B84" s="55"/>
      <c r="C84" s="55"/>
      <c r="E84" s="55"/>
      <c r="F84" s="55"/>
      <c r="K84" s="56"/>
      <c r="L84" s="56"/>
    </row>
    <row r="85" spans="1:12" ht="12.75">
      <c r="A85" s="55"/>
      <c r="B85" s="55"/>
      <c r="C85" s="55"/>
      <c r="E85" s="55"/>
      <c r="F85" s="55"/>
      <c r="K85" s="56"/>
      <c r="L85" s="56"/>
    </row>
    <row r="86" spans="1:12" ht="12.75">
      <c r="A86" s="55"/>
      <c r="B86" s="55"/>
      <c r="C86" s="55"/>
      <c r="E86" s="55"/>
      <c r="F86" s="55"/>
      <c r="K86" s="56"/>
      <c r="L86" s="56"/>
    </row>
    <row r="87" spans="1:12" ht="12.75">
      <c r="A87" s="55"/>
      <c r="B87" s="55"/>
      <c r="C87" s="55"/>
      <c r="E87" s="55"/>
      <c r="F87" s="55"/>
      <c r="K87" s="56"/>
      <c r="L87" s="56"/>
    </row>
    <row r="88" spans="1:12" ht="12.75">
      <c r="A88" s="55"/>
      <c r="B88" s="55"/>
      <c r="C88" s="55"/>
      <c r="E88" s="55"/>
      <c r="F88" s="55"/>
      <c r="K88" s="56"/>
      <c r="L88" s="56"/>
    </row>
    <row r="89" spans="1:12" ht="12.75">
      <c r="A89" s="55"/>
      <c r="B89" s="55"/>
      <c r="C89" s="55"/>
      <c r="E89" s="55"/>
      <c r="F89" s="55"/>
      <c r="K89" s="56"/>
      <c r="L89" s="56"/>
    </row>
    <row r="90" spans="1:12" ht="12.75">
      <c r="A90" s="55"/>
      <c r="B90" s="55"/>
      <c r="C90" s="55"/>
      <c r="E90" s="55"/>
      <c r="F90" s="55"/>
      <c r="K90" s="56"/>
      <c r="L90" s="56"/>
    </row>
    <row r="91" spans="1:12" ht="12.75">
      <c r="A91" s="55"/>
      <c r="B91" s="55"/>
      <c r="C91" s="55"/>
      <c r="E91" s="55"/>
      <c r="F91" s="55"/>
      <c r="K91" s="56"/>
      <c r="L91" s="56"/>
    </row>
    <row r="92" spans="1:12" ht="12.75">
      <c r="A92" s="55"/>
      <c r="B92" s="55"/>
      <c r="C92" s="55"/>
      <c r="E92" s="55"/>
      <c r="F92" s="55"/>
      <c r="K92" s="56"/>
      <c r="L92" s="56"/>
    </row>
    <row r="93" spans="1:12" ht="12.75">
      <c r="A93" s="55"/>
      <c r="B93" s="55"/>
      <c r="C93" s="55"/>
      <c r="E93" s="55"/>
      <c r="F93" s="55"/>
      <c r="K93" s="56"/>
      <c r="L93" s="56"/>
    </row>
    <row r="94" spans="1:12" ht="12.75">
      <c r="A94" s="55"/>
      <c r="B94" s="55"/>
      <c r="C94" s="55"/>
      <c r="E94" s="55"/>
      <c r="F94" s="55"/>
      <c r="K94" s="56"/>
      <c r="L94" s="56"/>
    </row>
    <row r="95" spans="1:12" ht="12.75">
      <c r="A95" s="55"/>
      <c r="B95" s="55"/>
      <c r="C95" s="55"/>
      <c r="E95" s="55"/>
      <c r="F95" s="55"/>
      <c r="K95" s="56"/>
      <c r="L95" s="56"/>
    </row>
    <row r="96" spans="1:12" ht="12.75">
      <c r="A96" s="55"/>
      <c r="B96" s="55"/>
      <c r="C96" s="55"/>
      <c r="E96" s="55"/>
      <c r="F96" s="55"/>
      <c r="K96" s="56"/>
      <c r="L96" s="56"/>
    </row>
    <row r="97" spans="1:12" ht="12.75">
      <c r="A97" s="55"/>
      <c r="B97" s="55"/>
      <c r="C97" s="55"/>
      <c r="E97" s="55"/>
      <c r="F97" s="55"/>
      <c r="K97" s="56"/>
      <c r="L97" s="56"/>
    </row>
    <row r="98" spans="1:12" ht="12.75">
      <c r="A98" s="55"/>
      <c r="B98" s="55"/>
      <c r="C98" s="55"/>
      <c r="E98" s="55"/>
      <c r="F98" s="55"/>
      <c r="K98" s="56"/>
      <c r="L98" s="56"/>
    </row>
    <row r="99" spans="1:12" ht="12.75">
      <c r="A99" s="55"/>
      <c r="B99" s="55"/>
      <c r="C99" s="55"/>
      <c r="E99" s="55"/>
      <c r="F99" s="55"/>
      <c r="K99" s="56"/>
      <c r="L99" s="56"/>
    </row>
    <row r="100" spans="1:12" ht="12.75">
      <c r="A100" s="55"/>
      <c r="B100" s="55"/>
      <c r="C100" s="55"/>
      <c r="E100" s="55"/>
      <c r="F100" s="55"/>
      <c r="K100" s="56"/>
      <c r="L100" s="56"/>
    </row>
    <row r="101" spans="1:12" ht="12.75">
      <c r="A101" s="55"/>
      <c r="B101" s="55"/>
      <c r="C101" s="55"/>
      <c r="E101" s="55"/>
      <c r="F101" s="55"/>
      <c r="K101" s="56"/>
      <c r="L101" s="56"/>
    </row>
    <row r="102" spans="1:12" ht="12.75">
      <c r="A102" s="55"/>
      <c r="B102" s="55"/>
      <c r="C102" s="55"/>
      <c r="E102" s="55"/>
      <c r="F102" s="55"/>
      <c r="K102" s="56"/>
      <c r="L102" s="56"/>
    </row>
    <row r="103" spans="1:12" ht="12.75">
      <c r="A103" s="55"/>
      <c r="B103" s="55"/>
      <c r="C103" s="55"/>
      <c r="E103" s="55"/>
      <c r="F103" s="55"/>
      <c r="K103" s="56"/>
      <c r="L103" s="56"/>
    </row>
    <row r="104" spans="1:12" ht="12.75">
      <c r="A104" s="55"/>
      <c r="B104" s="55"/>
      <c r="C104" s="55"/>
      <c r="E104" s="55"/>
      <c r="F104" s="55"/>
      <c r="K104" s="56"/>
      <c r="L104" s="56"/>
    </row>
    <row r="105" spans="1:12" ht="12.75">
      <c r="A105" s="55"/>
      <c r="B105" s="55"/>
      <c r="C105" s="55"/>
      <c r="E105" s="55"/>
      <c r="F105" s="55"/>
      <c r="K105" s="56"/>
      <c r="L105" s="56"/>
    </row>
    <row r="106" spans="1:6" ht="12.75">
      <c r="A106" s="55"/>
      <c r="B106" s="55"/>
      <c r="C106" s="55"/>
      <c r="E106" s="55"/>
      <c r="F106" s="55"/>
    </row>
    <row r="107" spans="1:6" ht="12.75">
      <c r="A107" s="55"/>
      <c r="B107" s="55"/>
      <c r="C107" s="55"/>
      <c r="E107" s="55"/>
      <c r="F107" s="55"/>
    </row>
  </sheetData>
  <sheetProtection/>
  <mergeCells count="8">
    <mergeCell ref="A29:D29"/>
    <mergeCell ref="H29:K29"/>
    <mergeCell ref="A7:F7"/>
    <mergeCell ref="A6:M6"/>
    <mergeCell ref="A5:M5"/>
    <mergeCell ref="A1:M1"/>
    <mergeCell ref="A4:M4"/>
    <mergeCell ref="A2:M2"/>
  </mergeCells>
  <printOptions horizontalCentered="1"/>
  <pageMargins left="0.75" right="0.25" top="0.75" bottom="0.5" header="0" footer="0.25"/>
  <pageSetup horizontalDpi="300" verticalDpi="300" orientation="portrait" r:id="rId1"/>
  <headerFooter alignWithMargins="0">
    <oddFooter>&amp;L&amp;"Arial,Regular"&amp;8&amp;F&amp;C&amp;"Arial,Regular"&amp;8Page &amp;P of &amp;N&amp;R&amp;"Arial,Regular"&amp;8M. Storms, 17 August 06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63"/>
  <sheetViews>
    <sheetView zoomScale="90" zoomScaleNormal="90" zoomScalePageLayoutView="0" workbookViewId="0" topLeftCell="A1">
      <selection activeCell="I68" sqref="I68"/>
    </sheetView>
  </sheetViews>
  <sheetFormatPr defaultColWidth="5.625" defaultRowHeight="12.75"/>
  <cols>
    <col min="1" max="1" width="7.125" style="1072" customWidth="1"/>
    <col min="2" max="2" width="5.50390625" style="1073" customWidth="1"/>
    <col min="3" max="3" width="6.125" style="1073" customWidth="1"/>
    <col min="4" max="5" width="6.625" style="1073" customWidth="1"/>
    <col min="6" max="6" width="8.375" style="1073" customWidth="1"/>
    <col min="7" max="8" width="6.625" style="1073" customWidth="1"/>
    <col min="9" max="9" width="8.50390625" style="1073" customWidth="1"/>
    <col min="10" max="10" width="6.625" style="1073" customWidth="1"/>
    <col min="11" max="12" width="7.875" style="1073" customWidth="1"/>
    <col min="13" max="16" width="6.625" style="1073" customWidth="1"/>
    <col min="17" max="19" width="5.625" style="1073" customWidth="1"/>
    <col min="20" max="20" width="6.625" style="1073" bestFit="1" customWidth="1"/>
    <col min="21" max="21" width="6.00390625" style="1066" bestFit="1" customWidth="1"/>
    <col min="22" max="22" width="9.125" style="1067" customWidth="1"/>
    <col min="23" max="23" width="14.50390625" style="1068" customWidth="1"/>
    <col min="24" max="24" width="6.50390625" style="1069" customWidth="1"/>
    <col min="25" max="27" width="5.625" style="1068" customWidth="1"/>
    <col min="28" max="28" width="6.375" style="1067" customWidth="1"/>
    <col min="29" max="29" width="6.875" style="1070" customWidth="1"/>
    <col min="30" max="16384" width="5.625" style="1068" customWidth="1"/>
  </cols>
  <sheetData>
    <row r="1" spans="1:20" s="809" customFormat="1" ht="18">
      <c r="A1" s="1175" t="s">
        <v>245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</row>
    <row r="2" spans="1:20" ht="18">
      <c r="A2" s="1264" t="s">
        <v>246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4"/>
      <c r="N2" s="1264"/>
      <c r="O2" s="1264"/>
      <c r="P2" s="1264"/>
      <c r="Q2" s="1264"/>
      <c r="R2" s="1264"/>
      <c r="S2" s="1264"/>
      <c r="T2" s="1264"/>
    </row>
    <row r="3" spans="1:20" ht="15" customHeight="1">
      <c r="A3" s="1071"/>
      <c r="B3" s="1071"/>
      <c r="C3" s="1071"/>
      <c r="D3" s="1071"/>
      <c r="E3" s="1071"/>
      <c r="F3" s="1071"/>
      <c r="G3" s="1071"/>
      <c r="H3" s="1071"/>
      <c r="I3" s="1071"/>
      <c r="J3" s="1071"/>
      <c r="K3" s="1071"/>
      <c r="L3" s="1071"/>
      <c r="M3" s="1071"/>
      <c r="N3" s="1071"/>
      <c r="O3" s="1071"/>
      <c r="P3" s="1071"/>
      <c r="Q3" s="1071"/>
      <c r="R3" s="1071"/>
      <c r="S3" s="1071"/>
      <c r="T3" s="1071"/>
    </row>
    <row r="4" spans="1:20" ht="18">
      <c r="A4" s="1260" t="s">
        <v>129</v>
      </c>
      <c r="B4" s="1260"/>
      <c r="C4" s="1260"/>
      <c r="D4" s="1260"/>
      <c r="E4" s="1260"/>
      <c r="F4" s="1260"/>
      <c r="G4" s="1260"/>
      <c r="H4" s="1260"/>
      <c r="I4" s="1260"/>
      <c r="J4" s="1260"/>
      <c r="K4" s="1260"/>
      <c r="L4" s="1260"/>
      <c r="M4" s="1260"/>
      <c r="N4" s="1260"/>
      <c r="O4" s="1260"/>
      <c r="P4" s="1260"/>
      <c r="Q4" s="1260"/>
      <c r="R4" s="1260"/>
      <c r="S4" s="1260"/>
      <c r="T4" s="1260"/>
    </row>
    <row r="5" ht="9.75" customHeight="1"/>
    <row r="6" spans="1:29" s="1079" customFormat="1" ht="12.75" customHeight="1">
      <c r="A6" s="1074"/>
      <c r="B6" s="1075"/>
      <c r="C6" s="1075"/>
      <c r="D6" s="1075"/>
      <c r="E6" s="1261" t="s">
        <v>84</v>
      </c>
      <c r="F6" s="1262"/>
      <c r="G6" s="1262"/>
      <c r="H6" s="1262"/>
      <c r="I6" s="1262"/>
      <c r="J6" s="1262"/>
      <c r="K6" s="1262"/>
      <c r="L6" s="1262"/>
      <c r="M6" s="1262"/>
      <c r="N6" s="1262"/>
      <c r="O6" s="1262"/>
      <c r="P6" s="1262"/>
      <c r="Q6" s="1262"/>
      <c r="R6" s="1262"/>
      <c r="S6" s="1263"/>
      <c r="T6" s="1076"/>
      <c r="U6" s="1077"/>
      <c r="V6" s="1078"/>
      <c r="X6" s="1080"/>
      <c r="AB6" s="1078"/>
      <c r="AC6" s="1081"/>
    </row>
    <row r="7" spans="1:29" s="1079" customFormat="1" ht="12.75" customHeight="1">
      <c r="A7" s="1082" t="s">
        <v>24</v>
      </c>
      <c r="B7" s="1083" t="s">
        <v>7</v>
      </c>
      <c r="C7" s="1083"/>
      <c r="D7" s="1083"/>
      <c r="E7" s="1083" t="s">
        <v>34</v>
      </c>
      <c r="F7" s="1083" t="s">
        <v>897</v>
      </c>
      <c r="G7" s="1083" t="s">
        <v>98</v>
      </c>
      <c r="H7" s="1083" t="s">
        <v>308</v>
      </c>
      <c r="I7" s="1267" t="s">
        <v>81</v>
      </c>
      <c r="J7" s="1268"/>
      <c r="K7" s="1083" t="s">
        <v>127</v>
      </c>
      <c r="L7" s="1083" t="s">
        <v>80</v>
      </c>
      <c r="M7" s="1083" t="s">
        <v>102</v>
      </c>
      <c r="N7" s="1083" t="s">
        <v>121</v>
      </c>
      <c r="O7" s="1083" t="s">
        <v>101</v>
      </c>
      <c r="P7" s="1083" t="s">
        <v>36</v>
      </c>
      <c r="Q7" s="1267" t="s">
        <v>95</v>
      </c>
      <c r="R7" s="1268"/>
      <c r="S7" s="1083"/>
      <c r="T7" s="1084"/>
      <c r="U7" s="1077"/>
      <c r="V7" s="1078"/>
      <c r="X7" s="1080"/>
      <c r="AB7" s="1078"/>
      <c r="AC7" s="1081"/>
    </row>
    <row r="8" spans="1:29" s="1079" customFormat="1" ht="12.75" customHeight="1">
      <c r="A8" s="1085" t="s">
        <v>142</v>
      </c>
      <c r="B8" s="1086" t="s">
        <v>1</v>
      </c>
      <c r="C8" s="1086" t="s">
        <v>33</v>
      </c>
      <c r="D8" s="1086" t="s">
        <v>96</v>
      </c>
      <c r="E8" s="1086" t="s">
        <v>2</v>
      </c>
      <c r="F8" s="1086" t="s">
        <v>100</v>
      </c>
      <c r="G8" s="1086" t="s">
        <v>35</v>
      </c>
      <c r="H8" s="1086" t="s">
        <v>309</v>
      </c>
      <c r="I8" s="1087" t="s">
        <v>897</v>
      </c>
      <c r="J8" s="1087" t="s">
        <v>122</v>
      </c>
      <c r="K8" s="1086" t="s">
        <v>23</v>
      </c>
      <c r="L8" s="1086" t="s">
        <v>82</v>
      </c>
      <c r="M8" s="1086" t="s">
        <v>128</v>
      </c>
      <c r="N8" s="1086" t="s">
        <v>34</v>
      </c>
      <c r="O8" s="1086" t="s">
        <v>99</v>
      </c>
      <c r="P8" s="1086" t="s">
        <v>146</v>
      </c>
      <c r="Q8" s="1087" t="s">
        <v>83</v>
      </c>
      <c r="R8" s="1087" t="s">
        <v>37</v>
      </c>
      <c r="S8" s="1086" t="s">
        <v>3</v>
      </c>
      <c r="T8" s="1086" t="s">
        <v>4</v>
      </c>
      <c r="U8" s="1077"/>
      <c r="V8" s="1078"/>
      <c r="X8" s="1080"/>
      <c r="AB8" s="1078"/>
      <c r="AC8" s="1081"/>
    </row>
    <row r="9" spans="1:29" s="1079" customFormat="1" ht="12.75" customHeight="1">
      <c r="A9" s="1088" t="s">
        <v>103</v>
      </c>
      <c r="B9" s="1087" t="s">
        <v>104</v>
      </c>
      <c r="C9" s="1087" t="s">
        <v>105</v>
      </c>
      <c r="D9" s="1087" t="s">
        <v>106</v>
      </c>
      <c r="E9" s="1087" t="s">
        <v>107</v>
      </c>
      <c r="F9" s="1087" t="s">
        <v>108</v>
      </c>
      <c r="G9" s="1087" t="s">
        <v>109</v>
      </c>
      <c r="H9" s="1087" t="s">
        <v>110</v>
      </c>
      <c r="I9" s="1087" t="s">
        <v>111</v>
      </c>
      <c r="J9" s="1087" t="s">
        <v>112</v>
      </c>
      <c r="K9" s="1087" t="s">
        <v>113</v>
      </c>
      <c r="L9" s="1087" t="s">
        <v>114</v>
      </c>
      <c r="M9" s="1087" t="s">
        <v>30</v>
      </c>
      <c r="N9" s="1087" t="s">
        <v>115</v>
      </c>
      <c r="O9" s="1087" t="s">
        <v>116</v>
      </c>
      <c r="P9" s="1087" t="s">
        <v>117</v>
      </c>
      <c r="Q9" s="1087" t="s">
        <v>118</v>
      </c>
      <c r="R9" s="1087" t="s">
        <v>119</v>
      </c>
      <c r="S9" s="1087" t="s">
        <v>120</v>
      </c>
      <c r="T9" s="1087" t="s">
        <v>38</v>
      </c>
      <c r="U9" s="1077"/>
      <c r="V9" s="1078"/>
      <c r="X9" s="1080"/>
      <c r="AB9" s="1078"/>
      <c r="AC9" s="1081"/>
    </row>
    <row r="10" spans="1:29" s="1091" customFormat="1" ht="6" customHeight="1">
      <c r="A10" s="1089"/>
      <c r="B10" s="1090"/>
      <c r="C10" s="1090"/>
      <c r="D10" s="1090"/>
      <c r="E10" s="1090"/>
      <c r="F10" s="1090"/>
      <c r="G10" s="1090"/>
      <c r="H10" s="1090"/>
      <c r="I10" s="1090"/>
      <c r="J10" s="1090"/>
      <c r="K10" s="1090"/>
      <c r="L10" s="1090"/>
      <c r="M10" s="1090"/>
      <c r="N10" s="1090"/>
      <c r="O10" s="1090"/>
      <c r="P10" s="1090"/>
      <c r="Q10" s="1090"/>
      <c r="R10" s="1090"/>
      <c r="S10" s="1090"/>
      <c r="T10" s="1090"/>
      <c r="U10" s="1077"/>
      <c r="V10" s="1078"/>
      <c r="X10" s="1092"/>
      <c r="AB10" s="1093"/>
      <c r="AC10" s="1094"/>
    </row>
    <row r="11" spans="1:29" s="1079" customFormat="1" ht="12.75" customHeight="1" thickBot="1">
      <c r="A11" s="1095">
        <f>DATE(6,4,28)</f>
        <v>2310</v>
      </c>
      <c r="B11" s="1096" t="s">
        <v>137</v>
      </c>
      <c r="C11" s="1097">
        <v>18</v>
      </c>
      <c r="D11" s="1097" t="s">
        <v>5</v>
      </c>
      <c r="E11" s="1096" t="s">
        <v>5</v>
      </c>
      <c r="F11" s="1096" t="s">
        <v>5</v>
      </c>
      <c r="G11" s="1096" t="s">
        <v>5</v>
      </c>
      <c r="H11" s="1096" t="s">
        <v>5</v>
      </c>
      <c r="I11" s="1096" t="s">
        <v>5</v>
      </c>
      <c r="J11" s="1096" t="s">
        <v>5</v>
      </c>
      <c r="K11" s="1096" t="s">
        <v>5</v>
      </c>
      <c r="L11" s="1097" t="s">
        <v>5</v>
      </c>
      <c r="M11" s="1097" t="s">
        <v>5</v>
      </c>
      <c r="N11" s="1096" t="s">
        <v>5</v>
      </c>
      <c r="O11" s="1096" t="s">
        <v>5</v>
      </c>
      <c r="P11" s="1096" t="s">
        <v>5</v>
      </c>
      <c r="Q11" s="1096" t="s">
        <v>5</v>
      </c>
      <c r="R11" s="1096" t="s">
        <v>5</v>
      </c>
      <c r="S11" s="1096" t="s">
        <v>5</v>
      </c>
      <c r="T11" s="1096">
        <f aca="true" t="shared" si="0" ref="T11:T27">SUM(B11:S11)</f>
        <v>18</v>
      </c>
      <c r="U11" s="1077"/>
      <c r="V11" s="1078"/>
      <c r="X11" s="1080"/>
      <c r="AB11" s="1078"/>
      <c r="AC11" s="1081"/>
    </row>
    <row r="12" spans="1:29" s="1079" customFormat="1" ht="12.75" customHeight="1" thickTop="1">
      <c r="A12" s="1098">
        <f aca="true" t="shared" si="1" ref="A12:A27">A11+1</f>
        <v>2311</v>
      </c>
      <c r="B12" s="1099" t="s">
        <v>137</v>
      </c>
      <c r="C12" s="1099">
        <v>24</v>
      </c>
      <c r="D12" s="1099" t="s">
        <v>5</v>
      </c>
      <c r="E12" s="1099" t="s">
        <v>5</v>
      </c>
      <c r="F12" s="1099" t="s">
        <v>5</v>
      </c>
      <c r="G12" s="1099" t="s">
        <v>5</v>
      </c>
      <c r="H12" s="1099" t="s">
        <v>5</v>
      </c>
      <c r="I12" s="1099" t="s">
        <v>5</v>
      </c>
      <c r="J12" s="1099" t="s">
        <v>5</v>
      </c>
      <c r="K12" s="1100" t="s">
        <v>5</v>
      </c>
      <c r="L12" s="1248" t="s">
        <v>311</v>
      </c>
      <c r="M12" s="1249"/>
      <c r="N12" s="1101" t="s">
        <v>5</v>
      </c>
      <c r="O12" s="1099" t="s">
        <v>5</v>
      </c>
      <c r="P12" s="1099" t="s">
        <v>5</v>
      </c>
      <c r="Q12" s="1099" t="s">
        <v>5</v>
      </c>
      <c r="R12" s="1099" t="s">
        <v>5</v>
      </c>
      <c r="S12" s="1099" t="s">
        <v>5</v>
      </c>
      <c r="T12" s="1099">
        <f t="shared" si="0"/>
        <v>24</v>
      </c>
      <c r="U12" s="1077"/>
      <c r="V12" s="1078"/>
      <c r="X12" s="1080"/>
      <c r="AB12" s="1078"/>
      <c r="AC12" s="1081"/>
    </row>
    <row r="13" spans="1:29" s="1079" customFormat="1" ht="12.75" customHeight="1" thickBot="1">
      <c r="A13" s="1098">
        <f t="shared" si="1"/>
        <v>2312</v>
      </c>
      <c r="B13" s="1099" t="s">
        <v>137</v>
      </c>
      <c r="C13" s="1099">
        <v>24</v>
      </c>
      <c r="D13" s="1099" t="s">
        <v>5</v>
      </c>
      <c r="E13" s="1099" t="s">
        <v>5</v>
      </c>
      <c r="F13" s="1099" t="s">
        <v>5</v>
      </c>
      <c r="G13" s="1099" t="s">
        <v>5</v>
      </c>
      <c r="H13" s="1099" t="s">
        <v>5</v>
      </c>
      <c r="I13" s="1099" t="s">
        <v>5</v>
      </c>
      <c r="J13" s="1099" t="s">
        <v>5</v>
      </c>
      <c r="K13" s="1100" t="s">
        <v>5</v>
      </c>
      <c r="L13" s="1250"/>
      <c r="M13" s="1251"/>
      <c r="N13" s="1101" t="s">
        <v>5</v>
      </c>
      <c r="O13" s="1099" t="s">
        <v>5</v>
      </c>
      <c r="P13" s="1099" t="s">
        <v>5</v>
      </c>
      <c r="Q13" s="1099" t="s">
        <v>5</v>
      </c>
      <c r="R13" s="1099" t="s">
        <v>5</v>
      </c>
      <c r="S13" s="1099" t="s">
        <v>5</v>
      </c>
      <c r="T13" s="1099">
        <f t="shared" si="0"/>
        <v>24</v>
      </c>
      <c r="U13" s="1077"/>
      <c r="V13" s="1078"/>
      <c r="X13" s="1080"/>
      <c r="AB13" s="1078"/>
      <c r="AC13" s="1081"/>
    </row>
    <row r="14" spans="1:29" s="1079" customFormat="1" ht="12.75" customHeight="1" thickTop="1">
      <c r="A14" s="1098">
        <f t="shared" si="1"/>
        <v>2313</v>
      </c>
      <c r="B14" s="1099" t="s">
        <v>137</v>
      </c>
      <c r="C14" s="1099">
        <v>24</v>
      </c>
      <c r="D14" s="1099" t="s">
        <v>5</v>
      </c>
      <c r="E14" s="1099" t="s">
        <v>5</v>
      </c>
      <c r="F14" s="1099" t="s">
        <v>5</v>
      </c>
      <c r="G14" s="1099" t="s">
        <v>5</v>
      </c>
      <c r="H14" s="1099" t="s">
        <v>5</v>
      </c>
      <c r="I14" s="1099" t="s">
        <v>5</v>
      </c>
      <c r="J14" s="1099" t="s">
        <v>5</v>
      </c>
      <c r="K14" s="1099" t="s">
        <v>5</v>
      </c>
      <c r="L14" s="1102" t="s">
        <v>5</v>
      </c>
      <c r="M14" s="1102" t="s">
        <v>5</v>
      </c>
      <c r="N14" s="1099" t="s">
        <v>5</v>
      </c>
      <c r="O14" s="1099" t="s">
        <v>5</v>
      </c>
      <c r="P14" s="1099" t="s">
        <v>5</v>
      </c>
      <c r="Q14" s="1099" t="s">
        <v>5</v>
      </c>
      <c r="R14" s="1099" t="s">
        <v>5</v>
      </c>
      <c r="S14" s="1099" t="s">
        <v>5</v>
      </c>
      <c r="T14" s="1099">
        <f t="shared" si="0"/>
        <v>24</v>
      </c>
      <c r="U14" s="1077"/>
      <c r="V14" s="1078"/>
      <c r="X14" s="1080"/>
      <c r="AB14" s="1078"/>
      <c r="AC14" s="1081"/>
    </row>
    <row r="15" spans="1:29" s="1079" customFormat="1" ht="12.75" customHeight="1">
      <c r="A15" s="1098">
        <f t="shared" si="1"/>
        <v>2314</v>
      </c>
      <c r="B15" s="1099" t="s">
        <v>137</v>
      </c>
      <c r="C15" s="1099">
        <v>24</v>
      </c>
      <c r="D15" s="1099" t="s">
        <v>5</v>
      </c>
      <c r="E15" s="1099" t="s">
        <v>5</v>
      </c>
      <c r="F15" s="1099" t="s">
        <v>5</v>
      </c>
      <c r="G15" s="1099" t="s">
        <v>5</v>
      </c>
      <c r="H15" s="1099" t="s">
        <v>5</v>
      </c>
      <c r="I15" s="1099" t="s">
        <v>5</v>
      </c>
      <c r="J15" s="1099" t="s">
        <v>5</v>
      </c>
      <c r="K15" s="1099" t="s">
        <v>5</v>
      </c>
      <c r="L15" s="1099" t="s">
        <v>5</v>
      </c>
      <c r="M15" s="1099" t="s">
        <v>5</v>
      </c>
      <c r="N15" s="1099" t="s">
        <v>5</v>
      </c>
      <c r="O15" s="1099" t="s">
        <v>5</v>
      </c>
      <c r="P15" s="1099" t="s">
        <v>5</v>
      </c>
      <c r="Q15" s="1099" t="s">
        <v>5</v>
      </c>
      <c r="R15" s="1099" t="s">
        <v>5</v>
      </c>
      <c r="S15" s="1099" t="s">
        <v>5</v>
      </c>
      <c r="T15" s="1099">
        <f t="shared" si="0"/>
        <v>24</v>
      </c>
      <c r="U15" s="1077"/>
      <c r="V15" s="1078"/>
      <c r="X15" s="1080"/>
      <c r="AB15" s="1078"/>
      <c r="AC15" s="1081"/>
    </row>
    <row r="16" spans="1:29" s="1079" customFormat="1" ht="12.75" customHeight="1">
      <c r="A16" s="1098">
        <f t="shared" si="1"/>
        <v>2315</v>
      </c>
      <c r="B16" s="1099" t="s">
        <v>137</v>
      </c>
      <c r="C16" s="1099">
        <v>24</v>
      </c>
      <c r="D16" s="1099" t="s">
        <v>5</v>
      </c>
      <c r="E16" s="1099" t="s">
        <v>5</v>
      </c>
      <c r="F16" s="1099" t="s">
        <v>5</v>
      </c>
      <c r="G16" s="1099" t="s">
        <v>5</v>
      </c>
      <c r="H16" s="1099" t="s">
        <v>5</v>
      </c>
      <c r="I16" s="1099" t="s">
        <v>5</v>
      </c>
      <c r="J16" s="1099" t="s">
        <v>5</v>
      </c>
      <c r="K16" s="1099" t="s">
        <v>5</v>
      </c>
      <c r="L16" s="1099" t="s">
        <v>5</v>
      </c>
      <c r="M16" s="1099" t="s">
        <v>5</v>
      </c>
      <c r="N16" s="1099" t="s">
        <v>5</v>
      </c>
      <c r="O16" s="1099" t="s">
        <v>5</v>
      </c>
      <c r="P16" s="1099" t="s">
        <v>5</v>
      </c>
      <c r="Q16" s="1099" t="s">
        <v>5</v>
      </c>
      <c r="R16" s="1099" t="s">
        <v>5</v>
      </c>
      <c r="S16" s="1099" t="s">
        <v>5</v>
      </c>
      <c r="T16" s="1099">
        <f t="shared" si="0"/>
        <v>24</v>
      </c>
      <c r="U16" s="1077"/>
      <c r="V16" s="1078"/>
      <c r="X16" s="1103"/>
      <c r="AB16" s="1078"/>
      <c r="AC16" s="1081"/>
    </row>
    <row r="17" spans="1:29" s="1079" customFormat="1" ht="12.75" customHeight="1">
      <c r="A17" s="1098">
        <f t="shared" si="1"/>
        <v>2316</v>
      </c>
      <c r="B17" s="1099" t="s">
        <v>137</v>
      </c>
      <c r="C17" s="1099">
        <v>24</v>
      </c>
      <c r="D17" s="1099" t="s">
        <v>5</v>
      </c>
      <c r="E17" s="1099" t="s">
        <v>5</v>
      </c>
      <c r="F17" s="1099" t="s">
        <v>5</v>
      </c>
      <c r="G17" s="1099" t="s">
        <v>5</v>
      </c>
      <c r="H17" s="1099" t="s">
        <v>5</v>
      </c>
      <c r="I17" s="1099" t="s">
        <v>5</v>
      </c>
      <c r="J17" s="1099" t="s">
        <v>5</v>
      </c>
      <c r="K17" s="1099" t="s">
        <v>5</v>
      </c>
      <c r="L17" s="1099" t="s">
        <v>5</v>
      </c>
      <c r="M17" s="1099" t="s">
        <v>5</v>
      </c>
      <c r="N17" s="1099" t="s">
        <v>5</v>
      </c>
      <c r="O17" s="1099" t="s">
        <v>5</v>
      </c>
      <c r="P17" s="1099" t="s">
        <v>5</v>
      </c>
      <c r="Q17" s="1099" t="s">
        <v>5</v>
      </c>
      <c r="R17" s="1099" t="s">
        <v>5</v>
      </c>
      <c r="S17" s="1099" t="s">
        <v>5</v>
      </c>
      <c r="T17" s="1099">
        <f t="shared" si="0"/>
        <v>24</v>
      </c>
      <c r="U17" s="1077"/>
      <c r="V17" s="1078"/>
      <c r="X17" s="1103"/>
      <c r="Y17" s="1078"/>
      <c r="AB17" s="1078"/>
      <c r="AC17" s="1081"/>
    </row>
    <row r="18" spans="1:29" s="1079" customFormat="1" ht="12.75" customHeight="1">
      <c r="A18" s="1098">
        <f t="shared" si="1"/>
        <v>2317</v>
      </c>
      <c r="B18" s="1099" t="s">
        <v>170</v>
      </c>
      <c r="C18" s="1099">
        <v>7</v>
      </c>
      <c r="D18" s="1099">
        <v>17</v>
      </c>
      <c r="E18" s="1099" t="s">
        <v>5</v>
      </c>
      <c r="F18" s="1099" t="s">
        <v>5</v>
      </c>
      <c r="G18" s="1099" t="s">
        <v>5</v>
      </c>
      <c r="H18" s="1099" t="s">
        <v>5</v>
      </c>
      <c r="I18" s="1099" t="s">
        <v>5</v>
      </c>
      <c r="J18" s="1099" t="s">
        <v>5</v>
      </c>
      <c r="K18" s="1099" t="s">
        <v>5</v>
      </c>
      <c r="L18" s="1099" t="s">
        <v>5</v>
      </c>
      <c r="M18" s="1099" t="s">
        <v>5</v>
      </c>
      <c r="N18" s="1099" t="s">
        <v>5</v>
      </c>
      <c r="O18" s="1099" t="s">
        <v>5</v>
      </c>
      <c r="P18" s="1099" t="s">
        <v>5</v>
      </c>
      <c r="Q18" s="1099" t="s">
        <v>5</v>
      </c>
      <c r="R18" s="1099" t="s">
        <v>5</v>
      </c>
      <c r="S18" s="1099" t="s">
        <v>5</v>
      </c>
      <c r="T18" s="1099">
        <f t="shared" si="0"/>
        <v>24</v>
      </c>
      <c r="U18" s="1077"/>
      <c r="V18" s="1078"/>
      <c r="X18" s="1103"/>
      <c r="Y18" s="1078"/>
      <c r="AB18" s="1078"/>
      <c r="AC18" s="1081"/>
    </row>
    <row r="19" spans="1:29" s="1079" customFormat="1" ht="12.75" customHeight="1">
      <c r="A19" s="1098">
        <f t="shared" si="1"/>
        <v>2318</v>
      </c>
      <c r="B19" s="1252" t="s">
        <v>173</v>
      </c>
      <c r="C19" s="1253"/>
      <c r="D19" s="1099">
        <v>6.75</v>
      </c>
      <c r="E19" s="1099">
        <v>9.75</v>
      </c>
      <c r="F19" s="1099">
        <v>7.5</v>
      </c>
      <c r="G19" s="1099" t="s">
        <v>5</v>
      </c>
      <c r="H19" s="1099" t="s">
        <v>5</v>
      </c>
      <c r="I19" s="1099" t="s">
        <v>5</v>
      </c>
      <c r="J19" s="1099" t="s">
        <v>5</v>
      </c>
      <c r="K19" s="1099" t="s">
        <v>5</v>
      </c>
      <c r="L19" s="1099" t="s">
        <v>5</v>
      </c>
      <c r="M19" s="1099" t="s">
        <v>5</v>
      </c>
      <c r="N19" s="1099" t="s">
        <v>5</v>
      </c>
      <c r="O19" s="1099" t="s">
        <v>5</v>
      </c>
      <c r="P19" s="1099" t="s">
        <v>5</v>
      </c>
      <c r="Q19" s="1099" t="s">
        <v>5</v>
      </c>
      <c r="R19" s="1099" t="s">
        <v>5</v>
      </c>
      <c r="S19" s="1099" t="s">
        <v>5</v>
      </c>
      <c r="T19" s="1099">
        <f t="shared" si="0"/>
        <v>24</v>
      </c>
      <c r="U19" s="1104"/>
      <c r="V19" s="1078"/>
      <c r="X19" s="1080"/>
      <c r="Y19" s="1078"/>
      <c r="AB19" s="1078"/>
      <c r="AC19" s="1081"/>
    </row>
    <row r="20" spans="1:29" s="1079" customFormat="1" ht="12.75" customHeight="1">
      <c r="A20" s="1098">
        <f t="shared" si="1"/>
        <v>2319</v>
      </c>
      <c r="B20" s="1099" t="s">
        <v>157</v>
      </c>
      <c r="C20" s="1099" t="s">
        <v>5</v>
      </c>
      <c r="D20" s="1099" t="s">
        <v>5</v>
      </c>
      <c r="E20" s="1099" t="s">
        <v>5</v>
      </c>
      <c r="F20" s="1099">
        <v>21.5</v>
      </c>
      <c r="G20" s="1099" t="s">
        <v>5</v>
      </c>
      <c r="H20" s="1099">
        <v>2.5</v>
      </c>
      <c r="I20" s="1099" t="s">
        <v>5</v>
      </c>
      <c r="J20" s="1099" t="s">
        <v>5</v>
      </c>
      <c r="K20" s="1099" t="s">
        <v>5</v>
      </c>
      <c r="L20" s="1099" t="s">
        <v>5</v>
      </c>
      <c r="M20" s="1099" t="s">
        <v>5</v>
      </c>
      <c r="N20" s="1099" t="s">
        <v>5</v>
      </c>
      <c r="O20" s="1099" t="s">
        <v>5</v>
      </c>
      <c r="P20" s="1099" t="s">
        <v>5</v>
      </c>
      <c r="Q20" s="1099" t="s">
        <v>5</v>
      </c>
      <c r="R20" s="1099" t="s">
        <v>5</v>
      </c>
      <c r="S20" s="1099" t="s">
        <v>5</v>
      </c>
      <c r="T20" s="1099">
        <f t="shared" si="0"/>
        <v>24</v>
      </c>
      <c r="U20" s="1104"/>
      <c r="V20" s="1078"/>
      <c r="X20" s="1080"/>
      <c r="AB20" s="1078"/>
      <c r="AC20" s="1081"/>
    </row>
    <row r="21" spans="1:29" s="1079" customFormat="1" ht="12.75" customHeight="1">
      <c r="A21" s="1098">
        <f t="shared" si="1"/>
        <v>2320</v>
      </c>
      <c r="B21" s="1099" t="s">
        <v>157</v>
      </c>
      <c r="C21" s="1099" t="s">
        <v>5</v>
      </c>
      <c r="D21" s="1099" t="s">
        <v>5</v>
      </c>
      <c r="E21" s="1099">
        <v>4</v>
      </c>
      <c r="F21" s="1099">
        <v>15</v>
      </c>
      <c r="G21" s="1099" t="s">
        <v>5</v>
      </c>
      <c r="H21" s="1099">
        <v>1</v>
      </c>
      <c r="I21" s="1099">
        <v>3</v>
      </c>
      <c r="J21" s="1099" t="s">
        <v>5</v>
      </c>
      <c r="K21" s="1099" t="s">
        <v>5</v>
      </c>
      <c r="L21" s="1099" t="s">
        <v>5</v>
      </c>
      <c r="M21" s="1099" t="s">
        <v>5</v>
      </c>
      <c r="N21" s="1099" t="s">
        <v>5</v>
      </c>
      <c r="O21" s="1099" t="s">
        <v>5</v>
      </c>
      <c r="P21" s="1099" t="s">
        <v>5</v>
      </c>
      <c r="Q21" s="1099" t="s">
        <v>5</v>
      </c>
      <c r="R21" s="1099" t="s">
        <v>5</v>
      </c>
      <c r="S21" s="1099">
        <v>1</v>
      </c>
      <c r="T21" s="1105">
        <f t="shared" si="0"/>
        <v>24</v>
      </c>
      <c r="U21" s="1104"/>
      <c r="V21" s="1106"/>
      <c r="X21" s="1080"/>
      <c r="AB21" s="1107"/>
      <c r="AC21" s="1081"/>
    </row>
    <row r="22" spans="1:29" s="1079" customFormat="1" ht="12.75" customHeight="1">
      <c r="A22" s="1098">
        <f t="shared" si="1"/>
        <v>2321</v>
      </c>
      <c r="B22" s="1099" t="s">
        <v>157</v>
      </c>
      <c r="C22" s="1099" t="s">
        <v>5</v>
      </c>
      <c r="D22" s="1099" t="s">
        <v>5</v>
      </c>
      <c r="E22" s="1099">
        <v>2</v>
      </c>
      <c r="F22" s="1099" t="s">
        <v>5</v>
      </c>
      <c r="G22" s="1099" t="s">
        <v>5</v>
      </c>
      <c r="H22" s="1099" t="s">
        <v>5</v>
      </c>
      <c r="I22" s="1099">
        <v>22</v>
      </c>
      <c r="J22" s="1099" t="s">
        <v>5</v>
      </c>
      <c r="K22" s="1099" t="s">
        <v>5</v>
      </c>
      <c r="L22" s="1099" t="s">
        <v>5</v>
      </c>
      <c r="M22" s="1099" t="s">
        <v>5</v>
      </c>
      <c r="N22" s="1099" t="s">
        <v>5</v>
      </c>
      <c r="O22" s="1099" t="s">
        <v>5</v>
      </c>
      <c r="P22" s="1099" t="s">
        <v>5</v>
      </c>
      <c r="Q22" s="1099" t="s">
        <v>5</v>
      </c>
      <c r="R22" s="1099" t="s">
        <v>5</v>
      </c>
      <c r="S22" s="1099" t="s">
        <v>5</v>
      </c>
      <c r="T22" s="1099">
        <f t="shared" si="0"/>
        <v>24</v>
      </c>
      <c r="U22" s="1104"/>
      <c r="V22" s="1106"/>
      <c r="W22" s="1108"/>
      <c r="X22" s="1108"/>
      <c r="AB22" s="1107"/>
      <c r="AC22" s="1081"/>
    </row>
    <row r="23" spans="1:29" s="1079" customFormat="1" ht="12.75" customHeight="1">
      <c r="A23" s="1098">
        <f t="shared" si="1"/>
        <v>2322</v>
      </c>
      <c r="B23" s="1252" t="s">
        <v>171</v>
      </c>
      <c r="C23" s="1253"/>
      <c r="D23" s="1099">
        <v>20.25</v>
      </c>
      <c r="E23" s="1099">
        <v>3.75</v>
      </c>
      <c r="F23" s="1099" t="s">
        <v>5</v>
      </c>
      <c r="G23" s="1099" t="s">
        <v>5</v>
      </c>
      <c r="H23" s="1099" t="s">
        <v>5</v>
      </c>
      <c r="I23" s="1099" t="s">
        <v>5</v>
      </c>
      <c r="J23" s="1099" t="s">
        <v>5</v>
      </c>
      <c r="K23" s="1099" t="s">
        <v>5</v>
      </c>
      <c r="L23" s="1099" t="s">
        <v>5</v>
      </c>
      <c r="M23" s="1099" t="s">
        <v>5</v>
      </c>
      <c r="N23" s="1099" t="s">
        <v>5</v>
      </c>
      <c r="O23" s="1099" t="s">
        <v>5</v>
      </c>
      <c r="P23" s="1099" t="s">
        <v>5</v>
      </c>
      <c r="Q23" s="1099" t="s">
        <v>5</v>
      </c>
      <c r="R23" s="1099" t="s">
        <v>5</v>
      </c>
      <c r="S23" s="1099" t="s">
        <v>5</v>
      </c>
      <c r="T23" s="1099">
        <f t="shared" si="0"/>
        <v>24</v>
      </c>
      <c r="U23" s="1104"/>
      <c r="V23" s="1106"/>
      <c r="W23" s="1108"/>
      <c r="X23" s="1108"/>
      <c r="AB23" s="1107"/>
      <c r="AC23" s="1081"/>
    </row>
    <row r="24" spans="1:29" s="1079" customFormat="1" ht="12.75" customHeight="1">
      <c r="A24" s="1098">
        <f t="shared" si="1"/>
        <v>2323</v>
      </c>
      <c r="B24" s="1099" t="s">
        <v>161</v>
      </c>
      <c r="C24" s="1099" t="s">
        <v>5</v>
      </c>
      <c r="D24" s="1099">
        <v>24</v>
      </c>
      <c r="E24" s="1099" t="s">
        <v>5</v>
      </c>
      <c r="F24" s="1099" t="s">
        <v>5</v>
      </c>
      <c r="G24" s="1099" t="s">
        <v>5</v>
      </c>
      <c r="H24" s="1099" t="s">
        <v>5</v>
      </c>
      <c r="I24" s="1099" t="s">
        <v>5</v>
      </c>
      <c r="J24" s="1099" t="s">
        <v>5</v>
      </c>
      <c r="K24" s="1099" t="s">
        <v>5</v>
      </c>
      <c r="L24" s="1099" t="s">
        <v>5</v>
      </c>
      <c r="M24" s="1099" t="s">
        <v>5</v>
      </c>
      <c r="N24" s="1099" t="s">
        <v>5</v>
      </c>
      <c r="O24" s="1099" t="s">
        <v>5</v>
      </c>
      <c r="P24" s="1099" t="s">
        <v>5</v>
      </c>
      <c r="Q24" s="1099" t="s">
        <v>5</v>
      </c>
      <c r="R24" s="1099" t="s">
        <v>5</v>
      </c>
      <c r="S24" s="1099" t="s">
        <v>5</v>
      </c>
      <c r="T24" s="1099">
        <f t="shared" si="0"/>
        <v>24</v>
      </c>
      <c r="U24" s="1077"/>
      <c r="V24" s="1106"/>
      <c r="W24" s="1108"/>
      <c r="X24" s="1108"/>
      <c r="AB24" s="1078"/>
      <c r="AC24" s="1081"/>
    </row>
    <row r="25" spans="1:29" s="1079" customFormat="1" ht="12.75" customHeight="1">
      <c r="A25" s="1098">
        <f t="shared" si="1"/>
        <v>2324</v>
      </c>
      <c r="B25" s="1099" t="s">
        <v>161</v>
      </c>
      <c r="C25" s="1099" t="s">
        <v>5</v>
      </c>
      <c r="D25" s="1099">
        <v>24</v>
      </c>
      <c r="E25" s="1099" t="s">
        <v>5</v>
      </c>
      <c r="F25" s="1099" t="s">
        <v>5</v>
      </c>
      <c r="G25" s="1099" t="s">
        <v>5</v>
      </c>
      <c r="H25" s="1099" t="s">
        <v>5</v>
      </c>
      <c r="I25" s="1099" t="s">
        <v>5</v>
      </c>
      <c r="J25" s="1099" t="s">
        <v>5</v>
      </c>
      <c r="K25" s="1099" t="s">
        <v>5</v>
      </c>
      <c r="L25" s="1099" t="s">
        <v>5</v>
      </c>
      <c r="M25" s="1099" t="s">
        <v>5</v>
      </c>
      <c r="N25" s="1099" t="s">
        <v>5</v>
      </c>
      <c r="O25" s="1099" t="s">
        <v>5</v>
      </c>
      <c r="P25" s="1099" t="s">
        <v>5</v>
      </c>
      <c r="Q25" s="1099" t="s">
        <v>5</v>
      </c>
      <c r="R25" s="1099" t="s">
        <v>5</v>
      </c>
      <c r="S25" s="1099" t="s">
        <v>5</v>
      </c>
      <c r="T25" s="1099">
        <f t="shared" si="0"/>
        <v>24</v>
      </c>
      <c r="U25" s="1077"/>
      <c r="V25" s="1106"/>
      <c r="X25" s="1080"/>
      <c r="AB25" s="1078"/>
      <c r="AC25" s="1081"/>
    </row>
    <row r="26" spans="1:29" s="1079" customFormat="1" ht="12.75" customHeight="1">
      <c r="A26" s="1098">
        <f t="shared" si="1"/>
        <v>2325</v>
      </c>
      <c r="B26" s="1099" t="s">
        <v>161</v>
      </c>
      <c r="C26" s="1099" t="s">
        <v>5</v>
      </c>
      <c r="D26" s="1099">
        <v>24</v>
      </c>
      <c r="E26" s="1099" t="s">
        <v>5</v>
      </c>
      <c r="F26" s="1099" t="s">
        <v>5</v>
      </c>
      <c r="G26" s="1099" t="s">
        <v>5</v>
      </c>
      <c r="H26" s="1099" t="s">
        <v>5</v>
      </c>
      <c r="I26" s="1099" t="s">
        <v>5</v>
      </c>
      <c r="J26" s="1099" t="s">
        <v>5</v>
      </c>
      <c r="K26" s="1099" t="s">
        <v>5</v>
      </c>
      <c r="L26" s="1099" t="s">
        <v>5</v>
      </c>
      <c r="M26" s="1099" t="s">
        <v>5</v>
      </c>
      <c r="N26" s="1099" t="s">
        <v>5</v>
      </c>
      <c r="O26" s="1099" t="s">
        <v>5</v>
      </c>
      <c r="P26" s="1099" t="s">
        <v>5</v>
      </c>
      <c r="Q26" s="1099" t="s">
        <v>5</v>
      </c>
      <c r="R26" s="1099" t="s">
        <v>5</v>
      </c>
      <c r="S26" s="1099" t="s">
        <v>5</v>
      </c>
      <c r="T26" s="1099">
        <f t="shared" si="0"/>
        <v>24</v>
      </c>
      <c r="U26" s="1077"/>
      <c r="V26" s="1106"/>
      <c r="X26" s="1080"/>
      <c r="AB26" s="1078"/>
      <c r="AC26" s="1081"/>
    </row>
    <row r="27" spans="1:29" s="1079" customFormat="1" ht="12.75" customHeight="1">
      <c r="A27" s="1098">
        <f t="shared" si="1"/>
        <v>2326</v>
      </c>
      <c r="B27" s="1099" t="s">
        <v>161</v>
      </c>
      <c r="C27" s="1099" t="s">
        <v>5</v>
      </c>
      <c r="D27" s="1099">
        <v>24</v>
      </c>
      <c r="E27" s="1099" t="s">
        <v>5</v>
      </c>
      <c r="F27" s="1099" t="s">
        <v>5</v>
      </c>
      <c r="G27" s="1099" t="s">
        <v>5</v>
      </c>
      <c r="H27" s="1099" t="s">
        <v>5</v>
      </c>
      <c r="I27" s="1099" t="s">
        <v>5</v>
      </c>
      <c r="J27" s="1099" t="s">
        <v>5</v>
      </c>
      <c r="K27" s="1099" t="s">
        <v>5</v>
      </c>
      <c r="L27" s="1099" t="s">
        <v>5</v>
      </c>
      <c r="M27" s="1099" t="s">
        <v>5</v>
      </c>
      <c r="N27" s="1099" t="s">
        <v>5</v>
      </c>
      <c r="O27" s="1099" t="s">
        <v>5</v>
      </c>
      <c r="P27" s="1099" t="s">
        <v>5</v>
      </c>
      <c r="Q27" s="1099" t="s">
        <v>5</v>
      </c>
      <c r="R27" s="1099" t="s">
        <v>5</v>
      </c>
      <c r="S27" s="1099" t="s">
        <v>5</v>
      </c>
      <c r="T27" s="1099">
        <f t="shared" si="0"/>
        <v>24</v>
      </c>
      <c r="U27" s="1077"/>
      <c r="V27" s="1106"/>
      <c r="W27" s="1109"/>
      <c r="X27" s="1080"/>
      <c r="AB27" s="1078"/>
      <c r="AC27" s="1081"/>
    </row>
    <row r="28" spans="1:29" s="1079" customFormat="1" ht="12.75" customHeight="1">
      <c r="A28" s="1098">
        <f aca="true" t="shared" si="2" ref="A28:A61">A27+1</f>
        <v>2327</v>
      </c>
      <c r="B28" s="1105" t="s">
        <v>161</v>
      </c>
      <c r="C28" s="1099" t="s">
        <v>5</v>
      </c>
      <c r="D28" s="1099">
        <v>12</v>
      </c>
      <c r="E28" s="1105" t="s">
        <v>5</v>
      </c>
      <c r="F28" s="1105" t="s">
        <v>5</v>
      </c>
      <c r="G28" s="1105" t="s">
        <v>5</v>
      </c>
      <c r="H28" s="1105" t="s">
        <v>5</v>
      </c>
      <c r="I28" s="1105" t="s">
        <v>5</v>
      </c>
      <c r="J28" s="1105" t="s">
        <v>5</v>
      </c>
      <c r="K28" s="1105" t="s">
        <v>5</v>
      </c>
      <c r="L28" s="1105" t="s">
        <v>5</v>
      </c>
      <c r="M28" s="1105" t="s">
        <v>5</v>
      </c>
      <c r="N28" s="1105" t="s">
        <v>5</v>
      </c>
      <c r="O28" s="1105" t="s">
        <v>5</v>
      </c>
      <c r="P28" s="1105" t="s">
        <v>5</v>
      </c>
      <c r="Q28" s="1105" t="s">
        <v>5</v>
      </c>
      <c r="R28" s="1105" t="s">
        <v>5</v>
      </c>
      <c r="S28" s="1105">
        <v>12</v>
      </c>
      <c r="T28" s="1105">
        <f aca="true" t="shared" si="3" ref="T28:T51">SUM(B28:S28)</f>
        <v>24</v>
      </c>
      <c r="U28" s="1077" t="s">
        <v>179</v>
      </c>
      <c r="V28" s="1106"/>
      <c r="W28" s="1109"/>
      <c r="X28" s="1080"/>
      <c r="AB28" s="1078"/>
      <c r="AC28" s="1081"/>
    </row>
    <row r="29" spans="1:29" s="1079" customFormat="1" ht="12.75" customHeight="1" thickBot="1">
      <c r="A29" s="1110">
        <f t="shared" si="2"/>
        <v>2328</v>
      </c>
      <c r="B29" s="1111" t="s">
        <v>170</v>
      </c>
      <c r="C29" s="1111">
        <v>17.5</v>
      </c>
      <c r="D29" s="1111">
        <v>0.75</v>
      </c>
      <c r="E29" s="1111" t="s">
        <v>5</v>
      </c>
      <c r="F29" s="1111" t="s">
        <v>5</v>
      </c>
      <c r="G29" s="1111" t="s">
        <v>5</v>
      </c>
      <c r="H29" s="1111" t="s">
        <v>5</v>
      </c>
      <c r="I29" s="1111" t="s">
        <v>5</v>
      </c>
      <c r="J29" s="1111" t="s">
        <v>5</v>
      </c>
      <c r="K29" s="1111" t="s">
        <v>5</v>
      </c>
      <c r="L29" s="1111" t="s">
        <v>5</v>
      </c>
      <c r="M29" s="1111" t="s">
        <v>5</v>
      </c>
      <c r="N29" s="1111" t="s">
        <v>5</v>
      </c>
      <c r="O29" s="1111" t="s">
        <v>5</v>
      </c>
      <c r="P29" s="1111" t="s">
        <v>5</v>
      </c>
      <c r="Q29" s="1111" t="s">
        <v>5</v>
      </c>
      <c r="R29" s="1111" t="s">
        <v>5</v>
      </c>
      <c r="S29" s="1111">
        <v>5.75</v>
      </c>
      <c r="T29" s="1111">
        <f t="shared" si="3"/>
        <v>24</v>
      </c>
      <c r="U29" s="1077" t="s">
        <v>179</v>
      </c>
      <c r="V29" s="1106"/>
      <c r="W29" s="1109"/>
      <c r="X29" s="1080"/>
      <c r="AB29" s="1078"/>
      <c r="AC29" s="1081"/>
    </row>
    <row r="30" spans="1:29" s="1079" customFormat="1" ht="12.75" customHeight="1" thickBot="1" thickTop="1">
      <c r="A30" s="1112">
        <f t="shared" si="2"/>
        <v>2329</v>
      </c>
      <c r="B30" s="1113" t="s">
        <v>137</v>
      </c>
      <c r="C30" s="1113">
        <v>24</v>
      </c>
      <c r="D30" s="1114" t="s">
        <v>5</v>
      </c>
      <c r="E30" s="1113" t="s">
        <v>5</v>
      </c>
      <c r="F30" s="1113" t="s">
        <v>5</v>
      </c>
      <c r="G30" s="1113" t="s">
        <v>5</v>
      </c>
      <c r="H30" s="1113" t="s">
        <v>5</v>
      </c>
      <c r="I30" s="1113" t="s">
        <v>5</v>
      </c>
      <c r="J30" s="1113" t="s">
        <v>5</v>
      </c>
      <c r="K30" s="1113" t="s">
        <v>5</v>
      </c>
      <c r="L30" s="1113" t="s">
        <v>5</v>
      </c>
      <c r="M30" s="1113" t="s">
        <v>5</v>
      </c>
      <c r="N30" s="1113" t="s">
        <v>5</v>
      </c>
      <c r="O30" s="1113" t="s">
        <v>5</v>
      </c>
      <c r="P30" s="1113" t="s">
        <v>5</v>
      </c>
      <c r="Q30" s="1113" t="s">
        <v>5</v>
      </c>
      <c r="R30" s="1113" t="s">
        <v>5</v>
      </c>
      <c r="S30" s="1113" t="s">
        <v>5</v>
      </c>
      <c r="T30" s="1114">
        <f t="shared" si="3"/>
        <v>24</v>
      </c>
      <c r="U30" s="1077"/>
      <c r="V30" s="1108"/>
      <c r="W30" s="1109"/>
      <c r="X30" s="1080"/>
      <c r="AB30" s="1078"/>
      <c r="AC30" s="1081"/>
    </row>
    <row r="31" spans="1:29" s="1079" customFormat="1" ht="12.75" customHeight="1" thickTop="1">
      <c r="A31" s="1098">
        <f t="shared" si="2"/>
        <v>2330</v>
      </c>
      <c r="B31" s="1105" t="s">
        <v>137</v>
      </c>
      <c r="C31" s="1105">
        <v>24</v>
      </c>
      <c r="D31" s="1099" t="s">
        <v>5</v>
      </c>
      <c r="E31" s="1105" t="s">
        <v>5</v>
      </c>
      <c r="F31" s="1105" t="s">
        <v>5</v>
      </c>
      <c r="G31" s="1105" t="s">
        <v>5</v>
      </c>
      <c r="H31" s="1105" t="s">
        <v>5</v>
      </c>
      <c r="I31" s="1105" t="s">
        <v>5</v>
      </c>
      <c r="J31" s="1105" t="s">
        <v>5</v>
      </c>
      <c r="K31" s="1115" t="s">
        <v>5</v>
      </c>
      <c r="L31" s="1248" t="s">
        <v>312</v>
      </c>
      <c r="M31" s="1249"/>
      <c r="N31" s="1116" t="s">
        <v>5</v>
      </c>
      <c r="O31" s="1105" t="s">
        <v>5</v>
      </c>
      <c r="P31" s="1105" t="s">
        <v>5</v>
      </c>
      <c r="Q31" s="1105" t="s">
        <v>5</v>
      </c>
      <c r="R31" s="1105" t="s">
        <v>5</v>
      </c>
      <c r="S31" s="1105" t="s">
        <v>5</v>
      </c>
      <c r="T31" s="1099">
        <f t="shared" si="3"/>
        <v>24</v>
      </c>
      <c r="U31" s="1077"/>
      <c r="V31" s="1106"/>
      <c r="W31" s="1109"/>
      <c r="X31" s="1080"/>
      <c r="AB31" s="1078"/>
      <c r="AC31" s="1081"/>
    </row>
    <row r="32" spans="1:29" s="1079" customFormat="1" ht="12.75" customHeight="1" thickBot="1">
      <c r="A32" s="1098">
        <f t="shared" si="2"/>
        <v>2331</v>
      </c>
      <c r="B32" s="1105" t="s">
        <v>170</v>
      </c>
      <c r="C32" s="1105">
        <v>13</v>
      </c>
      <c r="D32" s="1099">
        <v>11</v>
      </c>
      <c r="E32" s="1105" t="s">
        <v>5</v>
      </c>
      <c r="F32" s="1105" t="s">
        <v>5</v>
      </c>
      <c r="G32" s="1105" t="s">
        <v>5</v>
      </c>
      <c r="H32" s="1105" t="s">
        <v>5</v>
      </c>
      <c r="I32" s="1105" t="s">
        <v>5</v>
      </c>
      <c r="J32" s="1105" t="s">
        <v>5</v>
      </c>
      <c r="K32" s="1115" t="s">
        <v>5</v>
      </c>
      <c r="L32" s="1250"/>
      <c r="M32" s="1251"/>
      <c r="N32" s="1116" t="s">
        <v>5</v>
      </c>
      <c r="O32" s="1105" t="s">
        <v>5</v>
      </c>
      <c r="P32" s="1105" t="s">
        <v>5</v>
      </c>
      <c r="Q32" s="1105" t="s">
        <v>5</v>
      </c>
      <c r="R32" s="1105" t="s">
        <v>5</v>
      </c>
      <c r="S32" s="1105" t="s">
        <v>5</v>
      </c>
      <c r="T32" s="1099">
        <f t="shared" si="3"/>
        <v>24</v>
      </c>
      <c r="U32" s="1077"/>
      <c r="V32" s="1106"/>
      <c r="W32" s="1109"/>
      <c r="X32" s="1080"/>
      <c r="AB32" s="1078"/>
      <c r="AC32" s="1081"/>
    </row>
    <row r="33" spans="1:29" s="1079" customFormat="1" ht="12.75" customHeight="1" thickTop="1">
      <c r="A33" s="1098">
        <f t="shared" si="2"/>
        <v>2332</v>
      </c>
      <c r="B33" s="1252" t="s">
        <v>160</v>
      </c>
      <c r="C33" s="1253"/>
      <c r="D33" s="1099">
        <v>7.75</v>
      </c>
      <c r="E33" s="1105" t="s">
        <v>5</v>
      </c>
      <c r="F33" s="1105" t="s">
        <v>5</v>
      </c>
      <c r="G33" s="1105" t="s">
        <v>5</v>
      </c>
      <c r="H33" s="1105" t="s">
        <v>5</v>
      </c>
      <c r="I33" s="1105" t="s">
        <v>5</v>
      </c>
      <c r="J33" s="1105">
        <v>16.25</v>
      </c>
      <c r="K33" s="1105" t="s">
        <v>5</v>
      </c>
      <c r="L33" s="1117" t="s">
        <v>5</v>
      </c>
      <c r="M33" s="1117" t="s">
        <v>5</v>
      </c>
      <c r="N33" s="1105" t="s">
        <v>5</v>
      </c>
      <c r="O33" s="1105" t="s">
        <v>5</v>
      </c>
      <c r="P33" s="1105" t="s">
        <v>5</v>
      </c>
      <c r="Q33" s="1105" t="s">
        <v>5</v>
      </c>
      <c r="R33" s="1105" t="s">
        <v>5</v>
      </c>
      <c r="S33" s="1105" t="s">
        <v>5</v>
      </c>
      <c r="T33" s="1099">
        <f>SUM(B33:S33)</f>
        <v>24</v>
      </c>
      <c r="U33" s="1077"/>
      <c r="V33" s="1106"/>
      <c r="W33" s="1109"/>
      <c r="X33" s="1080"/>
      <c r="AB33" s="1078"/>
      <c r="AC33" s="1081"/>
    </row>
    <row r="34" spans="1:29" s="1079" customFormat="1" ht="12.75" customHeight="1">
      <c r="A34" s="1098">
        <f t="shared" si="2"/>
        <v>2333</v>
      </c>
      <c r="B34" s="1252" t="s">
        <v>158</v>
      </c>
      <c r="C34" s="1253"/>
      <c r="D34" s="1099" t="s">
        <v>5</v>
      </c>
      <c r="E34" s="1105" t="s">
        <v>5</v>
      </c>
      <c r="F34" s="1105" t="s">
        <v>5</v>
      </c>
      <c r="G34" s="1105" t="s">
        <v>5</v>
      </c>
      <c r="H34" s="1105" t="s">
        <v>5</v>
      </c>
      <c r="I34" s="1105" t="s">
        <v>5</v>
      </c>
      <c r="J34" s="1105">
        <v>24</v>
      </c>
      <c r="K34" s="1105" t="s">
        <v>5</v>
      </c>
      <c r="L34" s="1105" t="s">
        <v>5</v>
      </c>
      <c r="M34" s="1105" t="s">
        <v>5</v>
      </c>
      <c r="N34" s="1105" t="s">
        <v>5</v>
      </c>
      <c r="O34" s="1105" t="s">
        <v>5</v>
      </c>
      <c r="P34" s="1105" t="s">
        <v>5</v>
      </c>
      <c r="Q34" s="1105" t="s">
        <v>5</v>
      </c>
      <c r="R34" s="1105" t="s">
        <v>5</v>
      </c>
      <c r="S34" s="1105" t="s">
        <v>5</v>
      </c>
      <c r="T34" s="1099">
        <f>SUM(B34:S34)</f>
        <v>24</v>
      </c>
      <c r="U34" s="1077"/>
      <c r="V34" s="1106"/>
      <c r="W34" s="1109"/>
      <c r="X34" s="1080"/>
      <c r="AB34" s="1078"/>
      <c r="AC34" s="1081"/>
    </row>
    <row r="35" spans="1:29" s="1079" customFormat="1" ht="12.75" customHeight="1">
      <c r="A35" s="1098">
        <f t="shared" si="2"/>
        <v>2334</v>
      </c>
      <c r="B35" s="1252" t="s">
        <v>159</v>
      </c>
      <c r="C35" s="1253"/>
      <c r="D35" s="1099">
        <v>1</v>
      </c>
      <c r="E35" s="1105" t="s">
        <v>5</v>
      </c>
      <c r="F35" s="1105" t="s">
        <v>5</v>
      </c>
      <c r="G35" s="1105" t="s">
        <v>5</v>
      </c>
      <c r="H35" s="1105" t="s">
        <v>5</v>
      </c>
      <c r="I35" s="1105" t="s">
        <v>5</v>
      </c>
      <c r="J35" s="1105">
        <v>23</v>
      </c>
      <c r="K35" s="1105" t="s">
        <v>5</v>
      </c>
      <c r="L35" s="1105" t="s">
        <v>5</v>
      </c>
      <c r="M35" s="1105" t="s">
        <v>5</v>
      </c>
      <c r="N35" s="1105" t="s">
        <v>5</v>
      </c>
      <c r="O35" s="1105" t="s">
        <v>5</v>
      </c>
      <c r="P35" s="1105" t="s">
        <v>5</v>
      </c>
      <c r="Q35" s="1105" t="s">
        <v>5</v>
      </c>
      <c r="R35" s="1105" t="s">
        <v>5</v>
      </c>
      <c r="S35" s="1105" t="s">
        <v>5</v>
      </c>
      <c r="T35" s="1099">
        <f t="shared" si="3"/>
        <v>24</v>
      </c>
      <c r="U35" s="1077"/>
      <c r="V35" s="1106"/>
      <c r="W35" s="1109"/>
      <c r="X35" s="1080"/>
      <c r="AB35" s="1078"/>
      <c r="AC35" s="1081"/>
    </row>
    <row r="36" spans="1:29" s="1079" customFormat="1" ht="12.75" customHeight="1">
      <c r="A36" s="1098">
        <f t="shared" si="2"/>
        <v>2335</v>
      </c>
      <c r="B36" s="1252" t="s">
        <v>162</v>
      </c>
      <c r="C36" s="1253"/>
      <c r="D36" s="1099">
        <v>1.25</v>
      </c>
      <c r="E36" s="1105" t="s">
        <v>5</v>
      </c>
      <c r="F36" s="1105" t="s">
        <v>5</v>
      </c>
      <c r="G36" s="1105" t="s">
        <v>5</v>
      </c>
      <c r="H36" s="1105" t="s">
        <v>5</v>
      </c>
      <c r="I36" s="1105" t="s">
        <v>5</v>
      </c>
      <c r="J36" s="1105">
        <v>22.75</v>
      </c>
      <c r="K36" s="1105" t="s">
        <v>5</v>
      </c>
      <c r="L36" s="1105" t="s">
        <v>5</v>
      </c>
      <c r="M36" s="1105" t="s">
        <v>5</v>
      </c>
      <c r="N36" s="1105" t="s">
        <v>5</v>
      </c>
      <c r="O36" s="1105" t="s">
        <v>5</v>
      </c>
      <c r="P36" s="1105" t="s">
        <v>5</v>
      </c>
      <c r="Q36" s="1105" t="s">
        <v>5</v>
      </c>
      <c r="R36" s="1105" t="s">
        <v>5</v>
      </c>
      <c r="S36" s="1105" t="s">
        <v>5</v>
      </c>
      <c r="T36" s="1099">
        <f t="shared" si="3"/>
        <v>24</v>
      </c>
      <c r="U36" s="1077"/>
      <c r="V36" s="1106"/>
      <c r="W36" s="1109"/>
      <c r="X36" s="1080"/>
      <c r="AB36" s="1078"/>
      <c r="AC36" s="1081"/>
    </row>
    <row r="37" spans="1:29" s="1079" customFormat="1" ht="12.75" customHeight="1">
      <c r="A37" s="1098">
        <f t="shared" si="2"/>
        <v>2336</v>
      </c>
      <c r="B37" s="1252" t="s">
        <v>163</v>
      </c>
      <c r="C37" s="1253"/>
      <c r="D37" s="1099">
        <v>1</v>
      </c>
      <c r="E37" s="1105" t="s">
        <v>5</v>
      </c>
      <c r="F37" s="1105" t="s">
        <v>5</v>
      </c>
      <c r="G37" s="1105" t="s">
        <v>5</v>
      </c>
      <c r="H37" s="1105" t="s">
        <v>5</v>
      </c>
      <c r="I37" s="1105" t="s">
        <v>5</v>
      </c>
      <c r="J37" s="1105">
        <v>23</v>
      </c>
      <c r="K37" s="1105" t="s">
        <v>5</v>
      </c>
      <c r="L37" s="1105" t="s">
        <v>5</v>
      </c>
      <c r="M37" s="1105" t="s">
        <v>5</v>
      </c>
      <c r="N37" s="1105" t="s">
        <v>5</v>
      </c>
      <c r="O37" s="1105" t="s">
        <v>5</v>
      </c>
      <c r="P37" s="1105" t="s">
        <v>5</v>
      </c>
      <c r="Q37" s="1105" t="s">
        <v>5</v>
      </c>
      <c r="R37" s="1105" t="s">
        <v>5</v>
      </c>
      <c r="S37" s="1105" t="s">
        <v>5</v>
      </c>
      <c r="T37" s="1102">
        <f t="shared" si="3"/>
        <v>24</v>
      </c>
      <c r="U37" s="1077"/>
      <c r="V37" s="1106"/>
      <c r="W37" s="1109"/>
      <c r="X37" s="1080"/>
      <c r="AB37" s="1078"/>
      <c r="AC37" s="1081"/>
    </row>
    <row r="38" spans="1:29" s="1079" customFormat="1" ht="12.75" customHeight="1">
      <c r="A38" s="1098">
        <f t="shared" si="2"/>
        <v>2337</v>
      </c>
      <c r="B38" s="1252" t="s">
        <v>164</v>
      </c>
      <c r="C38" s="1253"/>
      <c r="D38" s="1099">
        <v>1.25</v>
      </c>
      <c r="E38" s="1105" t="s">
        <v>5</v>
      </c>
      <c r="F38" s="1105" t="s">
        <v>5</v>
      </c>
      <c r="G38" s="1105" t="s">
        <v>5</v>
      </c>
      <c r="H38" s="1105" t="s">
        <v>5</v>
      </c>
      <c r="I38" s="1105" t="s">
        <v>5</v>
      </c>
      <c r="J38" s="1105">
        <v>22.75</v>
      </c>
      <c r="K38" s="1105" t="s">
        <v>5</v>
      </c>
      <c r="L38" s="1105" t="s">
        <v>5</v>
      </c>
      <c r="M38" s="1105" t="s">
        <v>5</v>
      </c>
      <c r="N38" s="1105" t="s">
        <v>5</v>
      </c>
      <c r="O38" s="1105" t="s">
        <v>5</v>
      </c>
      <c r="P38" s="1105" t="s">
        <v>5</v>
      </c>
      <c r="Q38" s="1105" t="s">
        <v>5</v>
      </c>
      <c r="R38" s="1105" t="s">
        <v>5</v>
      </c>
      <c r="S38" s="1105" t="s">
        <v>5</v>
      </c>
      <c r="T38" s="1102">
        <f t="shared" si="3"/>
        <v>24</v>
      </c>
      <c r="U38" s="1077"/>
      <c r="V38" s="1106"/>
      <c r="W38" s="1109"/>
      <c r="X38" s="1080"/>
      <c r="AB38" s="1078"/>
      <c r="AC38" s="1081"/>
    </row>
    <row r="39" spans="1:29" s="1079" customFormat="1" ht="12.75" customHeight="1">
      <c r="A39" s="1098">
        <f t="shared" si="2"/>
        <v>2338</v>
      </c>
      <c r="B39" s="1105" t="s">
        <v>165</v>
      </c>
      <c r="C39" s="1105" t="s">
        <v>5</v>
      </c>
      <c r="D39" s="1099" t="s">
        <v>5</v>
      </c>
      <c r="E39" s="1105" t="s">
        <v>5</v>
      </c>
      <c r="F39" s="1105" t="s">
        <v>5</v>
      </c>
      <c r="G39" s="1105" t="s">
        <v>5</v>
      </c>
      <c r="H39" s="1105" t="s">
        <v>5</v>
      </c>
      <c r="I39" s="1105" t="s">
        <v>5</v>
      </c>
      <c r="J39" s="1105">
        <v>24</v>
      </c>
      <c r="K39" s="1105" t="s">
        <v>5</v>
      </c>
      <c r="L39" s="1105" t="s">
        <v>5</v>
      </c>
      <c r="M39" s="1105" t="s">
        <v>5</v>
      </c>
      <c r="N39" s="1105" t="s">
        <v>5</v>
      </c>
      <c r="O39" s="1105" t="s">
        <v>5</v>
      </c>
      <c r="P39" s="1105" t="s">
        <v>5</v>
      </c>
      <c r="Q39" s="1105" t="s">
        <v>5</v>
      </c>
      <c r="R39" s="1105" t="s">
        <v>5</v>
      </c>
      <c r="S39" s="1105" t="s">
        <v>5</v>
      </c>
      <c r="T39" s="1099">
        <f t="shared" si="3"/>
        <v>24</v>
      </c>
      <c r="U39" s="1077"/>
      <c r="V39" s="1106"/>
      <c r="W39" s="1109"/>
      <c r="X39" s="1080"/>
      <c r="AB39" s="1078"/>
      <c r="AC39" s="1081"/>
    </row>
    <row r="40" spans="1:29" s="1079" customFormat="1" ht="12.75" customHeight="1">
      <c r="A40" s="1098">
        <f t="shared" si="2"/>
        <v>2339</v>
      </c>
      <c r="B40" s="1252" t="s">
        <v>166</v>
      </c>
      <c r="C40" s="1253"/>
      <c r="D40" s="1099">
        <v>5</v>
      </c>
      <c r="E40" s="1105" t="s">
        <v>5</v>
      </c>
      <c r="F40" s="1105" t="s">
        <v>5</v>
      </c>
      <c r="G40" s="1105" t="s">
        <v>5</v>
      </c>
      <c r="H40" s="1105" t="s">
        <v>5</v>
      </c>
      <c r="I40" s="1105" t="s">
        <v>5</v>
      </c>
      <c r="J40" s="1105">
        <v>19</v>
      </c>
      <c r="K40" s="1105" t="s">
        <v>5</v>
      </c>
      <c r="L40" s="1105" t="s">
        <v>5</v>
      </c>
      <c r="M40" s="1105" t="s">
        <v>5</v>
      </c>
      <c r="N40" s="1105" t="s">
        <v>5</v>
      </c>
      <c r="O40" s="1105" t="s">
        <v>5</v>
      </c>
      <c r="P40" s="1105" t="s">
        <v>5</v>
      </c>
      <c r="Q40" s="1105" t="s">
        <v>5</v>
      </c>
      <c r="R40" s="1105" t="s">
        <v>5</v>
      </c>
      <c r="S40" s="1105" t="s">
        <v>5</v>
      </c>
      <c r="T40" s="1099">
        <f t="shared" si="3"/>
        <v>24</v>
      </c>
      <c r="U40" s="1077"/>
      <c r="V40" s="1106"/>
      <c r="W40" s="1109"/>
      <c r="X40" s="1080"/>
      <c r="AB40" s="1078"/>
      <c r="AC40" s="1081"/>
    </row>
    <row r="41" spans="1:29" s="1079" customFormat="1" ht="12.75" customHeight="1">
      <c r="A41" s="1098">
        <f t="shared" si="2"/>
        <v>2340</v>
      </c>
      <c r="B41" s="1252" t="s">
        <v>167</v>
      </c>
      <c r="C41" s="1253"/>
      <c r="D41" s="1099">
        <v>12.25</v>
      </c>
      <c r="E41" s="1105" t="s">
        <v>5</v>
      </c>
      <c r="F41" s="1105" t="s">
        <v>5</v>
      </c>
      <c r="G41" s="1105" t="s">
        <v>5</v>
      </c>
      <c r="H41" s="1105" t="s">
        <v>5</v>
      </c>
      <c r="I41" s="1105" t="s">
        <v>5</v>
      </c>
      <c r="J41" s="1105">
        <v>11.75</v>
      </c>
      <c r="K41" s="1105" t="s">
        <v>5</v>
      </c>
      <c r="L41" s="1105" t="s">
        <v>5</v>
      </c>
      <c r="M41" s="1105" t="s">
        <v>5</v>
      </c>
      <c r="N41" s="1105" t="s">
        <v>5</v>
      </c>
      <c r="O41" s="1105" t="s">
        <v>5</v>
      </c>
      <c r="P41" s="1105" t="s">
        <v>5</v>
      </c>
      <c r="Q41" s="1105" t="s">
        <v>5</v>
      </c>
      <c r="R41" s="1105" t="s">
        <v>5</v>
      </c>
      <c r="S41" s="1105" t="s">
        <v>5</v>
      </c>
      <c r="T41" s="1099">
        <f t="shared" si="3"/>
        <v>24</v>
      </c>
      <c r="U41" s="1077"/>
      <c r="V41" s="1106"/>
      <c r="W41" s="1109"/>
      <c r="X41" s="1080"/>
      <c r="AB41" s="1078"/>
      <c r="AC41" s="1081"/>
    </row>
    <row r="42" spans="1:29" s="1079" customFormat="1" ht="12.75" customHeight="1">
      <c r="A42" s="1118">
        <f t="shared" si="2"/>
        <v>2341</v>
      </c>
      <c r="B42" s="1254" t="s">
        <v>168</v>
      </c>
      <c r="C42" s="1255"/>
      <c r="D42" s="1119">
        <v>11</v>
      </c>
      <c r="E42" s="1119" t="s">
        <v>5</v>
      </c>
      <c r="F42" s="1119" t="s">
        <v>5</v>
      </c>
      <c r="G42" s="1119" t="s">
        <v>5</v>
      </c>
      <c r="H42" s="1119" t="s">
        <v>5</v>
      </c>
      <c r="I42" s="1119" t="s">
        <v>5</v>
      </c>
      <c r="J42" s="1119">
        <v>13</v>
      </c>
      <c r="K42" s="1119" t="s">
        <v>5</v>
      </c>
      <c r="L42" s="1119" t="s">
        <v>5</v>
      </c>
      <c r="M42" s="1119" t="s">
        <v>5</v>
      </c>
      <c r="N42" s="1119" t="s">
        <v>5</v>
      </c>
      <c r="O42" s="1119" t="s">
        <v>5</v>
      </c>
      <c r="P42" s="1119" t="s">
        <v>5</v>
      </c>
      <c r="Q42" s="1119" t="s">
        <v>5</v>
      </c>
      <c r="R42" s="1119" t="s">
        <v>5</v>
      </c>
      <c r="S42" s="1119" t="s">
        <v>5</v>
      </c>
      <c r="T42" s="1119">
        <f t="shared" si="3"/>
        <v>24</v>
      </c>
      <c r="U42" s="1077"/>
      <c r="V42" s="1106"/>
      <c r="W42" s="1109"/>
      <c r="X42" s="1080"/>
      <c r="AB42" s="1078"/>
      <c r="AC42" s="1081"/>
    </row>
    <row r="43" spans="1:29" s="1079" customFormat="1" ht="12.75" customHeight="1">
      <c r="A43" s="1095">
        <f t="shared" si="2"/>
        <v>2342</v>
      </c>
      <c r="B43" s="1265" t="s">
        <v>169</v>
      </c>
      <c r="C43" s="1266"/>
      <c r="D43" s="1096">
        <v>1.75</v>
      </c>
      <c r="E43" s="1096" t="s">
        <v>5</v>
      </c>
      <c r="F43" s="1096" t="s">
        <v>5</v>
      </c>
      <c r="G43" s="1096" t="s">
        <v>5</v>
      </c>
      <c r="H43" s="1096" t="s">
        <v>5</v>
      </c>
      <c r="I43" s="1096" t="s">
        <v>5</v>
      </c>
      <c r="J43" s="1096">
        <v>22.25</v>
      </c>
      <c r="K43" s="1096" t="s">
        <v>5</v>
      </c>
      <c r="L43" s="1096" t="s">
        <v>5</v>
      </c>
      <c r="M43" s="1096" t="s">
        <v>5</v>
      </c>
      <c r="N43" s="1096" t="s">
        <v>5</v>
      </c>
      <c r="O43" s="1096" t="s">
        <v>5</v>
      </c>
      <c r="P43" s="1096" t="s">
        <v>5</v>
      </c>
      <c r="Q43" s="1096" t="s">
        <v>5</v>
      </c>
      <c r="R43" s="1096" t="s">
        <v>5</v>
      </c>
      <c r="S43" s="1096" t="s">
        <v>5</v>
      </c>
      <c r="T43" s="1096">
        <f t="shared" si="3"/>
        <v>24</v>
      </c>
      <c r="U43" s="1077"/>
      <c r="V43" s="1106"/>
      <c r="W43" s="1109"/>
      <c r="X43" s="1080"/>
      <c r="AB43" s="1078"/>
      <c r="AC43" s="1081"/>
    </row>
    <row r="44" spans="1:29" s="1079" customFormat="1" ht="12.75" customHeight="1">
      <c r="A44" s="1120">
        <f t="shared" si="2"/>
        <v>2343</v>
      </c>
      <c r="B44" s="1100" t="s">
        <v>174</v>
      </c>
      <c r="C44" s="1099" t="s">
        <v>5</v>
      </c>
      <c r="D44" s="1099" t="s">
        <v>5</v>
      </c>
      <c r="E44" s="1105" t="s">
        <v>5</v>
      </c>
      <c r="F44" s="1105" t="s">
        <v>5</v>
      </c>
      <c r="G44" s="1105" t="s">
        <v>5</v>
      </c>
      <c r="H44" s="1105" t="s">
        <v>5</v>
      </c>
      <c r="I44" s="1105" t="s">
        <v>5</v>
      </c>
      <c r="J44" s="1105">
        <v>24</v>
      </c>
      <c r="K44" s="1105" t="s">
        <v>5</v>
      </c>
      <c r="L44" s="1105" t="s">
        <v>5</v>
      </c>
      <c r="M44" s="1105" t="s">
        <v>5</v>
      </c>
      <c r="N44" s="1105" t="s">
        <v>5</v>
      </c>
      <c r="O44" s="1105" t="s">
        <v>5</v>
      </c>
      <c r="P44" s="1105" t="s">
        <v>5</v>
      </c>
      <c r="Q44" s="1105" t="s">
        <v>5</v>
      </c>
      <c r="R44" s="1105" t="s">
        <v>5</v>
      </c>
      <c r="S44" s="1105" t="s">
        <v>5</v>
      </c>
      <c r="T44" s="1105">
        <f t="shared" si="3"/>
        <v>24</v>
      </c>
      <c r="U44" s="1077"/>
      <c r="V44" s="1106"/>
      <c r="W44" s="1109"/>
      <c r="X44" s="1080"/>
      <c r="AB44" s="1078"/>
      <c r="AC44" s="1081"/>
    </row>
    <row r="45" spans="1:29" s="1079" customFormat="1" ht="12.75" customHeight="1">
      <c r="A45" s="1098">
        <f t="shared" si="2"/>
        <v>2344</v>
      </c>
      <c r="B45" s="1252" t="s">
        <v>176</v>
      </c>
      <c r="C45" s="1253"/>
      <c r="D45" s="1099">
        <v>15.5</v>
      </c>
      <c r="E45" s="1105" t="s">
        <v>5</v>
      </c>
      <c r="F45" s="1105" t="s">
        <v>5</v>
      </c>
      <c r="G45" s="1105" t="s">
        <v>5</v>
      </c>
      <c r="H45" s="1105" t="s">
        <v>5</v>
      </c>
      <c r="I45" s="1105" t="s">
        <v>5</v>
      </c>
      <c r="J45" s="1105">
        <v>7.25</v>
      </c>
      <c r="K45" s="1105" t="s">
        <v>5</v>
      </c>
      <c r="L45" s="1105" t="s">
        <v>5</v>
      </c>
      <c r="M45" s="1105" t="s">
        <v>5</v>
      </c>
      <c r="N45" s="1105" t="s">
        <v>5</v>
      </c>
      <c r="O45" s="1105" t="s">
        <v>5</v>
      </c>
      <c r="P45" s="1105" t="s">
        <v>5</v>
      </c>
      <c r="Q45" s="1105" t="s">
        <v>5</v>
      </c>
      <c r="R45" s="1105" t="s">
        <v>5</v>
      </c>
      <c r="S45" s="1105">
        <v>1.25</v>
      </c>
      <c r="T45" s="1099">
        <f t="shared" si="3"/>
        <v>24</v>
      </c>
      <c r="U45" s="1077" t="s">
        <v>175</v>
      </c>
      <c r="V45" s="1106"/>
      <c r="W45" s="1109"/>
      <c r="X45" s="1080"/>
      <c r="AB45" s="1078"/>
      <c r="AC45" s="1081"/>
    </row>
    <row r="46" spans="1:29" s="1079" customFormat="1" ht="12.75" customHeight="1">
      <c r="A46" s="1098">
        <f t="shared" si="2"/>
        <v>2345</v>
      </c>
      <c r="B46" s="1256" t="s">
        <v>251</v>
      </c>
      <c r="C46" s="1257"/>
      <c r="D46" s="1099">
        <v>18.5</v>
      </c>
      <c r="E46" s="1105" t="s">
        <v>5</v>
      </c>
      <c r="F46" s="1105" t="s">
        <v>5</v>
      </c>
      <c r="G46" s="1105" t="s">
        <v>5</v>
      </c>
      <c r="H46" s="1105" t="s">
        <v>5</v>
      </c>
      <c r="I46" s="1105" t="s">
        <v>5</v>
      </c>
      <c r="J46" s="1105">
        <v>5.5</v>
      </c>
      <c r="K46" s="1105" t="s">
        <v>5</v>
      </c>
      <c r="L46" s="1105" t="s">
        <v>5</v>
      </c>
      <c r="M46" s="1105" t="s">
        <v>5</v>
      </c>
      <c r="N46" s="1105" t="s">
        <v>5</v>
      </c>
      <c r="O46" s="1105" t="s">
        <v>5</v>
      </c>
      <c r="P46" s="1105" t="s">
        <v>5</v>
      </c>
      <c r="Q46" s="1105" t="s">
        <v>5</v>
      </c>
      <c r="R46" s="1105" t="s">
        <v>5</v>
      </c>
      <c r="S46" s="1105" t="s">
        <v>5</v>
      </c>
      <c r="T46" s="1099">
        <f t="shared" si="3"/>
        <v>24</v>
      </c>
      <c r="U46" s="1077"/>
      <c r="V46" s="1106"/>
      <c r="W46" s="1109"/>
      <c r="X46" s="1080"/>
      <c r="AB46" s="1078"/>
      <c r="AC46" s="1081"/>
    </row>
    <row r="47" spans="1:29" s="1079" customFormat="1" ht="12.75" customHeight="1">
      <c r="A47" s="1098">
        <f t="shared" si="2"/>
        <v>2346</v>
      </c>
      <c r="B47" s="1252" t="s">
        <v>252</v>
      </c>
      <c r="C47" s="1253"/>
      <c r="D47" s="1099">
        <v>2</v>
      </c>
      <c r="E47" s="1105" t="s">
        <v>5</v>
      </c>
      <c r="F47" s="1105" t="s">
        <v>5</v>
      </c>
      <c r="G47" s="1105" t="s">
        <v>5</v>
      </c>
      <c r="H47" s="1105" t="s">
        <v>5</v>
      </c>
      <c r="I47" s="1105" t="s">
        <v>5</v>
      </c>
      <c r="J47" s="1105">
        <v>22</v>
      </c>
      <c r="K47" s="1105" t="s">
        <v>5</v>
      </c>
      <c r="L47" s="1105" t="s">
        <v>5</v>
      </c>
      <c r="M47" s="1105" t="s">
        <v>5</v>
      </c>
      <c r="N47" s="1105" t="s">
        <v>5</v>
      </c>
      <c r="O47" s="1105" t="s">
        <v>5</v>
      </c>
      <c r="P47" s="1105" t="s">
        <v>5</v>
      </c>
      <c r="Q47" s="1105" t="s">
        <v>5</v>
      </c>
      <c r="R47" s="1105" t="s">
        <v>5</v>
      </c>
      <c r="S47" s="1105" t="s">
        <v>5</v>
      </c>
      <c r="T47" s="1099">
        <f t="shared" si="3"/>
        <v>24</v>
      </c>
      <c r="U47" s="1077"/>
      <c r="V47" s="1106"/>
      <c r="W47" s="1109"/>
      <c r="X47" s="1080"/>
      <c r="AB47" s="1078"/>
      <c r="AC47" s="1081"/>
    </row>
    <row r="48" spans="1:29" s="1079" customFormat="1" ht="12.75" customHeight="1">
      <c r="A48" s="1098">
        <f t="shared" si="2"/>
        <v>2347</v>
      </c>
      <c r="B48" s="1252" t="s">
        <v>177</v>
      </c>
      <c r="C48" s="1253"/>
      <c r="D48" s="1099">
        <v>2.75</v>
      </c>
      <c r="E48" s="1105" t="s">
        <v>5</v>
      </c>
      <c r="F48" s="1105" t="s">
        <v>5</v>
      </c>
      <c r="G48" s="1105" t="s">
        <v>5</v>
      </c>
      <c r="H48" s="1105" t="s">
        <v>5</v>
      </c>
      <c r="I48" s="1105" t="s">
        <v>5</v>
      </c>
      <c r="J48" s="1105">
        <v>21.25</v>
      </c>
      <c r="K48" s="1105" t="s">
        <v>5</v>
      </c>
      <c r="L48" s="1105" t="s">
        <v>5</v>
      </c>
      <c r="M48" s="1105" t="s">
        <v>5</v>
      </c>
      <c r="N48" s="1105" t="s">
        <v>5</v>
      </c>
      <c r="O48" s="1105" t="s">
        <v>5</v>
      </c>
      <c r="P48" s="1105" t="s">
        <v>5</v>
      </c>
      <c r="Q48" s="1105" t="s">
        <v>5</v>
      </c>
      <c r="R48" s="1105" t="s">
        <v>5</v>
      </c>
      <c r="S48" s="1105" t="s">
        <v>5</v>
      </c>
      <c r="T48" s="1099">
        <f t="shared" si="3"/>
        <v>24</v>
      </c>
      <c r="U48" s="1077"/>
      <c r="V48" s="1106"/>
      <c r="W48" s="1109"/>
      <c r="X48" s="1080"/>
      <c r="AB48" s="1078"/>
      <c r="AC48" s="1081"/>
    </row>
    <row r="49" spans="1:29" s="1079" customFormat="1" ht="12.75" customHeight="1" thickBot="1">
      <c r="A49" s="1110">
        <f t="shared" si="2"/>
        <v>2348</v>
      </c>
      <c r="B49" s="1269" t="s">
        <v>178</v>
      </c>
      <c r="C49" s="1270"/>
      <c r="D49" s="1111">
        <v>12.75</v>
      </c>
      <c r="E49" s="1111" t="s">
        <v>5</v>
      </c>
      <c r="F49" s="1111" t="s">
        <v>5</v>
      </c>
      <c r="G49" s="1111" t="s">
        <v>5</v>
      </c>
      <c r="H49" s="1111" t="s">
        <v>5</v>
      </c>
      <c r="I49" s="1111" t="s">
        <v>5</v>
      </c>
      <c r="J49" s="1111">
        <v>11.25</v>
      </c>
      <c r="K49" s="1111" t="s">
        <v>5</v>
      </c>
      <c r="L49" s="1111" t="s">
        <v>5</v>
      </c>
      <c r="M49" s="1111" t="s">
        <v>5</v>
      </c>
      <c r="N49" s="1111" t="s">
        <v>5</v>
      </c>
      <c r="O49" s="1111" t="s">
        <v>5</v>
      </c>
      <c r="P49" s="1111" t="s">
        <v>5</v>
      </c>
      <c r="Q49" s="1111" t="s">
        <v>5</v>
      </c>
      <c r="R49" s="1111" t="s">
        <v>5</v>
      </c>
      <c r="S49" s="1111" t="s">
        <v>5</v>
      </c>
      <c r="T49" s="1111">
        <f t="shared" si="3"/>
        <v>24</v>
      </c>
      <c r="U49" s="1077"/>
      <c r="V49" s="1106"/>
      <c r="W49" s="1109"/>
      <c r="X49" s="1080"/>
      <c r="AB49" s="1078"/>
      <c r="AC49" s="1081"/>
    </row>
    <row r="50" spans="1:29" s="1079" customFormat="1" ht="12.75" customHeight="1" thickBot="1" thickTop="1">
      <c r="A50" s="1112">
        <f t="shared" si="2"/>
        <v>2349</v>
      </c>
      <c r="B50" s="1113" t="s">
        <v>172</v>
      </c>
      <c r="C50" s="1113">
        <v>2.25</v>
      </c>
      <c r="D50" s="1114">
        <v>14</v>
      </c>
      <c r="E50" s="1113" t="s">
        <v>5</v>
      </c>
      <c r="F50" s="1113" t="s">
        <v>5</v>
      </c>
      <c r="G50" s="1113" t="s">
        <v>5</v>
      </c>
      <c r="H50" s="1113" t="s">
        <v>5</v>
      </c>
      <c r="I50" s="1113" t="s">
        <v>5</v>
      </c>
      <c r="J50" s="1113" t="s">
        <v>5</v>
      </c>
      <c r="K50" s="1113" t="s">
        <v>5</v>
      </c>
      <c r="L50" s="1113" t="s">
        <v>5</v>
      </c>
      <c r="M50" s="1113" t="s">
        <v>5</v>
      </c>
      <c r="N50" s="1113" t="s">
        <v>5</v>
      </c>
      <c r="O50" s="1113" t="s">
        <v>5</v>
      </c>
      <c r="P50" s="1113" t="s">
        <v>5</v>
      </c>
      <c r="Q50" s="1113" t="s">
        <v>5</v>
      </c>
      <c r="R50" s="1113" t="s">
        <v>5</v>
      </c>
      <c r="S50" s="1113">
        <v>7.75</v>
      </c>
      <c r="T50" s="1114">
        <f t="shared" si="3"/>
        <v>24</v>
      </c>
      <c r="U50" s="1077" t="s">
        <v>179</v>
      </c>
      <c r="V50" s="1106"/>
      <c r="W50" s="1109"/>
      <c r="X50" s="1080"/>
      <c r="AB50" s="1078"/>
      <c r="AC50" s="1081"/>
    </row>
    <row r="51" spans="1:29" s="1079" customFormat="1" ht="12.75" customHeight="1" thickTop="1">
      <c r="A51" s="1098">
        <f t="shared" si="2"/>
        <v>2350</v>
      </c>
      <c r="B51" s="1105" t="s">
        <v>137</v>
      </c>
      <c r="C51" s="1105">
        <v>24</v>
      </c>
      <c r="D51" s="1099" t="s">
        <v>5</v>
      </c>
      <c r="E51" s="1105" t="s">
        <v>5</v>
      </c>
      <c r="F51" s="1105" t="s">
        <v>5</v>
      </c>
      <c r="G51" s="1105" t="s">
        <v>5</v>
      </c>
      <c r="H51" s="1105" t="s">
        <v>5</v>
      </c>
      <c r="I51" s="1105" t="s">
        <v>5</v>
      </c>
      <c r="J51" s="1105" t="s">
        <v>5</v>
      </c>
      <c r="K51" s="1115" t="s">
        <v>5</v>
      </c>
      <c r="L51" s="1248" t="s">
        <v>313</v>
      </c>
      <c r="M51" s="1249"/>
      <c r="N51" s="1116" t="s">
        <v>5</v>
      </c>
      <c r="O51" s="1105" t="s">
        <v>5</v>
      </c>
      <c r="P51" s="1105" t="s">
        <v>5</v>
      </c>
      <c r="Q51" s="1105" t="s">
        <v>5</v>
      </c>
      <c r="R51" s="1105" t="s">
        <v>5</v>
      </c>
      <c r="S51" s="1105" t="s">
        <v>5</v>
      </c>
      <c r="T51" s="1099">
        <f t="shared" si="3"/>
        <v>24</v>
      </c>
      <c r="U51" s="1077"/>
      <c r="V51" s="1106"/>
      <c r="W51" s="1109"/>
      <c r="X51" s="1080"/>
      <c r="AB51" s="1078"/>
      <c r="AC51" s="1081"/>
    </row>
    <row r="52" spans="1:29" s="1079" customFormat="1" ht="12.75" customHeight="1" thickBot="1">
      <c r="A52" s="1098">
        <f t="shared" si="2"/>
        <v>2351</v>
      </c>
      <c r="B52" s="1105" t="s">
        <v>137</v>
      </c>
      <c r="C52" s="1105">
        <v>24</v>
      </c>
      <c r="D52" s="1099" t="s">
        <v>5</v>
      </c>
      <c r="E52" s="1105" t="s">
        <v>5</v>
      </c>
      <c r="F52" s="1105" t="s">
        <v>5</v>
      </c>
      <c r="G52" s="1105" t="s">
        <v>5</v>
      </c>
      <c r="H52" s="1105" t="s">
        <v>5</v>
      </c>
      <c r="I52" s="1105" t="s">
        <v>5</v>
      </c>
      <c r="J52" s="1105" t="s">
        <v>5</v>
      </c>
      <c r="K52" s="1115" t="s">
        <v>5</v>
      </c>
      <c r="L52" s="1250"/>
      <c r="M52" s="1251"/>
      <c r="N52" s="1116" t="s">
        <v>5</v>
      </c>
      <c r="O52" s="1105" t="s">
        <v>5</v>
      </c>
      <c r="P52" s="1105" t="s">
        <v>5</v>
      </c>
      <c r="Q52" s="1105" t="s">
        <v>5</v>
      </c>
      <c r="R52" s="1105" t="s">
        <v>5</v>
      </c>
      <c r="S52" s="1105" t="s">
        <v>5</v>
      </c>
      <c r="T52" s="1099">
        <f aca="true" t="shared" si="4" ref="T52:T59">SUM(B52:S52)</f>
        <v>24</v>
      </c>
      <c r="U52" s="1077"/>
      <c r="V52" s="1106"/>
      <c r="W52" s="1109"/>
      <c r="X52" s="1080"/>
      <c r="AB52" s="1078"/>
      <c r="AC52" s="1081"/>
    </row>
    <row r="53" spans="1:29" s="1079" customFormat="1" ht="12.75" customHeight="1" thickTop="1">
      <c r="A53" s="1098">
        <f t="shared" si="2"/>
        <v>2352</v>
      </c>
      <c r="B53" s="1105" t="s">
        <v>170</v>
      </c>
      <c r="C53" s="1105">
        <v>17.75</v>
      </c>
      <c r="D53" s="1099">
        <v>6.25</v>
      </c>
      <c r="E53" s="1105" t="s">
        <v>5</v>
      </c>
      <c r="F53" s="1105" t="s">
        <v>5</v>
      </c>
      <c r="G53" s="1105" t="s">
        <v>5</v>
      </c>
      <c r="H53" s="1105" t="s">
        <v>5</v>
      </c>
      <c r="I53" s="1105" t="s">
        <v>5</v>
      </c>
      <c r="J53" s="1105" t="s">
        <v>5</v>
      </c>
      <c r="K53" s="1105" t="s">
        <v>5</v>
      </c>
      <c r="L53" s="1117" t="s">
        <v>5</v>
      </c>
      <c r="M53" s="1117" t="s">
        <v>5</v>
      </c>
      <c r="N53" s="1105" t="s">
        <v>5</v>
      </c>
      <c r="O53" s="1105" t="s">
        <v>5</v>
      </c>
      <c r="P53" s="1105" t="s">
        <v>5</v>
      </c>
      <c r="Q53" s="1105" t="s">
        <v>5</v>
      </c>
      <c r="R53" s="1105" t="s">
        <v>5</v>
      </c>
      <c r="S53" s="1105" t="s">
        <v>5</v>
      </c>
      <c r="T53" s="1099">
        <f t="shared" si="4"/>
        <v>24</v>
      </c>
      <c r="U53" s="1077"/>
      <c r="V53" s="1106"/>
      <c r="W53" s="1109"/>
      <c r="X53" s="1080"/>
      <c r="AB53" s="1078"/>
      <c r="AC53" s="1081"/>
    </row>
    <row r="54" spans="1:29" s="1079" customFormat="1" ht="12.75" customHeight="1">
      <c r="A54" s="1098">
        <f t="shared" si="2"/>
        <v>2353</v>
      </c>
      <c r="B54" s="1252" t="s">
        <v>180</v>
      </c>
      <c r="C54" s="1253"/>
      <c r="D54" s="1099">
        <v>14.5</v>
      </c>
      <c r="E54" s="1105">
        <v>4.75</v>
      </c>
      <c r="F54" s="1105">
        <v>3.75</v>
      </c>
      <c r="G54" s="1105" t="s">
        <v>5</v>
      </c>
      <c r="H54" s="1105">
        <v>1</v>
      </c>
      <c r="I54" s="1105" t="s">
        <v>5</v>
      </c>
      <c r="J54" s="1105" t="s">
        <v>5</v>
      </c>
      <c r="K54" s="1105" t="s">
        <v>5</v>
      </c>
      <c r="L54" s="1105" t="s">
        <v>5</v>
      </c>
      <c r="M54" s="1105" t="s">
        <v>5</v>
      </c>
      <c r="N54" s="1105" t="s">
        <v>5</v>
      </c>
      <c r="O54" s="1105" t="s">
        <v>5</v>
      </c>
      <c r="P54" s="1105" t="s">
        <v>5</v>
      </c>
      <c r="Q54" s="1105" t="s">
        <v>5</v>
      </c>
      <c r="R54" s="1105" t="s">
        <v>5</v>
      </c>
      <c r="S54" s="1105" t="s">
        <v>5</v>
      </c>
      <c r="T54" s="1099">
        <f t="shared" si="4"/>
        <v>24</v>
      </c>
      <c r="U54" s="1077"/>
      <c r="V54" s="1106"/>
      <c r="W54" s="1109"/>
      <c r="X54" s="1080"/>
      <c r="AB54" s="1078"/>
      <c r="AC54" s="1081"/>
    </row>
    <row r="55" spans="1:29" s="1079" customFormat="1" ht="12.75" customHeight="1">
      <c r="A55" s="1098">
        <f t="shared" si="2"/>
        <v>2354</v>
      </c>
      <c r="B55" s="1105" t="s">
        <v>181</v>
      </c>
      <c r="C55" s="1105" t="s">
        <v>5</v>
      </c>
      <c r="D55" s="1099" t="s">
        <v>5</v>
      </c>
      <c r="E55" s="1105" t="s">
        <v>5</v>
      </c>
      <c r="F55" s="1105">
        <v>23</v>
      </c>
      <c r="G55" s="1105" t="s">
        <v>5</v>
      </c>
      <c r="H55" s="1105">
        <v>1</v>
      </c>
      <c r="I55" s="1105" t="s">
        <v>5</v>
      </c>
      <c r="J55" s="1105" t="s">
        <v>5</v>
      </c>
      <c r="K55" s="1105" t="s">
        <v>5</v>
      </c>
      <c r="L55" s="1105" t="s">
        <v>5</v>
      </c>
      <c r="M55" s="1105" t="s">
        <v>5</v>
      </c>
      <c r="N55" s="1105" t="s">
        <v>5</v>
      </c>
      <c r="O55" s="1105" t="s">
        <v>5</v>
      </c>
      <c r="P55" s="1105" t="s">
        <v>5</v>
      </c>
      <c r="Q55" s="1105" t="s">
        <v>5</v>
      </c>
      <c r="R55" s="1105" t="s">
        <v>5</v>
      </c>
      <c r="S55" s="1105" t="s">
        <v>5</v>
      </c>
      <c r="T55" s="1099">
        <f t="shared" si="4"/>
        <v>24</v>
      </c>
      <c r="U55" s="1077"/>
      <c r="V55" s="1106"/>
      <c r="W55" s="1109"/>
      <c r="X55" s="1080"/>
      <c r="AB55" s="1078"/>
      <c r="AC55" s="1081"/>
    </row>
    <row r="56" spans="1:29" s="1079" customFormat="1" ht="12.75" customHeight="1">
      <c r="A56" s="1098">
        <f t="shared" si="2"/>
        <v>2355</v>
      </c>
      <c r="B56" s="1105" t="s">
        <v>182</v>
      </c>
      <c r="C56" s="1105" t="s">
        <v>5</v>
      </c>
      <c r="D56" s="1099" t="s">
        <v>5</v>
      </c>
      <c r="E56" s="1105">
        <v>1.75</v>
      </c>
      <c r="F56" s="1105">
        <v>13.5</v>
      </c>
      <c r="G56" s="1105">
        <v>6.75</v>
      </c>
      <c r="H56" s="1105">
        <v>1.5</v>
      </c>
      <c r="I56" s="1105" t="s">
        <v>5</v>
      </c>
      <c r="J56" s="1105" t="s">
        <v>5</v>
      </c>
      <c r="K56" s="1105" t="s">
        <v>5</v>
      </c>
      <c r="L56" s="1105" t="s">
        <v>5</v>
      </c>
      <c r="M56" s="1105" t="s">
        <v>5</v>
      </c>
      <c r="N56" s="1105" t="s">
        <v>5</v>
      </c>
      <c r="O56" s="1105" t="s">
        <v>5</v>
      </c>
      <c r="P56" s="1105" t="s">
        <v>5</v>
      </c>
      <c r="Q56" s="1105" t="s">
        <v>5</v>
      </c>
      <c r="R56" s="1105" t="s">
        <v>5</v>
      </c>
      <c r="S56" s="1105">
        <v>0.5</v>
      </c>
      <c r="T56" s="1099">
        <f t="shared" si="4"/>
        <v>24</v>
      </c>
      <c r="U56" s="1077"/>
      <c r="V56" s="1106"/>
      <c r="W56" s="1109"/>
      <c r="X56" s="1080"/>
      <c r="AB56" s="1078"/>
      <c r="AC56" s="1081"/>
    </row>
    <row r="57" spans="1:29" s="1079" customFormat="1" ht="12.75" customHeight="1">
      <c r="A57" s="1098">
        <f t="shared" si="2"/>
        <v>2356</v>
      </c>
      <c r="B57" s="1105" t="s">
        <v>253</v>
      </c>
      <c r="C57" s="1121" t="s">
        <v>5</v>
      </c>
      <c r="D57" s="1099" t="s">
        <v>5</v>
      </c>
      <c r="E57" s="1105">
        <v>7.5</v>
      </c>
      <c r="F57" s="1105">
        <v>3</v>
      </c>
      <c r="G57" s="1105">
        <v>7</v>
      </c>
      <c r="H57" s="1105" t="s">
        <v>5</v>
      </c>
      <c r="I57" s="1105">
        <v>6</v>
      </c>
      <c r="J57" s="1105" t="s">
        <v>5</v>
      </c>
      <c r="K57" s="1105" t="s">
        <v>5</v>
      </c>
      <c r="L57" s="1105" t="s">
        <v>5</v>
      </c>
      <c r="M57" s="1105" t="s">
        <v>5</v>
      </c>
      <c r="N57" s="1105" t="s">
        <v>5</v>
      </c>
      <c r="O57" s="1105" t="s">
        <v>5</v>
      </c>
      <c r="P57" s="1105" t="s">
        <v>5</v>
      </c>
      <c r="Q57" s="1105" t="s">
        <v>5</v>
      </c>
      <c r="R57" s="1105" t="s">
        <v>5</v>
      </c>
      <c r="S57" s="1105">
        <v>0.5</v>
      </c>
      <c r="T57" s="1099">
        <f t="shared" si="4"/>
        <v>24</v>
      </c>
      <c r="U57" s="1077"/>
      <c r="V57" s="1106"/>
      <c r="W57" s="1109"/>
      <c r="X57" s="1080"/>
      <c r="AB57" s="1078"/>
      <c r="AC57" s="1081"/>
    </row>
    <row r="58" spans="1:29" s="1079" customFormat="1" ht="12.75" customHeight="1">
      <c r="A58" s="1098">
        <f t="shared" si="2"/>
        <v>2357</v>
      </c>
      <c r="B58" s="1252" t="s">
        <v>254</v>
      </c>
      <c r="C58" s="1253"/>
      <c r="D58" s="1099" t="s">
        <v>5</v>
      </c>
      <c r="E58" s="1105">
        <v>3.5</v>
      </c>
      <c r="F58" s="1105" t="s">
        <v>5</v>
      </c>
      <c r="G58" s="1105">
        <v>12</v>
      </c>
      <c r="H58" s="1105" t="s">
        <v>5</v>
      </c>
      <c r="I58" s="1105">
        <v>7.5</v>
      </c>
      <c r="J58" s="1105" t="s">
        <v>5</v>
      </c>
      <c r="K58" s="1105" t="s">
        <v>5</v>
      </c>
      <c r="L58" s="1105" t="s">
        <v>5</v>
      </c>
      <c r="M58" s="1105" t="s">
        <v>5</v>
      </c>
      <c r="N58" s="1105" t="s">
        <v>5</v>
      </c>
      <c r="O58" s="1105" t="s">
        <v>5</v>
      </c>
      <c r="P58" s="1105" t="s">
        <v>5</v>
      </c>
      <c r="Q58" s="1105" t="s">
        <v>5</v>
      </c>
      <c r="R58" s="1105" t="s">
        <v>5</v>
      </c>
      <c r="S58" s="1105">
        <v>1</v>
      </c>
      <c r="T58" s="1099">
        <f t="shared" si="4"/>
        <v>24</v>
      </c>
      <c r="U58" s="1077"/>
      <c r="V58" s="1106"/>
      <c r="W58" s="1109"/>
      <c r="X58" s="1080"/>
      <c r="AB58" s="1078"/>
      <c r="AC58" s="1081"/>
    </row>
    <row r="59" spans="1:29" s="1079" customFormat="1" ht="12.75" customHeight="1">
      <c r="A59" s="1098">
        <f t="shared" si="2"/>
        <v>2358</v>
      </c>
      <c r="B59" s="1252" t="s">
        <v>306</v>
      </c>
      <c r="C59" s="1253"/>
      <c r="D59" s="1099">
        <v>2.5</v>
      </c>
      <c r="E59" s="1105">
        <v>3</v>
      </c>
      <c r="F59" s="1105" t="s">
        <v>5</v>
      </c>
      <c r="G59" s="1105" t="s">
        <v>5</v>
      </c>
      <c r="H59" s="1105" t="s">
        <v>5</v>
      </c>
      <c r="I59" s="1105">
        <v>18.25</v>
      </c>
      <c r="J59" s="1105" t="s">
        <v>5</v>
      </c>
      <c r="K59" s="1105" t="s">
        <v>5</v>
      </c>
      <c r="L59" s="1105" t="s">
        <v>5</v>
      </c>
      <c r="M59" s="1105" t="s">
        <v>5</v>
      </c>
      <c r="N59" s="1105" t="s">
        <v>5</v>
      </c>
      <c r="O59" s="1105" t="s">
        <v>5</v>
      </c>
      <c r="P59" s="1105" t="s">
        <v>5</v>
      </c>
      <c r="Q59" s="1105" t="s">
        <v>5</v>
      </c>
      <c r="R59" s="1105" t="s">
        <v>5</v>
      </c>
      <c r="S59" s="1105">
        <v>0.25</v>
      </c>
      <c r="T59" s="1099">
        <f t="shared" si="4"/>
        <v>24</v>
      </c>
      <c r="U59" s="1077"/>
      <c r="V59" s="1106"/>
      <c r="W59" s="1109"/>
      <c r="X59" s="1080"/>
      <c r="AB59" s="1078"/>
      <c r="AC59" s="1081"/>
    </row>
    <row r="60" spans="1:29" s="1079" customFormat="1" ht="12.75" customHeight="1">
      <c r="A60" s="1120">
        <f t="shared" si="2"/>
        <v>2359</v>
      </c>
      <c r="B60" s="1105" t="s">
        <v>305</v>
      </c>
      <c r="C60" s="1105" t="s">
        <v>5</v>
      </c>
      <c r="D60" s="1105" t="s">
        <v>5</v>
      </c>
      <c r="E60" s="1105">
        <v>2.25</v>
      </c>
      <c r="F60" s="1105">
        <v>20.75</v>
      </c>
      <c r="G60" s="1105" t="s">
        <v>5</v>
      </c>
      <c r="H60" s="1105">
        <v>1</v>
      </c>
      <c r="I60" s="1105" t="s">
        <v>5</v>
      </c>
      <c r="J60" s="1105" t="s">
        <v>5</v>
      </c>
      <c r="K60" s="1105" t="s">
        <v>5</v>
      </c>
      <c r="L60" s="1105" t="s">
        <v>5</v>
      </c>
      <c r="M60" s="1105" t="s">
        <v>5</v>
      </c>
      <c r="N60" s="1105" t="s">
        <v>5</v>
      </c>
      <c r="O60" s="1105" t="s">
        <v>5</v>
      </c>
      <c r="P60" s="1105" t="s">
        <v>5</v>
      </c>
      <c r="Q60" s="1105" t="s">
        <v>5</v>
      </c>
      <c r="R60" s="1105" t="s">
        <v>5</v>
      </c>
      <c r="S60" s="1105" t="s">
        <v>5</v>
      </c>
      <c r="T60" s="1105">
        <f aca="true" t="shared" si="5" ref="T60:T67">SUM(B60:S60)</f>
        <v>24</v>
      </c>
      <c r="U60" s="1077"/>
      <c r="V60" s="1106"/>
      <c r="W60" s="1109"/>
      <c r="X60" s="1080"/>
      <c r="AB60" s="1078"/>
      <c r="AC60" s="1081"/>
    </row>
    <row r="61" spans="1:29" s="1079" customFormat="1" ht="12.75" customHeight="1">
      <c r="A61" s="1098">
        <f t="shared" si="2"/>
        <v>2360</v>
      </c>
      <c r="B61" s="1099" t="s">
        <v>305</v>
      </c>
      <c r="C61" s="1099" t="s">
        <v>5</v>
      </c>
      <c r="D61" s="1099" t="s">
        <v>5</v>
      </c>
      <c r="E61" s="1099" t="s">
        <v>5</v>
      </c>
      <c r="F61" s="1099">
        <v>23</v>
      </c>
      <c r="G61" s="1099" t="s">
        <v>5</v>
      </c>
      <c r="H61" s="1099">
        <v>1</v>
      </c>
      <c r="I61" s="1099" t="s">
        <v>5</v>
      </c>
      <c r="J61" s="1099" t="s">
        <v>5</v>
      </c>
      <c r="K61" s="1099" t="s">
        <v>5</v>
      </c>
      <c r="L61" s="1099" t="s">
        <v>5</v>
      </c>
      <c r="M61" s="1099" t="s">
        <v>5</v>
      </c>
      <c r="N61" s="1099" t="s">
        <v>5</v>
      </c>
      <c r="O61" s="1099" t="s">
        <v>5</v>
      </c>
      <c r="P61" s="1099" t="s">
        <v>5</v>
      </c>
      <c r="Q61" s="1099" t="s">
        <v>5</v>
      </c>
      <c r="R61" s="1099" t="s">
        <v>5</v>
      </c>
      <c r="S61" s="1099" t="s">
        <v>5</v>
      </c>
      <c r="T61" s="1099">
        <f t="shared" si="5"/>
        <v>24</v>
      </c>
      <c r="U61" s="1077"/>
      <c r="V61" s="1106"/>
      <c r="W61" s="1109"/>
      <c r="X61" s="1080"/>
      <c r="AB61" s="1078"/>
      <c r="AC61" s="1081"/>
    </row>
    <row r="62" spans="1:29" s="1079" customFormat="1" ht="12.75" customHeight="1">
      <c r="A62" s="1098">
        <f aca="true" t="shared" si="6" ref="A62:A67">A61+1</f>
        <v>2361</v>
      </c>
      <c r="B62" s="1252" t="s">
        <v>307</v>
      </c>
      <c r="C62" s="1253"/>
      <c r="D62" s="1099" t="s">
        <v>5</v>
      </c>
      <c r="E62" s="1105">
        <v>2.5</v>
      </c>
      <c r="F62" s="1105">
        <v>19.75</v>
      </c>
      <c r="G62" s="1105" t="s">
        <v>5</v>
      </c>
      <c r="H62" s="1105">
        <v>1.5</v>
      </c>
      <c r="I62" s="1105" t="s">
        <v>5</v>
      </c>
      <c r="J62" s="1105" t="s">
        <v>5</v>
      </c>
      <c r="K62" s="1105" t="s">
        <v>5</v>
      </c>
      <c r="L62" s="1105" t="s">
        <v>5</v>
      </c>
      <c r="M62" s="1105" t="s">
        <v>5</v>
      </c>
      <c r="N62" s="1105" t="s">
        <v>5</v>
      </c>
      <c r="O62" s="1105" t="s">
        <v>5</v>
      </c>
      <c r="P62" s="1105" t="s">
        <v>5</v>
      </c>
      <c r="Q62" s="1105" t="s">
        <v>5</v>
      </c>
      <c r="R62" s="1105" t="s">
        <v>5</v>
      </c>
      <c r="S62" s="1105">
        <v>0.25</v>
      </c>
      <c r="T62" s="1099">
        <f t="shared" si="5"/>
        <v>24</v>
      </c>
      <c r="U62" s="1077"/>
      <c r="V62" s="1106"/>
      <c r="W62" s="1109"/>
      <c r="X62" s="1080"/>
      <c r="AB62" s="1078"/>
      <c r="AC62" s="1081"/>
    </row>
    <row r="63" spans="1:29" s="1079" customFormat="1" ht="12.75" customHeight="1">
      <c r="A63" s="1098">
        <f t="shared" si="6"/>
        <v>2362</v>
      </c>
      <c r="B63" s="1105" t="s">
        <v>310</v>
      </c>
      <c r="C63" s="1105" t="s">
        <v>5</v>
      </c>
      <c r="D63" s="1099" t="s">
        <v>5</v>
      </c>
      <c r="E63" s="1105" t="s">
        <v>5</v>
      </c>
      <c r="F63" s="1105">
        <v>22</v>
      </c>
      <c r="G63" s="1105" t="s">
        <v>5</v>
      </c>
      <c r="H63" s="1105">
        <v>2</v>
      </c>
      <c r="I63" s="1105" t="s">
        <v>5</v>
      </c>
      <c r="J63" s="1105" t="s">
        <v>5</v>
      </c>
      <c r="K63" s="1105" t="s">
        <v>5</v>
      </c>
      <c r="L63" s="1105" t="s">
        <v>5</v>
      </c>
      <c r="M63" s="1105" t="s">
        <v>5</v>
      </c>
      <c r="N63" s="1105" t="s">
        <v>5</v>
      </c>
      <c r="O63" s="1105" t="s">
        <v>5</v>
      </c>
      <c r="P63" s="1105" t="s">
        <v>5</v>
      </c>
      <c r="Q63" s="1105" t="s">
        <v>5</v>
      </c>
      <c r="R63" s="1105" t="s">
        <v>5</v>
      </c>
      <c r="S63" s="1105" t="s">
        <v>5</v>
      </c>
      <c r="T63" s="1099">
        <f t="shared" si="5"/>
        <v>24</v>
      </c>
      <c r="U63" s="1077"/>
      <c r="V63" s="1106"/>
      <c r="W63" s="1109"/>
      <c r="X63" s="1080"/>
      <c r="AB63" s="1078"/>
      <c r="AC63" s="1081"/>
    </row>
    <row r="64" spans="1:29" s="1079" customFormat="1" ht="12.75" customHeight="1">
      <c r="A64" s="1098">
        <f t="shared" si="6"/>
        <v>2363</v>
      </c>
      <c r="B64" s="1105" t="s">
        <v>310</v>
      </c>
      <c r="C64" s="1105" t="s">
        <v>5</v>
      </c>
      <c r="D64" s="1099" t="s">
        <v>5</v>
      </c>
      <c r="E64" s="1105">
        <v>5</v>
      </c>
      <c r="F64" s="1105">
        <v>8.5</v>
      </c>
      <c r="G64" s="1105">
        <v>3.5</v>
      </c>
      <c r="H64" s="1105">
        <v>1</v>
      </c>
      <c r="I64" s="1105">
        <v>5.5</v>
      </c>
      <c r="J64" s="1105" t="s">
        <v>5</v>
      </c>
      <c r="K64" s="1105" t="s">
        <v>5</v>
      </c>
      <c r="L64" s="1105" t="s">
        <v>5</v>
      </c>
      <c r="M64" s="1105" t="s">
        <v>5</v>
      </c>
      <c r="N64" s="1105" t="s">
        <v>5</v>
      </c>
      <c r="O64" s="1105" t="s">
        <v>5</v>
      </c>
      <c r="P64" s="1105" t="s">
        <v>5</v>
      </c>
      <c r="Q64" s="1105" t="s">
        <v>5</v>
      </c>
      <c r="R64" s="1105" t="s">
        <v>5</v>
      </c>
      <c r="S64" s="1105">
        <v>0.5</v>
      </c>
      <c r="T64" s="1099">
        <f t="shared" si="5"/>
        <v>24</v>
      </c>
      <c r="U64" s="1077"/>
      <c r="V64" s="1106"/>
      <c r="W64" s="1109"/>
      <c r="X64" s="1080"/>
      <c r="AB64" s="1078"/>
      <c r="AC64" s="1081"/>
    </row>
    <row r="65" spans="1:29" s="1079" customFormat="1" ht="12.75" customHeight="1">
      <c r="A65" s="1098">
        <f t="shared" si="6"/>
        <v>2364</v>
      </c>
      <c r="B65" s="1252" t="s">
        <v>327</v>
      </c>
      <c r="C65" s="1253"/>
      <c r="D65" s="1099" t="s">
        <v>5</v>
      </c>
      <c r="E65" s="1105">
        <v>3</v>
      </c>
      <c r="F65" s="1105">
        <v>2</v>
      </c>
      <c r="G65" s="1105">
        <v>4.5</v>
      </c>
      <c r="H65" s="1105" t="s">
        <v>5</v>
      </c>
      <c r="I65" s="1105">
        <v>13.5</v>
      </c>
      <c r="J65" s="1105" t="s">
        <v>5</v>
      </c>
      <c r="K65" s="1105" t="s">
        <v>5</v>
      </c>
      <c r="L65" s="1105" t="s">
        <v>5</v>
      </c>
      <c r="M65" s="1105" t="s">
        <v>5</v>
      </c>
      <c r="N65" s="1105" t="s">
        <v>5</v>
      </c>
      <c r="O65" s="1105" t="s">
        <v>5</v>
      </c>
      <c r="P65" s="1105" t="s">
        <v>5</v>
      </c>
      <c r="Q65" s="1105" t="s">
        <v>5</v>
      </c>
      <c r="R65" s="1105" t="s">
        <v>5</v>
      </c>
      <c r="S65" s="1105">
        <v>1</v>
      </c>
      <c r="T65" s="1099">
        <f t="shared" si="5"/>
        <v>24</v>
      </c>
      <c r="U65" s="1077"/>
      <c r="V65" s="1106"/>
      <c r="W65" s="1109"/>
      <c r="X65" s="1080"/>
      <c r="AB65" s="1078"/>
      <c r="AC65" s="1081"/>
    </row>
    <row r="66" spans="1:29" s="1079" customFormat="1" ht="12.75" customHeight="1">
      <c r="A66" s="1098">
        <f t="shared" si="6"/>
        <v>2365</v>
      </c>
      <c r="B66" s="1105" t="s">
        <v>354</v>
      </c>
      <c r="C66" s="1105" t="s">
        <v>5</v>
      </c>
      <c r="D66" s="1099" t="s">
        <v>5</v>
      </c>
      <c r="E66" s="1105">
        <v>1</v>
      </c>
      <c r="F66" s="1105">
        <v>13.75</v>
      </c>
      <c r="G66" s="1105">
        <v>6.5</v>
      </c>
      <c r="H66" s="1105" t="s">
        <v>5</v>
      </c>
      <c r="I66" s="1105" t="s">
        <v>5</v>
      </c>
      <c r="J66" s="1105" t="s">
        <v>5</v>
      </c>
      <c r="K66" s="1105" t="s">
        <v>5</v>
      </c>
      <c r="L66" s="1105" t="s">
        <v>5</v>
      </c>
      <c r="M66" s="1105" t="s">
        <v>5</v>
      </c>
      <c r="N66" s="1105">
        <v>2.75</v>
      </c>
      <c r="O66" s="1105" t="s">
        <v>5</v>
      </c>
      <c r="P66" s="1105" t="s">
        <v>5</v>
      </c>
      <c r="Q66" s="1105" t="s">
        <v>5</v>
      </c>
      <c r="R66" s="1105" t="s">
        <v>5</v>
      </c>
      <c r="S66" s="1105" t="s">
        <v>5</v>
      </c>
      <c r="T66" s="1099">
        <f t="shared" si="5"/>
        <v>24</v>
      </c>
      <c r="U66" s="1077"/>
      <c r="V66" s="1106"/>
      <c r="W66" s="1109"/>
      <c r="X66" s="1080"/>
      <c r="AB66" s="1078"/>
      <c r="AC66" s="1081"/>
    </row>
    <row r="67" spans="1:29" s="1079" customFormat="1" ht="12.75" customHeight="1">
      <c r="A67" s="1120">
        <f t="shared" si="6"/>
        <v>2366</v>
      </c>
      <c r="B67" s="1258" t="s">
        <v>425</v>
      </c>
      <c r="C67" s="1259"/>
      <c r="D67" s="1105" t="s">
        <v>5</v>
      </c>
      <c r="E67" s="1105">
        <v>2</v>
      </c>
      <c r="F67" s="1105" t="s">
        <v>5</v>
      </c>
      <c r="G67" s="1105">
        <v>10.5</v>
      </c>
      <c r="H67" s="1105" t="s">
        <v>5</v>
      </c>
      <c r="I67" s="1105">
        <v>10.5</v>
      </c>
      <c r="J67" s="1105" t="s">
        <v>5</v>
      </c>
      <c r="K67" s="1105" t="s">
        <v>5</v>
      </c>
      <c r="L67" s="1105" t="s">
        <v>5</v>
      </c>
      <c r="M67" s="1105" t="s">
        <v>5</v>
      </c>
      <c r="N67" s="1105" t="s">
        <v>5</v>
      </c>
      <c r="O67" s="1105" t="s">
        <v>5</v>
      </c>
      <c r="P67" s="1105" t="s">
        <v>5</v>
      </c>
      <c r="Q67" s="1105" t="s">
        <v>5</v>
      </c>
      <c r="R67" s="1105" t="s">
        <v>5</v>
      </c>
      <c r="S67" s="1105">
        <v>1</v>
      </c>
      <c r="T67" s="1105">
        <f t="shared" si="5"/>
        <v>24</v>
      </c>
      <c r="U67" s="1077"/>
      <c r="V67" s="1106"/>
      <c r="W67" s="1109"/>
      <c r="X67" s="1080"/>
      <c r="AB67" s="1078"/>
      <c r="AC67" s="1081"/>
    </row>
    <row r="68" spans="1:29" s="1079" customFormat="1" ht="12.75" customHeight="1">
      <c r="A68" s="1120">
        <f>A67+1</f>
        <v>2367</v>
      </c>
      <c r="B68" s="1105" t="s">
        <v>426</v>
      </c>
      <c r="C68" s="1105" t="s">
        <v>5</v>
      </c>
      <c r="D68" s="1105">
        <v>18.5</v>
      </c>
      <c r="E68" s="1105">
        <v>3.25</v>
      </c>
      <c r="F68" s="1105" t="s">
        <v>5</v>
      </c>
      <c r="G68" s="1105" t="s">
        <v>5</v>
      </c>
      <c r="H68" s="1105" t="s">
        <v>5</v>
      </c>
      <c r="I68" s="1105">
        <v>1.5</v>
      </c>
      <c r="J68" s="1105" t="s">
        <v>5</v>
      </c>
      <c r="K68" s="1105" t="s">
        <v>5</v>
      </c>
      <c r="L68" s="1105" t="s">
        <v>5</v>
      </c>
      <c r="M68" s="1105" t="s">
        <v>5</v>
      </c>
      <c r="N68" s="1105" t="s">
        <v>5</v>
      </c>
      <c r="O68" s="1105" t="s">
        <v>5</v>
      </c>
      <c r="P68" s="1105" t="s">
        <v>5</v>
      </c>
      <c r="Q68" s="1105" t="s">
        <v>5</v>
      </c>
      <c r="R68" s="1105" t="s">
        <v>5</v>
      </c>
      <c r="S68" s="1105">
        <v>0.75</v>
      </c>
      <c r="T68" s="1105">
        <f>SUM(B68:S68)</f>
        <v>24</v>
      </c>
      <c r="U68" s="1077"/>
      <c r="V68" s="1106"/>
      <c r="W68" s="1109"/>
      <c r="X68" s="1080"/>
      <c r="AB68" s="1078"/>
      <c r="AC68" s="1081"/>
    </row>
    <row r="69" spans="1:29" s="1079" customFormat="1" ht="12.75" customHeight="1" thickBot="1">
      <c r="A69" s="1120">
        <f>A68+1</f>
        <v>2368</v>
      </c>
      <c r="B69" s="1105" t="s">
        <v>172</v>
      </c>
      <c r="C69" s="1105">
        <v>15.75</v>
      </c>
      <c r="D69" s="1105">
        <v>1.75</v>
      </c>
      <c r="E69" s="1105" t="s">
        <v>5</v>
      </c>
      <c r="F69" s="1105" t="s">
        <v>5</v>
      </c>
      <c r="G69" s="1105" t="s">
        <v>5</v>
      </c>
      <c r="H69" s="1105" t="s">
        <v>5</v>
      </c>
      <c r="I69" s="1105" t="s">
        <v>5</v>
      </c>
      <c r="J69" s="1105" t="s">
        <v>5</v>
      </c>
      <c r="K69" s="1105" t="s">
        <v>5</v>
      </c>
      <c r="L69" s="1105" t="s">
        <v>5</v>
      </c>
      <c r="M69" s="1105" t="s">
        <v>5</v>
      </c>
      <c r="N69" s="1105" t="s">
        <v>5</v>
      </c>
      <c r="O69" s="1105" t="s">
        <v>5</v>
      </c>
      <c r="P69" s="1105" t="s">
        <v>5</v>
      </c>
      <c r="Q69" s="1105" t="s">
        <v>5</v>
      </c>
      <c r="R69" s="1105" t="s">
        <v>5</v>
      </c>
      <c r="S69" s="1105">
        <v>6.5</v>
      </c>
      <c r="T69" s="1105">
        <f>SUM(B69:S69)</f>
        <v>24</v>
      </c>
      <c r="U69" s="1077"/>
      <c r="V69" s="1106"/>
      <c r="W69" s="1109"/>
      <c r="X69" s="1080"/>
      <c r="AB69" s="1078"/>
      <c r="AC69" s="1081"/>
    </row>
    <row r="70" spans="1:29" s="1079" customFormat="1" ht="12.75" customHeight="1" thickBot="1" thickTop="1">
      <c r="A70" s="1112">
        <f>A69+1</f>
        <v>2369</v>
      </c>
      <c r="B70" s="1113" t="s">
        <v>137</v>
      </c>
      <c r="C70" s="1113">
        <v>24</v>
      </c>
      <c r="D70" s="1113" t="s">
        <v>5</v>
      </c>
      <c r="E70" s="1113" t="s">
        <v>5</v>
      </c>
      <c r="F70" s="1113" t="s">
        <v>5</v>
      </c>
      <c r="G70" s="1113" t="s">
        <v>5</v>
      </c>
      <c r="H70" s="1113" t="s">
        <v>5</v>
      </c>
      <c r="I70" s="1113" t="s">
        <v>5</v>
      </c>
      <c r="J70" s="1113" t="s">
        <v>5</v>
      </c>
      <c r="K70" s="1113" t="s">
        <v>5</v>
      </c>
      <c r="L70" s="1113" t="s">
        <v>5</v>
      </c>
      <c r="M70" s="1113" t="s">
        <v>5</v>
      </c>
      <c r="N70" s="1113" t="s">
        <v>5</v>
      </c>
      <c r="O70" s="1113" t="s">
        <v>5</v>
      </c>
      <c r="P70" s="1113" t="s">
        <v>5</v>
      </c>
      <c r="Q70" s="1113" t="s">
        <v>5</v>
      </c>
      <c r="R70" s="1113" t="s">
        <v>5</v>
      </c>
      <c r="S70" s="1113" t="s">
        <v>5</v>
      </c>
      <c r="T70" s="1114">
        <f>SUM(B70:S70)</f>
        <v>24</v>
      </c>
      <c r="U70" s="1077"/>
      <c r="V70" s="1106"/>
      <c r="W70" s="1109"/>
      <c r="X70" s="1080"/>
      <c r="AB70" s="1078"/>
      <c r="AC70" s="1081"/>
    </row>
    <row r="71" spans="1:29" s="1079" customFormat="1" ht="12.75" customHeight="1" thickTop="1">
      <c r="A71" s="1120">
        <f>A70+1</f>
        <v>2370</v>
      </c>
      <c r="B71" s="1105" t="s">
        <v>137</v>
      </c>
      <c r="C71" s="1105">
        <v>24</v>
      </c>
      <c r="D71" s="1105" t="s">
        <v>5</v>
      </c>
      <c r="E71" s="1105" t="s">
        <v>5</v>
      </c>
      <c r="F71" s="1105" t="s">
        <v>5</v>
      </c>
      <c r="G71" s="1105" t="s">
        <v>5</v>
      </c>
      <c r="H71" s="1105" t="s">
        <v>5</v>
      </c>
      <c r="I71" s="1105" t="s">
        <v>5</v>
      </c>
      <c r="J71" s="1105" t="s">
        <v>5</v>
      </c>
      <c r="K71" s="1115" t="s">
        <v>5</v>
      </c>
      <c r="L71" s="1248" t="s">
        <v>314</v>
      </c>
      <c r="M71" s="1249"/>
      <c r="N71" s="1116" t="s">
        <v>5</v>
      </c>
      <c r="O71" s="1105" t="s">
        <v>5</v>
      </c>
      <c r="P71" s="1105" t="s">
        <v>5</v>
      </c>
      <c r="Q71" s="1105" t="s">
        <v>5</v>
      </c>
      <c r="R71" s="1105" t="s">
        <v>5</v>
      </c>
      <c r="S71" s="1105" t="s">
        <v>5</v>
      </c>
      <c r="T71" s="1105">
        <f>SUM(B71:S71)</f>
        <v>24</v>
      </c>
      <c r="U71" s="1077"/>
      <c r="V71" s="1106"/>
      <c r="W71" s="1109"/>
      <c r="X71" s="1080"/>
      <c r="AB71" s="1078"/>
      <c r="AC71" s="1081"/>
    </row>
    <row r="72" spans="1:29" s="1079" customFormat="1" ht="12.75" customHeight="1" thickBot="1">
      <c r="A72" s="1120">
        <f aca="true" t="shared" si="7" ref="A72:A124">A71+1</f>
        <v>2371</v>
      </c>
      <c r="B72" s="1105" t="s">
        <v>137</v>
      </c>
      <c r="C72" s="1105">
        <v>15.5</v>
      </c>
      <c r="D72" s="1105">
        <v>8.5</v>
      </c>
      <c r="E72" s="1105" t="s">
        <v>5</v>
      </c>
      <c r="F72" s="1105" t="s">
        <v>5</v>
      </c>
      <c r="G72" s="1105" t="s">
        <v>5</v>
      </c>
      <c r="H72" s="1105" t="s">
        <v>5</v>
      </c>
      <c r="I72" s="1105" t="s">
        <v>5</v>
      </c>
      <c r="J72" s="1105" t="s">
        <v>5</v>
      </c>
      <c r="K72" s="1115" t="s">
        <v>5</v>
      </c>
      <c r="L72" s="1250"/>
      <c r="M72" s="1251"/>
      <c r="N72" s="1116" t="s">
        <v>5</v>
      </c>
      <c r="O72" s="1105" t="s">
        <v>5</v>
      </c>
      <c r="P72" s="1105" t="s">
        <v>5</v>
      </c>
      <c r="Q72" s="1105" t="s">
        <v>5</v>
      </c>
      <c r="R72" s="1105" t="s">
        <v>5</v>
      </c>
      <c r="S72" s="1105" t="s">
        <v>5</v>
      </c>
      <c r="T72" s="1105">
        <f aca="true" t="shared" si="8" ref="T72:T124">SUM(B72:S72)</f>
        <v>24</v>
      </c>
      <c r="U72" s="1077"/>
      <c r="V72" s="1106"/>
      <c r="W72" s="1109"/>
      <c r="X72" s="1080"/>
      <c r="AB72" s="1078"/>
      <c r="AC72" s="1081"/>
    </row>
    <row r="73" spans="1:29" s="1079" customFormat="1" ht="12.75" customHeight="1" thickTop="1">
      <c r="A73" s="1120">
        <f t="shared" si="7"/>
        <v>2372</v>
      </c>
      <c r="B73" s="1252" t="s">
        <v>444</v>
      </c>
      <c r="C73" s="1253"/>
      <c r="D73" s="1099">
        <v>10.5</v>
      </c>
      <c r="E73" s="1099">
        <v>5.5</v>
      </c>
      <c r="F73" s="1099">
        <v>7</v>
      </c>
      <c r="G73" s="1099" t="s">
        <v>5</v>
      </c>
      <c r="H73" s="1099">
        <v>1</v>
      </c>
      <c r="I73" s="1099" t="s">
        <v>5</v>
      </c>
      <c r="J73" s="1099" t="s">
        <v>5</v>
      </c>
      <c r="K73" s="1099" t="s">
        <v>5</v>
      </c>
      <c r="L73" s="1114" t="s">
        <v>5</v>
      </c>
      <c r="M73" s="1114" t="s">
        <v>5</v>
      </c>
      <c r="N73" s="1099" t="s">
        <v>5</v>
      </c>
      <c r="O73" s="1099" t="s">
        <v>5</v>
      </c>
      <c r="P73" s="1099" t="s">
        <v>5</v>
      </c>
      <c r="Q73" s="1099" t="s">
        <v>5</v>
      </c>
      <c r="R73" s="1099" t="s">
        <v>5</v>
      </c>
      <c r="S73" s="1099" t="s">
        <v>5</v>
      </c>
      <c r="T73" s="1099">
        <f t="shared" si="8"/>
        <v>24</v>
      </c>
      <c r="U73" s="1077"/>
      <c r="V73" s="1106"/>
      <c r="W73" s="1109"/>
      <c r="X73" s="1080"/>
      <c r="AB73" s="1078"/>
      <c r="AC73" s="1081"/>
    </row>
    <row r="74" spans="1:29" s="1079" customFormat="1" ht="12.75" customHeight="1">
      <c r="A74" s="1122">
        <f t="shared" si="7"/>
        <v>2373</v>
      </c>
      <c r="B74" s="1123" t="s">
        <v>350</v>
      </c>
      <c r="C74" s="1123" t="s">
        <v>5</v>
      </c>
      <c r="D74" s="1123" t="s">
        <v>5</v>
      </c>
      <c r="E74" s="1123" t="s">
        <v>5</v>
      </c>
      <c r="F74" s="1123">
        <v>23</v>
      </c>
      <c r="G74" s="1123" t="s">
        <v>5</v>
      </c>
      <c r="H74" s="1123">
        <v>1</v>
      </c>
      <c r="I74" s="1123" t="s">
        <v>5</v>
      </c>
      <c r="J74" s="1123" t="s">
        <v>5</v>
      </c>
      <c r="K74" s="1123" t="s">
        <v>5</v>
      </c>
      <c r="L74" s="1123" t="s">
        <v>5</v>
      </c>
      <c r="M74" s="1123" t="s">
        <v>5</v>
      </c>
      <c r="N74" s="1123" t="s">
        <v>5</v>
      </c>
      <c r="O74" s="1123" t="s">
        <v>5</v>
      </c>
      <c r="P74" s="1123" t="s">
        <v>5</v>
      </c>
      <c r="Q74" s="1123" t="s">
        <v>5</v>
      </c>
      <c r="R74" s="1123" t="s">
        <v>5</v>
      </c>
      <c r="S74" s="1123" t="s">
        <v>5</v>
      </c>
      <c r="T74" s="1123">
        <f t="shared" si="8"/>
        <v>24</v>
      </c>
      <c r="U74" s="1077"/>
      <c r="V74" s="1106"/>
      <c r="W74" s="1109"/>
      <c r="X74" s="1080"/>
      <c r="AB74" s="1078"/>
      <c r="AC74" s="1081"/>
    </row>
    <row r="75" spans="1:29" s="1079" customFormat="1" ht="12.75" customHeight="1">
      <c r="A75" s="1095">
        <f t="shared" si="7"/>
        <v>2374</v>
      </c>
      <c r="B75" s="1096" t="s">
        <v>445</v>
      </c>
      <c r="C75" s="1096" t="s">
        <v>5</v>
      </c>
      <c r="D75" s="1096" t="s">
        <v>5</v>
      </c>
      <c r="E75" s="1096">
        <v>2</v>
      </c>
      <c r="F75" s="1096">
        <v>18.75</v>
      </c>
      <c r="G75" s="1096" t="s">
        <v>5</v>
      </c>
      <c r="H75" s="1096">
        <v>2.75</v>
      </c>
      <c r="I75" s="1096" t="s">
        <v>5</v>
      </c>
      <c r="J75" s="1096" t="s">
        <v>5</v>
      </c>
      <c r="K75" s="1096" t="s">
        <v>5</v>
      </c>
      <c r="L75" s="1096" t="s">
        <v>5</v>
      </c>
      <c r="M75" s="1096" t="s">
        <v>5</v>
      </c>
      <c r="N75" s="1096" t="s">
        <v>5</v>
      </c>
      <c r="O75" s="1096" t="s">
        <v>5</v>
      </c>
      <c r="P75" s="1096" t="s">
        <v>5</v>
      </c>
      <c r="Q75" s="1096" t="s">
        <v>5</v>
      </c>
      <c r="R75" s="1096" t="s">
        <v>5</v>
      </c>
      <c r="S75" s="1096">
        <v>0.5</v>
      </c>
      <c r="T75" s="1096">
        <f t="shared" si="8"/>
        <v>24</v>
      </c>
      <c r="U75" s="1077"/>
      <c r="V75" s="1106"/>
      <c r="W75" s="1109"/>
      <c r="X75" s="1080"/>
      <c r="AB75" s="1078"/>
      <c r="AC75" s="1081"/>
    </row>
    <row r="76" spans="1:29" s="1079" customFormat="1" ht="12.75" customHeight="1">
      <c r="A76" s="1098">
        <f t="shared" si="7"/>
        <v>2375</v>
      </c>
      <c r="B76" s="1105" t="s">
        <v>351</v>
      </c>
      <c r="C76" s="1105" t="s">
        <v>5</v>
      </c>
      <c r="D76" s="1099" t="s">
        <v>5</v>
      </c>
      <c r="E76" s="1105" t="s">
        <v>5</v>
      </c>
      <c r="F76" s="1105">
        <v>23.25</v>
      </c>
      <c r="G76" s="1105" t="s">
        <v>5</v>
      </c>
      <c r="H76" s="1105" t="s">
        <v>5</v>
      </c>
      <c r="I76" s="1105" t="s">
        <v>5</v>
      </c>
      <c r="J76" s="1105" t="s">
        <v>5</v>
      </c>
      <c r="K76" s="1105" t="s">
        <v>5</v>
      </c>
      <c r="L76" s="1105" t="s">
        <v>5</v>
      </c>
      <c r="M76" s="1105" t="s">
        <v>5</v>
      </c>
      <c r="N76" s="1105">
        <v>0.75</v>
      </c>
      <c r="O76" s="1105" t="s">
        <v>5</v>
      </c>
      <c r="P76" s="1105" t="s">
        <v>5</v>
      </c>
      <c r="Q76" s="1105" t="s">
        <v>5</v>
      </c>
      <c r="R76" s="1105" t="s">
        <v>5</v>
      </c>
      <c r="S76" s="1105" t="s">
        <v>5</v>
      </c>
      <c r="T76" s="1099">
        <f t="shared" si="8"/>
        <v>24</v>
      </c>
      <c r="U76" s="1077"/>
      <c r="V76" s="1106"/>
      <c r="W76" s="1109"/>
      <c r="X76" s="1080"/>
      <c r="AB76" s="1078"/>
      <c r="AC76" s="1081"/>
    </row>
    <row r="77" spans="1:29" s="1079" customFormat="1" ht="12.75" customHeight="1">
      <c r="A77" s="1098">
        <f t="shared" si="7"/>
        <v>2376</v>
      </c>
      <c r="B77" s="1105" t="s">
        <v>351</v>
      </c>
      <c r="C77" s="1105" t="s">
        <v>5</v>
      </c>
      <c r="D77" s="1099" t="s">
        <v>5</v>
      </c>
      <c r="E77" s="1105">
        <v>3</v>
      </c>
      <c r="F77" s="1105">
        <v>3.25</v>
      </c>
      <c r="G77" s="1105">
        <v>9.75</v>
      </c>
      <c r="H77" s="1105">
        <v>1</v>
      </c>
      <c r="I77" s="1105">
        <v>5.75</v>
      </c>
      <c r="J77" s="1105" t="s">
        <v>5</v>
      </c>
      <c r="K77" s="1105" t="s">
        <v>5</v>
      </c>
      <c r="L77" s="1105" t="s">
        <v>5</v>
      </c>
      <c r="M77" s="1105" t="s">
        <v>5</v>
      </c>
      <c r="N77" s="1105" t="s">
        <v>5</v>
      </c>
      <c r="O77" s="1105" t="s">
        <v>5</v>
      </c>
      <c r="P77" s="1105" t="s">
        <v>5</v>
      </c>
      <c r="Q77" s="1105" t="s">
        <v>5</v>
      </c>
      <c r="R77" s="1105" t="s">
        <v>5</v>
      </c>
      <c r="S77" s="1105">
        <v>1.25</v>
      </c>
      <c r="T77" s="1099">
        <f t="shared" si="8"/>
        <v>24</v>
      </c>
      <c r="U77" s="1077"/>
      <c r="V77" s="1106"/>
      <c r="W77" s="1109"/>
      <c r="X77" s="1080"/>
      <c r="AB77" s="1078"/>
      <c r="AC77" s="1081"/>
    </row>
    <row r="78" spans="1:29" s="1079" customFormat="1" ht="12.75" customHeight="1">
      <c r="A78" s="1098">
        <f t="shared" si="7"/>
        <v>2377</v>
      </c>
      <c r="B78" s="1105" t="s">
        <v>351</v>
      </c>
      <c r="C78" s="1105" t="s">
        <v>5</v>
      </c>
      <c r="D78" s="1099">
        <v>3.25</v>
      </c>
      <c r="E78" s="1105" t="s">
        <v>5</v>
      </c>
      <c r="F78" s="1105" t="s">
        <v>5</v>
      </c>
      <c r="G78" s="1105" t="s">
        <v>5</v>
      </c>
      <c r="H78" s="1105" t="s">
        <v>5</v>
      </c>
      <c r="I78" s="1105">
        <v>17.5</v>
      </c>
      <c r="J78" s="1105" t="s">
        <v>5</v>
      </c>
      <c r="K78" s="1105" t="s">
        <v>5</v>
      </c>
      <c r="L78" s="1105" t="s">
        <v>5</v>
      </c>
      <c r="M78" s="1105" t="s">
        <v>5</v>
      </c>
      <c r="N78" s="1105" t="s">
        <v>5</v>
      </c>
      <c r="O78" s="1105" t="s">
        <v>5</v>
      </c>
      <c r="P78" s="1105" t="s">
        <v>5</v>
      </c>
      <c r="Q78" s="1105" t="s">
        <v>5</v>
      </c>
      <c r="R78" s="1105" t="s">
        <v>5</v>
      </c>
      <c r="S78" s="1105">
        <v>3.25</v>
      </c>
      <c r="T78" s="1099">
        <f t="shared" si="8"/>
        <v>24</v>
      </c>
      <c r="U78" s="1077"/>
      <c r="V78" s="1106"/>
      <c r="W78" s="1109"/>
      <c r="X78" s="1080"/>
      <c r="AB78" s="1078"/>
      <c r="AC78" s="1081"/>
    </row>
    <row r="79" spans="1:29" s="1079" customFormat="1" ht="12.75" customHeight="1">
      <c r="A79" s="1098">
        <f t="shared" si="7"/>
        <v>2378</v>
      </c>
      <c r="B79" s="1105" t="s">
        <v>353</v>
      </c>
      <c r="C79" s="1105" t="s">
        <v>5</v>
      </c>
      <c r="D79" s="1099">
        <v>1.75</v>
      </c>
      <c r="E79" s="1105">
        <v>4.75</v>
      </c>
      <c r="F79" s="1105">
        <v>16.5</v>
      </c>
      <c r="G79" s="1105" t="s">
        <v>5</v>
      </c>
      <c r="H79" s="1105">
        <v>1</v>
      </c>
      <c r="I79" s="1105" t="s">
        <v>5</v>
      </c>
      <c r="J79" s="1105" t="s">
        <v>5</v>
      </c>
      <c r="K79" s="1105" t="s">
        <v>5</v>
      </c>
      <c r="L79" s="1105" t="s">
        <v>5</v>
      </c>
      <c r="M79" s="1105" t="s">
        <v>5</v>
      </c>
      <c r="N79" s="1105" t="s">
        <v>5</v>
      </c>
      <c r="O79" s="1105" t="s">
        <v>5</v>
      </c>
      <c r="P79" s="1105" t="s">
        <v>5</v>
      </c>
      <c r="Q79" s="1105" t="s">
        <v>5</v>
      </c>
      <c r="R79" s="1105" t="s">
        <v>5</v>
      </c>
      <c r="S79" s="1105" t="s">
        <v>5</v>
      </c>
      <c r="T79" s="1099">
        <f t="shared" si="8"/>
        <v>24</v>
      </c>
      <c r="U79" s="1077"/>
      <c r="V79" s="1106"/>
      <c r="W79" s="1109"/>
      <c r="X79" s="1080"/>
      <c r="AB79" s="1078"/>
      <c r="AC79" s="1081"/>
    </row>
    <row r="80" spans="1:29" s="1079" customFormat="1" ht="12.75" customHeight="1">
      <c r="A80" s="1098">
        <f t="shared" si="7"/>
        <v>2379</v>
      </c>
      <c r="B80" s="1105" t="s">
        <v>353</v>
      </c>
      <c r="C80" s="1105" t="s">
        <v>5</v>
      </c>
      <c r="D80" s="1099" t="s">
        <v>5</v>
      </c>
      <c r="E80" s="1105" t="s">
        <v>5</v>
      </c>
      <c r="F80" s="1105">
        <v>22</v>
      </c>
      <c r="G80" s="1105" t="s">
        <v>5</v>
      </c>
      <c r="H80" s="1105">
        <v>2</v>
      </c>
      <c r="I80" s="1105" t="s">
        <v>5</v>
      </c>
      <c r="J80" s="1105" t="s">
        <v>5</v>
      </c>
      <c r="K80" s="1105" t="s">
        <v>5</v>
      </c>
      <c r="L80" s="1105" t="s">
        <v>5</v>
      </c>
      <c r="M80" s="1105" t="s">
        <v>5</v>
      </c>
      <c r="N80" s="1105" t="s">
        <v>5</v>
      </c>
      <c r="O80" s="1105" t="s">
        <v>5</v>
      </c>
      <c r="P80" s="1105" t="s">
        <v>5</v>
      </c>
      <c r="Q80" s="1105" t="s">
        <v>5</v>
      </c>
      <c r="R80" s="1105" t="s">
        <v>5</v>
      </c>
      <c r="S80" s="1105" t="s">
        <v>5</v>
      </c>
      <c r="T80" s="1099">
        <f t="shared" si="8"/>
        <v>24</v>
      </c>
      <c r="U80" s="1077"/>
      <c r="V80" s="1106"/>
      <c r="W80" s="1109"/>
      <c r="X80" s="1080"/>
      <c r="AB80" s="1078"/>
      <c r="AC80" s="1081"/>
    </row>
    <row r="81" spans="1:29" s="1079" customFormat="1" ht="12.75" customHeight="1">
      <c r="A81" s="1098">
        <f t="shared" si="7"/>
        <v>2380</v>
      </c>
      <c r="B81" s="1252" t="s">
        <v>487</v>
      </c>
      <c r="C81" s="1253"/>
      <c r="D81" s="1099" t="s">
        <v>5</v>
      </c>
      <c r="E81" s="1105">
        <v>10</v>
      </c>
      <c r="F81" s="1105">
        <v>3.25</v>
      </c>
      <c r="G81" s="1105">
        <v>7.25</v>
      </c>
      <c r="H81" s="1105" t="s">
        <v>5</v>
      </c>
      <c r="I81" s="1105" t="s">
        <v>5</v>
      </c>
      <c r="J81" s="1105" t="s">
        <v>5</v>
      </c>
      <c r="K81" s="1105" t="s">
        <v>5</v>
      </c>
      <c r="L81" s="1105" t="s">
        <v>5</v>
      </c>
      <c r="M81" s="1105" t="s">
        <v>5</v>
      </c>
      <c r="N81" s="1105" t="s">
        <v>5</v>
      </c>
      <c r="O81" s="1105" t="s">
        <v>5</v>
      </c>
      <c r="P81" s="1105" t="s">
        <v>5</v>
      </c>
      <c r="Q81" s="1105" t="s">
        <v>5</v>
      </c>
      <c r="R81" s="1105" t="s">
        <v>5</v>
      </c>
      <c r="S81" s="1105">
        <v>3.5</v>
      </c>
      <c r="T81" s="1099">
        <f t="shared" si="8"/>
        <v>24</v>
      </c>
      <c r="U81" s="1077"/>
      <c r="V81" s="1106"/>
      <c r="W81" s="1109"/>
      <c r="X81" s="1080"/>
      <c r="AB81" s="1078"/>
      <c r="AC81" s="1081"/>
    </row>
    <row r="82" spans="1:29" s="1079" customFormat="1" ht="12.75" customHeight="1">
      <c r="A82" s="1098">
        <f t="shared" si="7"/>
        <v>2381</v>
      </c>
      <c r="B82" s="1105" t="s">
        <v>488</v>
      </c>
      <c r="C82" s="1105" t="s">
        <v>5</v>
      </c>
      <c r="D82" s="1099" t="s">
        <v>5</v>
      </c>
      <c r="E82" s="1105">
        <v>6.25</v>
      </c>
      <c r="F82" s="1105">
        <v>6.5</v>
      </c>
      <c r="G82" s="1105">
        <v>8.25</v>
      </c>
      <c r="H82" s="1105">
        <v>1</v>
      </c>
      <c r="I82" s="1105" t="s">
        <v>5</v>
      </c>
      <c r="J82" s="1105" t="s">
        <v>5</v>
      </c>
      <c r="K82" s="1105" t="s">
        <v>5</v>
      </c>
      <c r="L82" s="1105" t="s">
        <v>5</v>
      </c>
      <c r="M82" s="1105" t="s">
        <v>5</v>
      </c>
      <c r="N82" s="1105" t="s">
        <v>5</v>
      </c>
      <c r="O82" s="1105" t="s">
        <v>5</v>
      </c>
      <c r="P82" s="1105" t="s">
        <v>5</v>
      </c>
      <c r="Q82" s="1105" t="s">
        <v>5</v>
      </c>
      <c r="R82" s="1105" t="s">
        <v>5</v>
      </c>
      <c r="S82" s="1105">
        <v>2</v>
      </c>
      <c r="T82" s="1099">
        <f t="shared" si="8"/>
        <v>24</v>
      </c>
      <c r="U82" s="1077"/>
      <c r="V82" s="1106"/>
      <c r="W82" s="1109"/>
      <c r="X82" s="1080"/>
      <c r="AB82" s="1078"/>
      <c r="AC82" s="1081"/>
    </row>
    <row r="83" spans="1:29" s="1079" customFormat="1" ht="12.75" customHeight="1">
      <c r="A83" s="1098">
        <f t="shared" si="7"/>
        <v>2382</v>
      </c>
      <c r="B83" s="1105" t="s">
        <v>488</v>
      </c>
      <c r="C83" s="1105" t="s">
        <v>5</v>
      </c>
      <c r="D83" s="1099" t="s">
        <v>5</v>
      </c>
      <c r="E83" s="1105">
        <v>1.75</v>
      </c>
      <c r="F83" s="1105" t="s">
        <v>5</v>
      </c>
      <c r="G83" s="1105" t="s">
        <v>5</v>
      </c>
      <c r="H83" s="1105" t="s">
        <v>5</v>
      </c>
      <c r="I83" s="1105">
        <v>21.25</v>
      </c>
      <c r="J83" s="1105" t="s">
        <v>5</v>
      </c>
      <c r="K83" s="1105" t="s">
        <v>5</v>
      </c>
      <c r="L83" s="1105" t="s">
        <v>5</v>
      </c>
      <c r="M83" s="1105" t="s">
        <v>5</v>
      </c>
      <c r="N83" s="1105" t="s">
        <v>5</v>
      </c>
      <c r="O83" s="1105" t="s">
        <v>5</v>
      </c>
      <c r="P83" s="1105" t="s">
        <v>5</v>
      </c>
      <c r="Q83" s="1105" t="s">
        <v>5</v>
      </c>
      <c r="R83" s="1105" t="s">
        <v>5</v>
      </c>
      <c r="S83" s="1105">
        <v>1</v>
      </c>
      <c r="T83" s="1099">
        <f t="shared" si="8"/>
        <v>24</v>
      </c>
      <c r="U83" s="1077"/>
      <c r="V83" s="1106"/>
      <c r="W83" s="1109"/>
      <c r="X83" s="1080"/>
      <c r="AB83" s="1078"/>
      <c r="AC83" s="1081"/>
    </row>
    <row r="84" spans="1:29" s="1079" customFormat="1" ht="12.75" customHeight="1">
      <c r="A84" s="1098">
        <f t="shared" si="7"/>
        <v>2383</v>
      </c>
      <c r="B84" s="1252" t="s">
        <v>525</v>
      </c>
      <c r="C84" s="1253"/>
      <c r="D84" s="1099">
        <v>5</v>
      </c>
      <c r="E84" s="1105">
        <v>7</v>
      </c>
      <c r="F84" s="1105">
        <v>10.25</v>
      </c>
      <c r="G84" s="1105" t="s">
        <v>5</v>
      </c>
      <c r="H84" s="1105" t="s">
        <v>5</v>
      </c>
      <c r="I84" s="1105">
        <v>1.25</v>
      </c>
      <c r="J84" s="1105" t="s">
        <v>5</v>
      </c>
      <c r="K84" s="1105" t="s">
        <v>5</v>
      </c>
      <c r="L84" s="1105" t="s">
        <v>5</v>
      </c>
      <c r="M84" s="1105" t="s">
        <v>5</v>
      </c>
      <c r="N84" s="1105" t="s">
        <v>5</v>
      </c>
      <c r="O84" s="1105" t="s">
        <v>5</v>
      </c>
      <c r="P84" s="1105" t="s">
        <v>5</v>
      </c>
      <c r="Q84" s="1105" t="s">
        <v>5</v>
      </c>
      <c r="R84" s="1105" t="s">
        <v>5</v>
      </c>
      <c r="S84" s="1105">
        <v>0.5</v>
      </c>
      <c r="T84" s="1099">
        <f t="shared" si="8"/>
        <v>24</v>
      </c>
      <c r="U84" s="1077"/>
      <c r="V84" s="1106"/>
      <c r="W84" s="1109"/>
      <c r="X84" s="1080"/>
      <c r="AB84" s="1078"/>
      <c r="AC84" s="1081"/>
    </row>
    <row r="85" spans="1:29" s="1079" customFormat="1" ht="12.75" customHeight="1">
      <c r="A85" s="1098">
        <f t="shared" si="7"/>
        <v>2384</v>
      </c>
      <c r="B85" s="1105" t="s">
        <v>500</v>
      </c>
      <c r="C85" s="1105" t="s">
        <v>5</v>
      </c>
      <c r="D85" s="1099" t="s">
        <v>5</v>
      </c>
      <c r="E85" s="1105">
        <v>2.5</v>
      </c>
      <c r="F85" s="1105">
        <v>17.5</v>
      </c>
      <c r="G85" s="1105" t="s">
        <v>5</v>
      </c>
      <c r="H85" s="1105">
        <v>2</v>
      </c>
      <c r="I85" s="1105">
        <v>1.5</v>
      </c>
      <c r="J85" s="1105" t="s">
        <v>5</v>
      </c>
      <c r="K85" s="1105" t="s">
        <v>5</v>
      </c>
      <c r="L85" s="1105" t="s">
        <v>5</v>
      </c>
      <c r="M85" s="1105" t="s">
        <v>5</v>
      </c>
      <c r="N85" s="1105" t="s">
        <v>5</v>
      </c>
      <c r="O85" s="1105" t="s">
        <v>5</v>
      </c>
      <c r="P85" s="1105" t="s">
        <v>5</v>
      </c>
      <c r="Q85" s="1105" t="s">
        <v>5</v>
      </c>
      <c r="R85" s="1105" t="s">
        <v>5</v>
      </c>
      <c r="S85" s="1105">
        <v>0.5</v>
      </c>
      <c r="T85" s="1099">
        <f t="shared" si="8"/>
        <v>24</v>
      </c>
      <c r="U85" s="1077"/>
      <c r="V85" s="1106"/>
      <c r="W85" s="1109"/>
      <c r="X85" s="1080"/>
      <c r="AB85" s="1078"/>
      <c r="AC85" s="1081"/>
    </row>
    <row r="86" spans="1:29" s="1079" customFormat="1" ht="12.75" customHeight="1">
      <c r="A86" s="1098">
        <f t="shared" si="7"/>
        <v>2385</v>
      </c>
      <c r="B86" s="1105" t="s">
        <v>593</v>
      </c>
      <c r="C86" s="1105" t="s">
        <v>5</v>
      </c>
      <c r="D86" s="1099">
        <v>1.25</v>
      </c>
      <c r="E86" s="1105">
        <v>4.75</v>
      </c>
      <c r="F86" s="1105" t="s">
        <v>5</v>
      </c>
      <c r="G86" s="1105" t="s">
        <v>5</v>
      </c>
      <c r="H86" s="1105" t="s">
        <v>5</v>
      </c>
      <c r="I86" s="1105">
        <v>18</v>
      </c>
      <c r="J86" s="1105" t="s">
        <v>5</v>
      </c>
      <c r="K86" s="1105" t="s">
        <v>5</v>
      </c>
      <c r="L86" s="1105" t="s">
        <v>5</v>
      </c>
      <c r="M86" s="1105" t="s">
        <v>5</v>
      </c>
      <c r="N86" s="1105" t="s">
        <v>5</v>
      </c>
      <c r="O86" s="1105" t="s">
        <v>5</v>
      </c>
      <c r="P86" s="1105" t="s">
        <v>5</v>
      </c>
      <c r="Q86" s="1105" t="s">
        <v>5</v>
      </c>
      <c r="R86" s="1105" t="s">
        <v>5</v>
      </c>
      <c r="S86" s="1105" t="s">
        <v>5</v>
      </c>
      <c r="T86" s="1099">
        <f t="shared" si="8"/>
        <v>24</v>
      </c>
      <c r="U86" s="1077"/>
      <c r="V86" s="1106"/>
      <c r="W86" s="1109"/>
      <c r="X86" s="1080"/>
      <c r="AB86" s="1078"/>
      <c r="AC86" s="1081"/>
    </row>
    <row r="87" spans="1:29" s="1079" customFormat="1" ht="12.75" customHeight="1">
      <c r="A87" s="1098">
        <f t="shared" si="7"/>
        <v>2386</v>
      </c>
      <c r="B87" s="1105" t="s">
        <v>532</v>
      </c>
      <c r="C87" s="1105" t="s">
        <v>5</v>
      </c>
      <c r="D87" s="1099" t="s">
        <v>5</v>
      </c>
      <c r="E87" s="1105">
        <v>1.5</v>
      </c>
      <c r="F87" s="1105">
        <v>20.25</v>
      </c>
      <c r="G87" s="1105" t="s">
        <v>5</v>
      </c>
      <c r="H87" s="1105">
        <v>2.25</v>
      </c>
      <c r="I87" s="1105" t="s">
        <v>5</v>
      </c>
      <c r="J87" s="1105" t="s">
        <v>5</v>
      </c>
      <c r="K87" s="1105" t="s">
        <v>5</v>
      </c>
      <c r="L87" s="1105" t="s">
        <v>5</v>
      </c>
      <c r="M87" s="1105" t="s">
        <v>5</v>
      </c>
      <c r="N87" s="1105" t="s">
        <v>5</v>
      </c>
      <c r="O87" s="1105" t="s">
        <v>5</v>
      </c>
      <c r="P87" s="1105" t="s">
        <v>5</v>
      </c>
      <c r="Q87" s="1105" t="s">
        <v>5</v>
      </c>
      <c r="R87" s="1105" t="s">
        <v>5</v>
      </c>
      <c r="S87" s="1105" t="s">
        <v>5</v>
      </c>
      <c r="T87" s="1099">
        <f t="shared" si="8"/>
        <v>24</v>
      </c>
      <c r="U87" s="1077"/>
      <c r="V87" s="1106"/>
      <c r="W87" s="1109"/>
      <c r="X87" s="1080"/>
      <c r="AB87" s="1078"/>
      <c r="AC87" s="1081"/>
    </row>
    <row r="88" spans="1:29" s="1079" customFormat="1" ht="12.75" customHeight="1">
      <c r="A88" s="1098">
        <f t="shared" si="7"/>
        <v>2387</v>
      </c>
      <c r="B88" s="1105" t="s">
        <v>532</v>
      </c>
      <c r="C88" s="1105" t="s">
        <v>5</v>
      </c>
      <c r="D88" s="1099" t="s">
        <v>5</v>
      </c>
      <c r="E88" s="1105">
        <v>2.25</v>
      </c>
      <c r="F88" s="1105">
        <v>5.75</v>
      </c>
      <c r="G88" s="1105" t="s">
        <v>5</v>
      </c>
      <c r="H88" s="1105">
        <v>1.25</v>
      </c>
      <c r="I88" s="1105">
        <v>13.25</v>
      </c>
      <c r="J88" s="1105" t="s">
        <v>5</v>
      </c>
      <c r="K88" s="1105" t="s">
        <v>5</v>
      </c>
      <c r="L88" s="1105" t="s">
        <v>5</v>
      </c>
      <c r="M88" s="1105" t="s">
        <v>5</v>
      </c>
      <c r="N88" s="1105" t="s">
        <v>5</v>
      </c>
      <c r="O88" s="1105" t="s">
        <v>5</v>
      </c>
      <c r="P88" s="1105" t="s">
        <v>5</v>
      </c>
      <c r="Q88" s="1105" t="s">
        <v>5</v>
      </c>
      <c r="R88" s="1105" t="s">
        <v>5</v>
      </c>
      <c r="S88" s="1105">
        <v>1.5</v>
      </c>
      <c r="T88" s="1099">
        <f t="shared" si="8"/>
        <v>24</v>
      </c>
      <c r="U88" s="1077"/>
      <c r="V88" s="1106"/>
      <c r="W88" s="1109"/>
      <c r="X88" s="1080"/>
      <c r="AB88" s="1078"/>
      <c r="AC88" s="1081"/>
    </row>
    <row r="89" spans="1:29" s="1079" customFormat="1" ht="12.75" customHeight="1">
      <c r="A89" s="1098">
        <f t="shared" si="7"/>
        <v>2388</v>
      </c>
      <c r="B89" s="1105" t="s">
        <v>594</v>
      </c>
      <c r="C89" s="1105" t="s">
        <v>5</v>
      </c>
      <c r="D89" s="1099">
        <v>4.5</v>
      </c>
      <c r="E89" s="1105">
        <v>3.25</v>
      </c>
      <c r="F89" s="1105">
        <v>14.25</v>
      </c>
      <c r="G89" s="1105" t="s">
        <v>5</v>
      </c>
      <c r="H89" s="1105">
        <v>2</v>
      </c>
      <c r="I89" s="1105" t="s">
        <v>5</v>
      </c>
      <c r="J89" s="1105" t="s">
        <v>5</v>
      </c>
      <c r="K89" s="1105" t="s">
        <v>5</v>
      </c>
      <c r="L89" s="1105" t="s">
        <v>5</v>
      </c>
      <c r="M89" s="1105" t="s">
        <v>5</v>
      </c>
      <c r="N89" s="1105" t="s">
        <v>5</v>
      </c>
      <c r="O89" s="1105" t="s">
        <v>5</v>
      </c>
      <c r="P89" s="1105" t="s">
        <v>5</v>
      </c>
      <c r="Q89" s="1105" t="s">
        <v>5</v>
      </c>
      <c r="R89" s="1105" t="s">
        <v>5</v>
      </c>
      <c r="S89" s="1105" t="s">
        <v>5</v>
      </c>
      <c r="T89" s="1099">
        <f t="shared" si="8"/>
        <v>24</v>
      </c>
      <c r="U89" s="1077"/>
      <c r="V89" s="1106"/>
      <c r="W89" s="1109"/>
      <c r="X89" s="1080"/>
      <c r="AB89" s="1078"/>
      <c r="AC89" s="1081"/>
    </row>
    <row r="90" spans="1:29" s="1079" customFormat="1" ht="12.75" customHeight="1">
      <c r="A90" s="1098">
        <f t="shared" si="7"/>
        <v>2389</v>
      </c>
      <c r="B90" s="1105" t="s">
        <v>559</v>
      </c>
      <c r="C90" s="1105" t="s">
        <v>5</v>
      </c>
      <c r="D90" s="1099" t="s">
        <v>5</v>
      </c>
      <c r="E90" s="1105">
        <v>2.5</v>
      </c>
      <c r="F90" s="1105">
        <v>16</v>
      </c>
      <c r="G90" s="1105" t="s">
        <v>5</v>
      </c>
      <c r="H90" s="1105">
        <v>3.5</v>
      </c>
      <c r="I90" s="1105">
        <v>1</v>
      </c>
      <c r="J90" s="1105" t="s">
        <v>5</v>
      </c>
      <c r="K90" s="1105" t="s">
        <v>5</v>
      </c>
      <c r="L90" s="1105" t="s">
        <v>5</v>
      </c>
      <c r="M90" s="1105" t="s">
        <v>5</v>
      </c>
      <c r="N90" s="1105" t="s">
        <v>5</v>
      </c>
      <c r="O90" s="1105" t="s">
        <v>5</v>
      </c>
      <c r="P90" s="1105" t="s">
        <v>5</v>
      </c>
      <c r="Q90" s="1105" t="s">
        <v>5</v>
      </c>
      <c r="R90" s="1105" t="s">
        <v>5</v>
      </c>
      <c r="S90" s="1105">
        <v>1</v>
      </c>
      <c r="T90" s="1099">
        <f t="shared" si="8"/>
        <v>24</v>
      </c>
      <c r="U90" s="1077"/>
      <c r="V90" s="1106"/>
      <c r="W90" s="1109"/>
      <c r="X90" s="1080"/>
      <c r="AB90" s="1078"/>
      <c r="AC90" s="1081"/>
    </row>
    <row r="91" spans="1:29" s="1079" customFormat="1" ht="12.75" customHeight="1" thickBot="1">
      <c r="A91" s="1110">
        <f t="shared" si="7"/>
        <v>2390</v>
      </c>
      <c r="B91" s="1111" t="s">
        <v>591</v>
      </c>
      <c r="C91" s="1111" t="s">
        <v>5</v>
      </c>
      <c r="D91" s="1111">
        <v>8</v>
      </c>
      <c r="E91" s="1111">
        <v>3.5</v>
      </c>
      <c r="F91" s="1111" t="s">
        <v>5</v>
      </c>
      <c r="G91" s="1111" t="s">
        <v>5</v>
      </c>
      <c r="H91" s="1111" t="s">
        <v>5</v>
      </c>
      <c r="I91" s="1111">
        <v>11.5</v>
      </c>
      <c r="J91" s="1111" t="s">
        <v>5</v>
      </c>
      <c r="K91" s="1111" t="s">
        <v>5</v>
      </c>
      <c r="L91" s="1111" t="s">
        <v>5</v>
      </c>
      <c r="M91" s="1111" t="s">
        <v>5</v>
      </c>
      <c r="N91" s="1111" t="s">
        <v>5</v>
      </c>
      <c r="O91" s="1111" t="s">
        <v>5</v>
      </c>
      <c r="P91" s="1111" t="s">
        <v>5</v>
      </c>
      <c r="Q91" s="1111" t="s">
        <v>5</v>
      </c>
      <c r="R91" s="1111" t="s">
        <v>5</v>
      </c>
      <c r="S91" s="1111">
        <v>1</v>
      </c>
      <c r="T91" s="1111">
        <f t="shared" si="8"/>
        <v>24</v>
      </c>
      <c r="U91" s="1077"/>
      <c r="V91" s="1106"/>
      <c r="W91" s="1109"/>
      <c r="X91" s="1080"/>
      <c r="AB91" s="1078"/>
      <c r="AC91" s="1081"/>
    </row>
    <row r="92" spans="1:29" s="1079" customFormat="1" ht="12.75" customHeight="1" thickBot="1" thickTop="1">
      <c r="A92" s="1112">
        <f t="shared" si="7"/>
        <v>2391</v>
      </c>
      <c r="B92" s="1113" t="s">
        <v>96</v>
      </c>
      <c r="C92" s="1113" t="s">
        <v>5</v>
      </c>
      <c r="D92" s="1114">
        <v>24</v>
      </c>
      <c r="E92" s="1113" t="s">
        <v>5</v>
      </c>
      <c r="F92" s="1113" t="s">
        <v>5</v>
      </c>
      <c r="G92" s="1113" t="s">
        <v>5</v>
      </c>
      <c r="H92" s="1113" t="s">
        <v>5</v>
      </c>
      <c r="I92" s="1113" t="s">
        <v>5</v>
      </c>
      <c r="J92" s="1113" t="s">
        <v>5</v>
      </c>
      <c r="K92" s="1113" t="s">
        <v>5</v>
      </c>
      <c r="L92" s="1113" t="s">
        <v>5</v>
      </c>
      <c r="M92" s="1113" t="s">
        <v>5</v>
      </c>
      <c r="N92" s="1113" t="s">
        <v>5</v>
      </c>
      <c r="O92" s="1113" t="s">
        <v>5</v>
      </c>
      <c r="P92" s="1113" t="s">
        <v>5</v>
      </c>
      <c r="Q92" s="1113" t="s">
        <v>5</v>
      </c>
      <c r="R92" s="1113" t="s">
        <v>5</v>
      </c>
      <c r="S92" s="1113" t="s">
        <v>5</v>
      </c>
      <c r="T92" s="1114">
        <f t="shared" si="8"/>
        <v>24</v>
      </c>
      <c r="U92" s="1077"/>
      <c r="V92" s="1106"/>
      <c r="W92" s="1109"/>
      <c r="X92" s="1080"/>
      <c r="AB92" s="1078"/>
      <c r="AC92" s="1081"/>
    </row>
    <row r="93" spans="1:29" s="1079" customFormat="1" ht="12.75" customHeight="1" thickTop="1">
      <c r="A93" s="1098">
        <f t="shared" si="7"/>
        <v>2392</v>
      </c>
      <c r="B93" s="1105" t="s">
        <v>96</v>
      </c>
      <c r="C93" s="1105" t="s">
        <v>5</v>
      </c>
      <c r="D93" s="1099">
        <v>24</v>
      </c>
      <c r="E93" s="1105" t="s">
        <v>5</v>
      </c>
      <c r="F93" s="1105" t="s">
        <v>5</v>
      </c>
      <c r="G93" s="1105" t="s">
        <v>5</v>
      </c>
      <c r="H93" s="1105" t="s">
        <v>5</v>
      </c>
      <c r="I93" s="1105" t="s">
        <v>5</v>
      </c>
      <c r="J93" s="1105" t="s">
        <v>5</v>
      </c>
      <c r="K93" s="1115" t="s">
        <v>5</v>
      </c>
      <c r="L93" s="1248" t="s">
        <v>315</v>
      </c>
      <c r="M93" s="1249"/>
      <c r="N93" s="1116" t="s">
        <v>5</v>
      </c>
      <c r="O93" s="1105" t="s">
        <v>5</v>
      </c>
      <c r="P93" s="1105" t="s">
        <v>5</v>
      </c>
      <c r="Q93" s="1105" t="s">
        <v>5</v>
      </c>
      <c r="R93" s="1105" t="s">
        <v>5</v>
      </c>
      <c r="S93" s="1105" t="s">
        <v>5</v>
      </c>
      <c r="T93" s="1099">
        <f t="shared" si="8"/>
        <v>24</v>
      </c>
      <c r="U93" s="1077"/>
      <c r="V93" s="1106"/>
      <c r="W93" s="1109"/>
      <c r="X93" s="1080"/>
      <c r="AB93" s="1078"/>
      <c r="AC93" s="1081"/>
    </row>
    <row r="94" spans="1:29" s="1079" customFormat="1" ht="12.75" customHeight="1" thickBot="1">
      <c r="A94" s="1098">
        <f t="shared" si="7"/>
        <v>2393</v>
      </c>
      <c r="B94" s="1105" t="s">
        <v>592</v>
      </c>
      <c r="C94" s="1105" t="s">
        <v>5</v>
      </c>
      <c r="D94" s="1099">
        <v>15</v>
      </c>
      <c r="E94" s="1105">
        <v>5.5</v>
      </c>
      <c r="F94" s="1105">
        <v>3.25</v>
      </c>
      <c r="G94" s="1105" t="s">
        <v>5</v>
      </c>
      <c r="H94" s="1105">
        <v>0.25</v>
      </c>
      <c r="I94" s="1105" t="s">
        <v>5</v>
      </c>
      <c r="J94" s="1105" t="s">
        <v>5</v>
      </c>
      <c r="K94" s="1115" t="s">
        <v>5</v>
      </c>
      <c r="L94" s="1250"/>
      <c r="M94" s="1251"/>
      <c r="N94" s="1116" t="s">
        <v>5</v>
      </c>
      <c r="O94" s="1105" t="s">
        <v>5</v>
      </c>
      <c r="P94" s="1105" t="s">
        <v>5</v>
      </c>
      <c r="Q94" s="1105" t="s">
        <v>5</v>
      </c>
      <c r="R94" s="1105" t="s">
        <v>5</v>
      </c>
      <c r="S94" s="1105" t="s">
        <v>5</v>
      </c>
      <c r="T94" s="1099">
        <f t="shared" si="8"/>
        <v>24</v>
      </c>
      <c r="U94" s="1077"/>
      <c r="V94" s="1106"/>
      <c r="W94" s="1109"/>
      <c r="X94" s="1080"/>
      <c r="AB94" s="1078"/>
      <c r="AC94" s="1081"/>
    </row>
    <row r="95" spans="1:29" s="1079" customFormat="1" ht="12.75" customHeight="1" thickTop="1">
      <c r="A95" s="1098">
        <f t="shared" si="7"/>
        <v>2394</v>
      </c>
      <c r="B95" s="1105" t="s">
        <v>595</v>
      </c>
      <c r="C95" s="1105" t="s">
        <v>5</v>
      </c>
      <c r="D95" s="1099" t="s">
        <v>5</v>
      </c>
      <c r="E95" s="1105" t="s">
        <v>5</v>
      </c>
      <c r="F95" s="1105">
        <v>22.25</v>
      </c>
      <c r="G95" s="1105" t="s">
        <v>5</v>
      </c>
      <c r="H95" s="1105">
        <v>1.75</v>
      </c>
      <c r="I95" s="1105" t="s">
        <v>5</v>
      </c>
      <c r="J95" s="1105" t="s">
        <v>5</v>
      </c>
      <c r="K95" s="1105" t="s">
        <v>5</v>
      </c>
      <c r="L95" s="1117" t="s">
        <v>5</v>
      </c>
      <c r="M95" s="1117" t="s">
        <v>5</v>
      </c>
      <c r="N95" s="1105" t="s">
        <v>5</v>
      </c>
      <c r="O95" s="1105" t="s">
        <v>5</v>
      </c>
      <c r="P95" s="1105" t="s">
        <v>5</v>
      </c>
      <c r="Q95" s="1105" t="s">
        <v>5</v>
      </c>
      <c r="R95" s="1105" t="s">
        <v>5</v>
      </c>
      <c r="S95" s="1105" t="s">
        <v>5</v>
      </c>
      <c r="T95" s="1099">
        <f t="shared" si="8"/>
        <v>24</v>
      </c>
      <c r="U95" s="1077"/>
      <c r="V95" s="1106"/>
      <c r="W95" s="1109"/>
      <c r="X95" s="1080"/>
      <c r="AB95" s="1078"/>
      <c r="AC95" s="1081"/>
    </row>
    <row r="96" spans="1:29" s="1079" customFormat="1" ht="12.75" customHeight="1">
      <c r="A96" s="1098">
        <f t="shared" si="7"/>
        <v>2395</v>
      </c>
      <c r="B96" s="1105" t="s">
        <v>595</v>
      </c>
      <c r="C96" s="1105" t="s">
        <v>5</v>
      </c>
      <c r="D96" s="1099" t="s">
        <v>5</v>
      </c>
      <c r="E96" s="1105" t="s">
        <v>5</v>
      </c>
      <c r="F96" s="1105">
        <v>22</v>
      </c>
      <c r="G96" s="1105" t="s">
        <v>5</v>
      </c>
      <c r="H96" s="1105">
        <v>2</v>
      </c>
      <c r="I96" s="1105" t="s">
        <v>5</v>
      </c>
      <c r="J96" s="1105" t="s">
        <v>5</v>
      </c>
      <c r="K96" s="1105" t="s">
        <v>5</v>
      </c>
      <c r="L96" s="1105" t="s">
        <v>5</v>
      </c>
      <c r="M96" s="1105" t="s">
        <v>5</v>
      </c>
      <c r="N96" s="1105" t="s">
        <v>5</v>
      </c>
      <c r="O96" s="1105" t="s">
        <v>5</v>
      </c>
      <c r="P96" s="1105" t="s">
        <v>5</v>
      </c>
      <c r="Q96" s="1105" t="s">
        <v>5</v>
      </c>
      <c r="R96" s="1105" t="s">
        <v>5</v>
      </c>
      <c r="S96" s="1105" t="s">
        <v>5</v>
      </c>
      <c r="T96" s="1099">
        <f t="shared" si="8"/>
        <v>24</v>
      </c>
      <c r="U96" s="1077"/>
      <c r="V96" s="1106"/>
      <c r="W96" s="1109"/>
      <c r="X96" s="1080"/>
      <c r="AB96" s="1078"/>
      <c r="AC96" s="1081"/>
    </row>
    <row r="97" spans="1:29" s="1079" customFormat="1" ht="12.75" customHeight="1">
      <c r="A97" s="1098">
        <f t="shared" si="7"/>
        <v>2396</v>
      </c>
      <c r="B97" s="1105" t="s">
        <v>595</v>
      </c>
      <c r="C97" s="1105" t="s">
        <v>5</v>
      </c>
      <c r="D97" s="1099" t="s">
        <v>5</v>
      </c>
      <c r="E97" s="1105" t="s">
        <v>5</v>
      </c>
      <c r="F97" s="1105">
        <v>21.75</v>
      </c>
      <c r="G97" s="1105" t="s">
        <v>5</v>
      </c>
      <c r="H97" s="1105">
        <v>2.25</v>
      </c>
      <c r="I97" s="1105" t="s">
        <v>5</v>
      </c>
      <c r="J97" s="1105" t="s">
        <v>5</v>
      </c>
      <c r="K97" s="1105" t="s">
        <v>5</v>
      </c>
      <c r="L97" s="1105" t="s">
        <v>5</v>
      </c>
      <c r="M97" s="1105" t="s">
        <v>5</v>
      </c>
      <c r="N97" s="1105" t="s">
        <v>5</v>
      </c>
      <c r="O97" s="1105" t="s">
        <v>5</v>
      </c>
      <c r="P97" s="1105" t="s">
        <v>5</v>
      </c>
      <c r="Q97" s="1105" t="s">
        <v>5</v>
      </c>
      <c r="R97" s="1105" t="s">
        <v>5</v>
      </c>
      <c r="S97" s="1105" t="s">
        <v>5</v>
      </c>
      <c r="T97" s="1099">
        <f t="shared" si="8"/>
        <v>24</v>
      </c>
      <c r="U97" s="1077"/>
      <c r="V97" s="1106"/>
      <c r="W97" s="1109"/>
      <c r="X97" s="1080"/>
      <c r="AB97" s="1078"/>
      <c r="AC97" s="1081"/>
    </row>
    <row r="98" spans="1:29" s="1079" customFormat="1" ht="12.75" customHeight="1">
      <c r="A98" s="1098">
        <f t="shared" si="7"/>
        <v>2397</v>
      </c>
      <c r="B98" s="1105" t="s">
        <v>595</v>
      </c>
      <c r="C98" s="1105" t="s">
        <v>5</v>
      </c>
      <c r="D98" s="1099" t="s">
        <v>5</v>
      </c>
      <c r="E98" s="1105" t="s">
        <v>5</v>
      </c>
      <c r="F98" s="1105">
        <v>22.75</v>
      </c>
      <c r="G98" s="1105" t="s">
        <v>5</v>
      </c>
      <c r="H98" s="1105">
        <v>1.25</v>
      </c>
      <c r="I98" s="1105" t="s">
        <v>5</v>
      </c>
      <c r="J98" s="1105" t="s">
        <v>5</v>
      </c>
      <c r="K98" s="1105" t="s">
        <v>5</v>
      </c>
      <c r="L98" s="1105" t="s">
        <v>5</v>
      </c>
      <c r="M98" s="1105" t="s">
        <v>5</v>
      </c>
      <c r="N98" s="1105" t="s">
        <v>5</v>
      </c>
      <c r="O98" s="1105" t="s">
        <v>5</v>
      </c>
      <c r="P98" s="1105" t="s">
        <v>5</v>
      </c>
      <c r="Q98" s="1105" t="s">
        <v>5</v>
      </c>
      <c r="R98" s="1105" t="s">
        <v>5</v>
      </c>
      <c r="S98" s="1105" t="s">
        <v>5</v>
      </c>
      <c r="T98" s="1099">
        <f t="shared" si="8"/>
        <v>24</v>
      </c>
      <c r="U98" s="1077"/>
      <c r="V98" s="1106"/>
      <c r="W98" s="1109"/>
      <c r="X98" s="1080"/>
      <c r="AB98" s="1078"/>
      <c r="AC98" s="1081"/>
    </row>
    <row r="99" spans="1:29" s="1079" customFormat="1" ht="12.75" customHeight="1">
      <c r="A99" s="1098">
        <f t="shared" si="7"/>
        <v>2398</v>
      </c>
      <c r="B99" s="1105" t="s">
        <v>595</v>
      </c>
      <c r="C99" s="1105" t="s">
        <v>5</v>
      </c>
      <c r="D99" s="1099" t="s">
        <v>5</v>
      </c>
      <c r="E99" s="1105" t="s">
        <v>5</v>
      </c>
      <c r="F99" s="1105">
        <v>21</v>
      </c>
      <c r="G99" s="1105" t="s">
        <v>5</v>
      </c>
      <c r="H99" s="1105">
        <v>3</v>
      </c>
      <c r="I99" s="1105" t="s">
        <v>5</v>
      </c>
      <c r="J99" s="1105" t="s">
        <v>5</v>
      </c>
      <c r="K99" s="1105" t="s">
        <v>5</v>
      </c>
      <c r="L99" s="1105" t="s">
        <v>5</v>
      </c>
      <c r="M99" s="1105" t="s">
        <v>5</v>
      </c>
      <c r="N99" s="1105" t="s">
        <v>5</v>
      </c>
      <c r="O99" s="1105" t="s">
        <v>5</v>
      </c>
      <c r="P99" s="1105" t="s">
        <v>5</v>
      </c>
      <c r="Q99" s="1105" t="s">
        <v>5</v>
      </c>
      <c r="R99" s="1105" t="s">
        <v>5</v>
      </c>
      <c r="S99" s="1105" t="s">
        <v>5</v>
      </c>
      <c r="T99" s="1099">
        <f t="shared" si="8"/>
        <v>24</v>
      </c>
      <c r="U99" s="1077"/>
      <c r="V99" s="1106"/>
      <c r="W99" s="1109"/>
      <c r="X99" s="1080"/>
      <c r="AB99" s="1078"/>
      <c r="AC99" s="1081"/>
    </row>
    <row r="100" spans="1:29" s="1079" customFormat="1" ht="12.75" customHeight="1">
      <c r="A100" s="1098">
        <f t="shared" si="7"/>
        <v>2399</v>
      </c>
      <c r="B100" s="1105" t="s">
        <v>639</v>
      </c>
      <c r="C100" s="1105" t="s">
        <v>5</v>
      </c>
      <c r="D100" s="1099" t="s">
        <v>5</v>
      </c>
      <c r="E100" s="1105">
        <v>8</v>
      </c>
      <c r="F100" s="1105" t="s">
        <v>5</v>
      </c>
      <c r="G100" s="1105">
        <v>4</v>
      </c>
      <c r="H100" s="1105" t="s">
        <v>5</v>
      </c>
      <c r="I100" s="1105">
        <v>10</v>
      </c>
      <c r="J100" s="1105" t="s">
        <v>5</v>
      </c>
      <c r="K100" s="1105" t="s">
        <v>5</v>
      </c>
      <c r="L100" s="1105" t="s">
        <v>5</v>
      </c>
      <c r="M100" s="1105" t="s">
        <v>5</v>
      </c>
      <c r="N100" s="1105" t="s">
        <v>5</v>
      </c>
      <c r="O100" s="1105" t="s">
        <v>5</v>
      </c>
      <c r="P100" s="1105" t="s">
        <v>5</v>
      </c>
      <c r="Q100" s="1105" t="s">
        <v>5</v>
      </c>
      <c r="R100" s="1105" t="s">
        <v>5</v>
      </c>
      <c r="S100" s="1105">
        <v>2</v>
      </c>
      <c r="T100" s="1099">
        <f t="shared" si="8"/>
        <v>24</v>
      </c>
      <c r="U100" s="1077"/>
      <c r="V100" s="1106"/>
      <c r="W100" s="1109"/>
      <c r="X100" s="1080"/>
      <c r="AB100" s="1078"/>
      <c r="AC100" s="1081"/>
    </row>
    <row r="101" spans="1:29" s="1079" customFormat="1" ht="12.75" customHeight="1">
      <c r="A101" s="1098">
        <f t="shared" si="7"/>
        <v>2400</v>
      </c>
      <c r="B101" s="1105" t="s">
        <v>640</v>
      </c>
      <c r="C101" s="1105" t="s">
        <v>5</v>
      </c>
      <c r="D101" s="1099" t="s">
        <v>5</v>
      </c>
      <c r="E101" s="1105" t="s">
        <v>5</v>
      </c>
      <c r="F101" s="1105" t="s">
        <v>5</v>
      </c>
      <c r="G101" s="1105">
        <v>24</v>
      </c>
      <c r="H101" s="1105" t="s">
        <v>5</v>
      </c>
      <c r="I101" s="1105" t="s">
        <v>5</v>
      </c>
      <c r="J101" s="1105" t="s">
        <v>5</v>
      </c>
      <c r="K101" s="1105" t="s">
        <v>5</v>
      </c>
      <c r="L101" s="1105" t="s">
        <v>5</v>
      </c>
      <c r="M101" s="1105" t="s">
        <v>5</v>
      </c>
      <c r="N101" s="1105" t="s">
        <v>5</v>
      </c>
      <c r="O101" s="1105" t="s">
        <v>5</v>
      </c>
      <c r="P101" s="1105" t="s">
        <v>5</v>
      </c>
      <c r="Q101" s="1105" t="s">
        <v>5</v>
      </c>
      <c r="R101" s="1105" t="s">
        <v>5</v>
      </c>
      <c r="S101" s="1105" t="s">
        <v>5</v>
      </c>
      <c r="T101" s="1099">
        <f t="shared" si="8"/>
        <v>24</v>
      </c>
      <c r="U101" s="1077"/>
      <c r="V101" s="1106"/>
      <c r="W101" s="1109"/>
      <c r="X101" s="1080"/>
      <c r="AB101" s="1078"/>
      <c r="AC101" s="1081"/>
    </row>
    <row r="102" spans="1:29" s="1079" customFormat="1" ht="12.75" customHeight="1">
      <c r="A102" s="1098">
        <f t="shared" si="7"/>
        <v>2401</v>
      </c>
      <c r="B102" s="1105" t="s">
        <v>640</v>
      </c>
      <c r="C102" s="1105" t="s">
        <v>5</v>
      </c>
      <c r="D102" s="1099" t="s">
        <v>5</v>
      </c>
      <c r="E102" s="1105">
        <v>2</v>
      </c>
      <c r="F102" s="1105" t="s">
        <v>5</v>
      </c>
      <c r="G102" s="1105">
        <v>4.5</v>
      </c>
      <c r="H102" s="1105" t="s">
        <v>5</v>
      </c>
      <c r="I102" s="1105">
        <v>15.5</v>
      </c>
      <c r="J102" s="1105" t="s">
        <v>5</v>
      </c>
      <c r="K102" s="1105" t="s">
        <v>5</v>
      </c>
      <c r="L102" s="1105" t="s">
        <v>5</v>
      </c>
      <c r="M102" s="1105" t="s">
        <v>5</v>
      </c>
      <c r="N102" s="1105" t="s">
        <v>5</v>
      </c>
      <c r="O102" s="1105" t="s">
        <v>5</v>
      </c>
      <c r="P102" s="1105" t="s">
        <v>5</v>
      </c>
      <c r="Q102" s="1105" t="s">
        <v>5</v>
      </c>
      <c r="R102" s="1105" t="s">
        <v>5</v>
      </c>
      <c r="S102" s="1105">
        <v>2</v>
      </c>
      <c r="T102" s="1099">
        <f t="shared" si="8"/>
        <v>24</v>
      </c>
      <c r="U102" s="1077"/>
      <c r="V102" s="1106"/>
      <c r="W102" s="1109"/>
      <c r="X102" s="1080"/>
      <c r="AB102" s="1078"/>
      <c r="AC102" s="1081"/>
    </row>
    <row r="103" spans="1:29" s="1079" customFormat="1" ht="12.75" customHeight="1">
      <c r="A103" s="1098">
        <f t="shared" si="7"/>
        <v>2402</v>
      </c>
      <c r="B103" s="1105" t="s">
        <v>641</v>
      </c>
      <c r="C103" s="1105" t="s">
        <v>5</v>
      </c>
      <c r="D103" s="1099">
        <v>3.5</v>
      </c>
      <c r="E103" s="1105">
        <v>4</v>
      </c>
      <c r="F103" s="1105" t="s">
        <v>5</v>
      </c>
      <c r="G103" s="1105" t="s">
        <v>5</v>
      </c>
      <c r="H103" s="1105" t="s">
        <v>5</v>
      </c>
      <c r="I103" s="1105">
        <v>16.5</v>
      </c>
      <c r="J103" s="1105" t="s">
        <v>5</v>
      </c>
      <c r="K103" s="1105" t="s">
        <v>5</v>
      </c>
      <c r="L103" s="1105" t="s">
        <v>5</v>
      </c>
      <c r="M103" s="1105" t="s">
        <v>5</v>
      </c>
      <c r="N103" s="1105" t="s">
        <v>5</v>
      </c>
      <c r="O103" s="1105" t="s">
        <v>5</v>
      </c>
      <c r="P103" s="1105" t="s">
        <v>5</v>
      </c>
      <c r="Q103" s="1105" t="s">
        <v>5</v>
      </c>
      <c r="R103" s="1105" t="s">
        <v>5</v>
      </c>
      <c r="S103" s="1105" t="s">
        <v>5</v>
      </c>
      <c r="T103" s="1099">
        <f t="shared" si="8"/>
        <v>24</v>
      </c>
      <c r="U103" s="1077"/>
      <c r="V103" s="1106"/>
      <c r="W103" s="1109"/>
      <c r="X103" s="1080"/>
      <c r="AB103" s="1078"/>
      <c r="AC103" s="1081"/>
    </row>
    <row r="104" spans="1:29" s="1079" customFormat="1" ht="12.75" customHeight="1">
      <c r="A104" s="1098">
        <f t="shared" si="7"/>
        <v>2403</v>
      </c>
      <c r="B104" s="1105" t="s">
        <v>161</v>
      </c>
      <c r="C104" s="1105" t="s">
        <v>5</v>
      </c>
      <c r="D104" s="1099">
        <v>24</v>
      </c>
      <c r="E104" s="1105" t="s">
        <v>5</v>
      </c>
      <c r="F104" s="1105" t="s">
        <v>5</v>
      </c>
      <c r="G104" s="1105" t="s">
        <v>5</v>
      </c>
      <c r="H104" s="1105" t="s">
        <v>5</v>
      </c>
      <c r="I104" s="1105" t="s">
        <v>5</v>
      </c>
      <c r="J104" s="1105" t="s">
        <v>5</v>
      </c>
      <c r="K104" s="1105" t="s">
        <v>5</v>
      </c>
      <c r="L104" s="1105" t="s">
        <v>5</v>
      </c>
      <c r="M104" s="1105" t="s">
        <v>5</v>
      </c>
      <c r="N104" s="1105" t="s">
        <v>5</v>
      </c>
      <c r="O104" s="1105" t="s">
        <v>5</v>
      </c>
      <c r="P104" s="1105" t="s">
        <v>5</v>
      </c>
      <c r="Q104" s="1105" t="s">
        <v>5</v>
      </c>
      <c r="R104" s="1105" t="s">
        <v>5</v>
      </c>
      <c r="S104" s="1105" t="s">
        <v>5</v>
      </c>
      <c r="T104" s="1099">
        <f t="shared" si="8"/>
        <v>24</v>
      </c>
      <c r="U104" s="1077"/>
      <c r="V104" s="1106"/>
      <c r="W104" s="1109"/>
      <c r="X104" s="1080"/>
      <c r="AB104" s="1078"/>
      <c r="AC104" s="1081"/>
    </row>
    <row r="105" spans="1:29" s="1079" customFormat="1" ht="12.75" customHeight="1">
      <c r="A105" s="1098">
        <f t="shared" si="7"/>
        <v>2404</v>
      </c>
      <c r="B105" s="1105" t="s">
        <v>161</v>
      </c>
      <c r="C105" s="1105" t="s">
        <v>5</v>
      </c>
      <c r="D105" s="1099">
        <v>24</v>
      </c>
      <c r="E105" s="1105" t="s">
        <v>5</v>
      </c>
      <c r="F105" s="1105" t="s">
        <v>5</v>
      </c>
      <c r="G105" s="1105" t="s">
        <v>5</v>
      </c>
      <c r="H105" s="1105" t="s">
        <v>5</v>
      </c>
      <c r="I105" s="1105" t="s">
        <v>5</v>
      </c>
      <c r="J105" s="1105" t="s">
        <v>5</v>
      </c>
      <c r="K105" s="1105" t="s">
        <v>5</v>
      </c>
      <c r="L105" s="1105" t="s">
        <v>5</v>
      </c>
      <c r="M105" s="1105" t="s">
        <v>5</v>
      </c>
      <c r="N105" s="1105" t="s">
        <v>5</v>
      </c>
      <c r="O105" s="1105" t="s">
        <v>5</v>
      </c>
      <c r="P105" s="1105" t="s">
        <v>5</v>
      </c>
      <c r="Q105" s="1105" t="s">
        <v>5</v>
      </c>
      <c r="R105" s="1105" t="s">
        <v>5</v>
      </c>
      <c r="S105" s="1105" t="s">
        <v>5</v>
      </c>
      <c r="T105" s="1099">
        <f t="shared" si="8"/>
        <v>24</v>
      </c>
      <c r="U105" s="1077"/>
      <c r="V105" s="1106"/>
      <c r="W105" s="1109"/>
      <c r="X105" s="1080"/>
      <c r="AB105" s="1078"/>
      <c r="AC105" s="1081"/>
    </row>
    <row r="106" spans="1:29" s="1079" customFormat="1" ht="12.75" customHeight="1">
      <c r="A106" s="1118">
        <f t="shared" si="7"/>
        <v>2405</v>
      </c>
      <c r="B106" s="1119" t="s">
        <v>161</v>
      </c>
      <c r="C106" s="1119" t="s">
        <v>5</v>
      </c>
      <c r="D106" s="1119">
        <v>24</v>
      </c>
      <c r="E106" s="1119" t="s">
        <v>5</v>
      </c>
      <c r="F106" s="1119" t="s">
        <v>5</v>
      </c>
      <c r="G106" s="1119" t="s">
        <v>5</v>
      </c>
      <c r="H106" s="1119" t="s">
        <v>5</v>
      </c>
      <c r="I106" s="1119" t="s">
        <v>5</v>
      </c>
      <c r="J106" s="1119" t="s">
        <v>5</v>
      </c>
      <c r="K106" s="1119" t="s">
        <v>5</v>
      </c>
      <c r="L106" s="1119" t="s">
        <v>5</v>
      </c>
      <c r="M106" s="1119" t="s">
        <v>5</v>
      </c>
      <c r="N106" s="1119" t="s">
        <v>5</v>
      </c>
      <c r="O106" s="1119" t="s">
        <v>5</v>
      </c>
      <c r="P106" s="1119" t="s">
        <v>5</v>
      </c>
      <c r="Q106" s="1119" t="s">
        <v>5</v>
      </c>
      <c r="R106" s="1119" t="s">
        <v>5</v>
      </c>
      <c r="S106" s="1119" t="s">
        <v>5</v>
      </c>
      <c r="T106" s="1119">
        <f t="shared" si="8"/>
        <v>24</v>
      </c>
      <c r="U106" s="1077"/>
      <c r="V106" s="1106"/>
      <c r="W106" s="1109"/>
      <c r="X106" s="1080"/>
      <c r="AB106" s="1078"/>
      <c r="AC106" s="1081"/>
    </row>
    <row r="107" spans="1:29" s="1079" customFormat="1" ht="12.75" customHeight="1">
      <c r="A107" s="1095">
        <f t="shared" si="7"/>
        <v>2406</v>
      </c>
      <c r="B107" s="1096" t="s">
        <v>643</v>
      </c>
      <c r="C107" s="1096" t="s">
        <v>5</v>
      </c>
      <c r="D107" s="1096">
        <v>12.5</v>
      </c>
      <c r="E107" s="1096">
        <v>8.5</v>
      </c>
      <c r="F107" s="1096">
        <v>0.5</v>
      </c>
      <c r="G107" s="1096" t="s">
        <v>5</v>
      </c>
      <c r="H107" s="1096" t="s">
        <v>5</v>
      </c>
      <c r="I107" s="1096" t="s">
        <v>5</v>
      </c>
      <c r="J107" s="1096" t="s">
        <v>5</v>
      </c>
      <c r="K107" s="1096" t="s">
        <v>5</v>
      </c>
      <c r="L107" s="1096" t="s">
        <v>5</v>
      </c>
      <c r="M107" s="1096" t="s">
        <v>5</v>
      </c>
      <c r="N107" s="1096" t="s">
        <v>5</v>
      </c>
      <c r="O107" s="1096" t="s">
        <v>5</v>
      </c>
      <c r="P107" s="1096">
        <v>2.5</v>
      </c>
      <c r="Q107" s="1096" t="s">
        <v>5</v>
      </c>
      <c r="R107" s="1096" t="s">
        <v>5</v>
      </c>
      <c r="S107" s="1096" t="s">
        <v>5</v>
      </c>
      <c r="T107" s="1096">
        <f t="shared" si="8"/>
        <v>24</v>
      </c>
      <c r="U107" s="1077"/>
      <c r="V107" s="1106"/>
      <c r="W107" s="1109"/>
      <c r="X107" s="1080"/>
      <c r="AB107" s="1078"/>
      <c r="AC107" s="1081"/>
    </row>
    <row r="108" spans="1:29" s="1079" customFormat="1" ht="12.75" customHeight="1">
      <c r="A108" s="1098">
        <f t="shared" si="7"/>
        <v>2407</v>
      </c>
      <c r="B108" s="1099" t="s">
        <v>657</v>
      </c>
      <c r="C108" s="1105" t="s">
        <v>5</v>
      </c>
      <c r="D108" s="1099" t="s">
        <v>5</v>
      </c>
      <c r="E108" s="1105">
        <v>3.75</v>
      </c>
      <c r="F108" s="1105">
        <v>15.5</v>
      </c>
      <c r="G108" s="1105" t="s">
        <v>5</v>
      </c>
      <c r="H108" s="1105">
        <v>2.75</v>
      </c>
      <c r="I108" s="1105" t="s">
        <v>5</v>
      </c>
      <c r="J108" s="1105" t="s">
        <v>5</v>
      </c>
      <c r="K108" s="1105" t="s">
        <v>5</v>
      </c>
      <c r="L108" s="1105" t="s">
        <v>5</v>
      </c>
      <c r="M108" s="1105" t="s">
        <v>5</v>
      </c>
      <c r="N108" s="1105" t="s">
        <v>5</v>
      </c>
      <c r="O108" s="1105" t="s">
        <v>5</v>
      </c>
      <c r="P108" s="1105">
        <v>1.5</v>
      </c>
      <c r="Q108" s="1105" t="s">
        <v>5</v>
      </c>
      <c r="R108" s="1105" t="s">
        <v>5</v>
      </c>
      <c r="S108" s="1105">
        <v>0.5</v>
      </c>
      <c r="T108" s="1099">
        <f t="shared" si="8"/>
        <v>24</v>
      </c>
      <c r="U108" s="1077"/>
      <c r="V108" s="1106"/>
      <c r="W108" s="1109"/>
      <c r="X108" s="1080"/>
      <c r="AB108" s="1078"/>
      <c r="AC108" s="1081"/>
    </row>
    <row r="109" spans="1:29" s="1079" customFormat="1" ht="12.75" customHeight="1">
      <c r="A109" s="1098">
        <f t="shared" si="7"/>
        <v>2408</v>
      </c>
      <c r="B109" s="1105" t="s">
        <v>656</v>
      </c>
      <c r="C109" s="1105" t="s">
        <v>5</v>
      </c>
      <c r="D109" s="1099">
        <v>12.75</v>
      </c>
      <c r="E109" s="1099">
        <v>5.25</v>
      </c>
      <c r="F109" s="1105" t="s">
        <v>5</v>
      </c>
      <c r="G109" s="1105" t="s">
        <v>5</v>
      </c>
      <c r="H109" s="1105" t="s">
        <v>5</v>
      </c>
      <c r="I109" s="1105" t="s">
        <v>5</v>
      </c>
      <c r="J109" s="1105" t="s">
        <v>5</v>
      </c>
      <c r="K109" s="1105" t="s">
        <v>5</v>
      </c>
      <c r="L109" s="1105" t="s">
        <v>5</v>
      </c>
      <c r="M109" s="1105" t="s">
        <v>5</v>
      </c>
      <c r="N109" s="1105" t="s">
        <v>5</v>
      </c>
      <c r="O109" s="1105" t="s">
        <v>5</v>
      </c>
      <c r="P109" s="1105" t="s">
        <v>5</v>
      </c>
      <c r="Q109" s="1105" t="s">
        <v>5</v>
      </c>
      <c r="R109" s="1105">
        <v>6</v>
      </c>
      <c r="S109" s="1105" t="s">
        <v>5</v>
      </c>
      <c r="T109" s="1099">
        <f t="shared" si="8"/>
        <v>24</v>
      </c>
      <c r="U109" s="1077"/>
      <c r="V109" s="1106"/>
      <c r="W109" s="1109"/>
      <c r="X109" s="1080"/>
      <c r="AB109" s="1078"/>
      <c r="AC109" s="1081"/>
    </row>
    <row r="110" spans="1:29" s="1079" customFormat="1" ht="12.75" customHeight="1">
      <c r="A110" s="1098">
        <f t="shared" si="7"/>
        <v>2409</v>
      </c>
      <c r="B110" s="1105" t="s">
        <v>659</v>
      </c>
      <c r="C110" s="1105" t="s">
        <v>5</v>
      </c>
      <c r="D110" s="1099" t="s">
        <v>5</v>
      </c>
      <c r="E110" s="1105">
        <v>1</v>
      </c>
      <c r="F110" s="1105">
        <v>15.5</v>
      </c>
      <c r="G110" s="1105" t="s">
        <v>5</v>
      </c>
      <c r="H110" s="1105">
        <v>2</v>
      </c>
      <c r="I110" s="1105" t="s">
        <v>5</v>
      </c>
      <c r="J110" s="1105" t="s">
        <v>5</v>
      </c>
      <c r="K110" s="1105" t="s">
        <v>5</v>
      </c>
      <c r="L110" s="1105" t="s">
        <v>5</v>
      </c>
      <c r="M110" s="1105" t="s">
        <v>5</v>
      </c>
      <c r="N110" s="1105" t="s">
        <v>5</v>
      </c>
      <c r="O110" s="1105" t="s">
        <v>5</v>
      </c>
      <c r="P110" s="1105" t="s">
        <v>5</v>
      </c>
      <c r="Q110" s="1105" t="s">
        <v>5</v>
      </c>
      <c r="R110" s="1105">
        <v>5.5</v>
      </c>
      <c r="S110" s="1105" t="s">
        <v>5</v>
      </c>
      <c r="T110" s="1099">
        <f t="shared" si="8"/>
        <v>24</v>
      </c>
      <c r="U110" s="1077"/>
      <c r="V110" s="1106"/>
      <c r="W110" s="1109"/>
      <c r="X110" s="1080"/>
      <c r="AB110" s="1078"/>
      <c r="AC110" s="1081"/>
    </row>
    <row r="111" spans="1:29" s="1079" customFormat="1" ht="12.75" customHeight="1">
      <c r="A111" s="1098">
        <f t="shared" si="7"/>
        <v>2410</v>
      </c>
      <c r="B111" s="1105" t="s">
        <v>659</v>
      </c>
      <c r="C111" s="1105" t="s">
        <v>5</v>
      </c>
      <c r="D111" s="1099" t="s">
        <v>5</v>
      </c>
      <c r="E111" s="1105" t="s">
        <v>5</v>
      </c>
      <c r="F111" s="1105">
        <v>22.25</v>
      </c>
      <c r="G111" s="1105" t="s">
        <v>5</v>
      </c>
      <c r="H111" s="1105">
        <v>1.75</v>
      </c>
      <c r="I111" s="1105" t="s">
        <v>5</v>
      </c>
      <c r="J111" s="1105" t="s">
        <v>5</v>
      </c>
      <c r="K111" s="1105" t="s">
        <v>5</v>
      </c>
      <c r="L111" s="1105" t="s">
        <v>5</v>
      </c>
      <c r="M111" s="1105" t="s">
        <v>5</v>
      </c>
      <c r="N111" s="1105" t="s">
        <v>5</v>
      </c>
      <c r="O111" s="1105" t="s">
        <v>5</v>
      </c>
      <c r="P111" s="1105" t="s">
        <v>5</v>
      </c>
      <c r="Q111" s="1105" t="s">
        <v>5</v>
      </c>
      <c r="R111" s="1105" t="s">
        <v>5</v>
      </c>
      <c r="S111" s="1105" t="s">
        <v>5</v>
      </c>
      <c r="T111" s="1099">
        <f t="shared" si="8"/>
        <v>24</v>
      </c>
      <c r="U111" s="1077"/>
      <c r="V111" s="1106"/>
      <c r="W111" s="1109"/>
      <c r="X111" s="1080"/>
      <c r="AB111" s="1078"/>
      <c r="AC111" s="1081"/>
    </row>
    <row r="112" spans="1:29" s="1079" customFormat="1" ht="12.75" customHeight="1">
      <c r="A112" s="1098">
        <f t="shared" si="7"/>
        <v>2411</v>
      </c>
      <c r="B112" s="1105" t="s">
        <v>659</v>
      </c>
      <c r="C112" s="1105" t="s">
        <v>5</v>
      </c>
      <c r="D112" s="1099" t="s">
        <v>5</v>
      </c>
      <c r="E112" s="1105">
        <v>4</v>
      </c>
      <c r="F112" s="1105">
        <v>1.5</v>
      </c>
      <c r="G112" s="1105">
        <v>9</v>
      </c>
      <c r="H112" s="1105">
        <v>2</v>
      </c>
      <c r="I112" s="1105">
        <v>6.5</v>
      </c>
      <c r="J112" s="1105" t="s">
        <v>5</v>
      </c>
      <c r="K112" s="1105" t="s">
        <v>5</v>
      </c>
      <c r="L112" s="1105" t="s">
        <v>5</v>
      </c>
      <c r="M112" s="1105" t="s">
        <v>5</v>
      </c>
      <c r="N112" s="1105" t="s">
        <v>5</v>
      </c>
      <c r="O112" s="1105" t="s">
        <v>5</v>
      </c>
      <c r="P112" s="1105" t="s">
        <v>5</v>
      </c>
      <c r="Q112" s="1105" t="s">
        <v>5</v>
      </c>
      <c r="R112" s="1105" t="s">
        <v>5</v>
      </c>
      <c r="S112" s="1105">
        <v>1</v>
      </c>
      <c r="T112" s="1099">
        <f t="shared" si="8"/>
        <v>24</v>
      </c>
      <c r="U112" s="1077"/>
      <c r="V112" s="1106"/>
      <c r="W112" s="1109"/>
      <c r="X112" s="1080"/>
      <c r="AB112" s="1078"/>
      <c r="AC112" s="1081"/>
    </row>
    <row r="113" spans="1:29" s="1079" customFormat="1" ht="12.75" customHeight="1">
      <c r="A113" s="1098">
        <f t="shared" si="7"/>
        <v>2412</v>
      </c>
      <c r="B113" s="1105" t="s">
        <v>683</v>
      </c>
      <c r="C113" s="1105" t="s">
        <v>5</v>
      </c>
      <c r="D113" s="1099" t="s">
        <v>5</v>
      </c>
      <c r="E113" s="1105">
        <v>1.5</v>
      </c>
      <c r="F113" s="1105" t="s">
        <v>5</v>
      </c>
      <c r="G113" s="1105">
        <v>0.5</v>
      </c>
      <c r="H113" s="1105" t="s">
        <v>5</v>
      </c>
      <c r="I113" s="1105">
        <v>21</v>
      </c>
      <c r="J113" s="1105" t="s">
        <v>5</v>
      </c>
      <c r="K113" s="1105" t="s">
        <v>5</v>
      </c>
      <c r="L113" s="1105" t="s">
        <v>5</v>
      </c>
      <c r="M113" s="1105" t="s">
        <v>5</v>
      </c>
      <c r="N113" s="1105" t="s">
        <v>5</v>
      </c>
      <c r="O113" s="1105" t="s">
        <v>5</v>
      </c>
      <c r="P113" s="1105" t="s">
        <v>5</v>
      </c>
      <c r="Q113" s="1105" t="s">
        <v>5</v>
      </c>
      <c r="R113" s="1105" t="s">
        <v>5</v>
      </c>
      <c r="S113" s="1105">
        <v>1</v>
      </c>
      <c r="T113" s="1099">
        <f t="shared" si="8"/>
        <v>24</v>
      </c>
      <c r="U113" s="1077"/>
      <c r="V113" s="1106"/>
      <c r="W113" s="1109"/>
      <c r="X113" s="1080"/>
      <c r="AB113" s="1078"/>
      <c r="AC113" s="1081"/>
    </row>
    <row r="114" spans="1:29" s="1079" customFormat="1" ht="12.75" customHeight="1">
      <c r="A114" s="1098">
        <f t="shared" si="7"/>
        <v>2413</v>
      </c>
      <c r="B114" s="1105" t="s">
        <v>690</v>
      </c>
      <c r="C114" s="1105" t="s">
        <v>5</v>
      </c>
      <c r="D114" s="1099">
        <v>20</v>
      </c>
      <c r="E114" s="1105">
        <v>4</v>
      </c>
      <c r="F114" s="1105" t="s">
        <v>5</v>
      </c>
      <c r="G114" s="1105" t="s">
        <v>5</v>
      </c>
      <c r="H114" s="1105" t="s">
        <v>5</v>
      </c>
      <c r="I114" s="1105" t="s">
        <v>5</v>
      </c>
      <c r="J114" s="1105" t="s">
        <v>5</v>
      </c>
      <c r="K114" s="1105" t="s">
        <v>5</v>
      </c>
      <c r="L114" s="1105" t="s">
        <v>5</v>
      </c>
      <c r="M114" s="1105" t="s">
        <v>5</v>
      </c>
      <c r="N114" s="1105" t="s">
        <v>5</v>
      </c>
      <c r="O114" s="1105" t="s">
        <v>5</v>
      </c>
      <c r="P114" s="1105" t="s">
        <v>5</v>
      </c>
      <c r="Q114" s="1105" t="s">
        <v>5</v>
      </c>
      <c r="R114" s="1105" t="s">
        <v>5</v>
      </c>
      <c r="S114" s="1105" t="s">
        <v>5</v>
      </c>
      <c r="T114" s="1099">
        <f t="shared" si="8"/>
        <v>24</v>
      </c>
      <c r="U114" s="1077"/>
      <c r="V114" s="1106"/>
      <c r="W114" s="1109"/>
      <c r="X114" s="1080"/>
      <c r="AB114" s="1078"/>
      <c r="AC114" s="1081"/>
    </row>
    <row r="115" spans="1:29" s="1079" customFormat="1" ht="12.75" customHeight="1">
      <c r="A115" s="1098">
        <f t="shared" si="7"/>
        <v>2414</v>
      </c>
      <c r="B115" s="1105" t="s">
        <v>691</v>
      </c>
      <c r="C115" s="1105" t="s">
        <v>5</v>
      </c>
      <c r="D115" s="1099">
        <v>14.75</v>
      </c>
      <c r="E115" s="1105">
        <v>3.75</v>
      </c>
      <c r="F115" s="1105" t="s">
        <v>5</v>
      </c>
      <c r="G115" s="1105" t="s">
        <v>5</v>
      </c>
      <c r="H115" s="1105" t="s">
        <v>5</v>
      </c>
      <c r="I115" s="1105">
        <v>5.5</v>
      </c>
      <c r="J115" s="1105" t="s">
        <v>5</v>
      </c>
      <c r="K115" s="1105" t="s">
        <v>5</v>
      </c>
      <c r="L115" s="1105" t="s">
        <v>5</v>
      </c>
      <c r="M115" s="1105" t="s">
        <v>5</v>
      </c>
      <c r="N115" s="1105" t="s">
        <v>5</v>
      </c>
      <c r="O115" s="1105" t="s">
        <v>5</v>
      </c>
      <c r="P115" s="1105" t="s">
        <v>5</v>
      </c>
      <c r="Q115" s="1105" t="s">
        <v>5</v>
      </c>
      <c r="R115" s="1105" t="s">
        <v>5</v>
      </c>
      <c r="S115" s="1105" t="s">
        <v>5</v>
      </c>
      <c r="T115" s="1099">
        <f t="shared" si="8"/>
        <v>24</v>
      </c>
      <c r="U115" s="1077"/>
      <c r="V115" s="1106"/>
      <c r="W115" s="1109"/>
      <c r="X115" s="1080"/>
      <c r="AB115" s="1078"/>
      <c r="AC115" s="1081"/>
    </row>
    <row r="116" spans="1:29" s="1079" customFormat="1" ht="12.75" customHeight="1">
      <c r="A116" s="1098">
        <f t="shared" si="7"/>
        <v>2415</v>
      </c>
      <c r="B116" s="1105" t="s">
        <v>663</v>
      </c>
      <c r="C116" s="1105" t="s">
        <v>5</v>
      </c>
      <c r="D116" s="1099" t="s">
        <v>5</v>
      </c>
      <c r="E116" s="1105">
        <v>2</v>
      </c>
      <c r="F116" s="1105" t="s">
        <v>5</v>
      </c>
      <c r="G116" s="1105">
        <v>1.5</v>
      </c>
      <c r="H116" s="1105" t="s">
        <v>5</v>
      </c>
      <c r="I116" s="1105">
        <v>18</v>
      </c>
      <c r="J116" s="1105" t="s">
        <v>5</v>
      </c>
      <c r="K116" s="1105" t="s">
        <v>5</v>
      </c>
      <c r="L116" s="1105" t="s">
        <v>5</v>
      </c>
      <c r="M116" s="1105" t="s">
        <v>5</v>
      </c>
      <c r="N116" s="1105" t="s">
        <v>5</v>
      </c>
      <c r="O116" s="1105" t="s">
        <v>5</v>
      </c>
      <c r="P116" s="1105" t="s">
        <v>5</v>
      </c>
      <c r="Q116" s="1105" t="s">
        <v>5</v>
      </c>
      <c r="R116" s="1105" t="s">
        <v>5</v>
      </c>
      <c r="S116" s="1105">
        <v>2.5</v>
      </c>
      <c r="T116" s="1099">
        <f t="shared" si="8"/>
        <v>24</v>
      </c>
      <c r="U116" s="1077"/>
      <c r="V116" s="1106"/>
      <c r="W116" s="1109"/>
      <c r="X116" s="1080"/>
      <c r="AB116" s="1078"/>
      <c r="AC116" s="1081"/>
    </row>
    <row r="117" spans="1:29" s="1079" customFormat="1" ht="12.75" customHeight="1">
      <c r="A117" s="1098">
        <f t="shared" si="7"/>
        <v>2416</v>
      </c>
      <c r="B117" s="1252" t="s">
        <v>750</v>
      </c>
      <c r="C117" s="1253"/>
      <c r="D117" s="1099">
        <v>1</v>
      </c>
      <c r="E117" s="1105">
        <v>7.5</v>
      </c>
      <c r="F117" s="1105" t="s">
        <v>5</v>
      </c>
      <c r="G117" s="1105">
        <v>9</v>
      </c>
      <c r="H117" s="1105" t="s">
        <v>5</v>
      </c>
      <c r="I117" s="1105">
        <v>5.5</v>
      </c>
      <c r="J117" s="1105" t="s">
        <v>5</v>
      </c>
      <c r="K117" s="1105" t="s">
        <v>5</v>
      </c>
      <c r="L117" s="1105" t="s">
        <v>5</v>
      </c>
      <c r="M117" s="1105" t="s">
        <v>5</v>
      </c>
      <c r="N117" s="1105" t="s">
        <v>5</v>
      </c>
      <c r="O117" s="1105" t="s">
        <v>5</v>
      </c>
      <c r="P117" s="1105" t="s">
        <v>5</v>
      </c>
      <c r="Q117" s="1105" t="s">
        <v>5</v>
      </c>
      <c r="R117" s="1105" t="s">
        <v>5</v>
      </c>
      <c r="S117" s="1105">
        <v>1</v>
      </c>
      <c r="T117" s="1099">
        <f t="shared" si="8"/>
        <v>24</v>
      </c>
      <c r="U117" s="1077"/>
      <c r="V117" s="1106"/>
      <c r="W117" s="1109"/>
      <c r="X117" s="1080"/>
      <c r="AB117" s="1078"/>
      <c r="AC117" s="1081"/>
    </row>
    <row r="118" spans="1:29" s="1079" customFormat="1" ht="12.75" customHeight="1">
      <c r="A118" s="1098">
        <f t="shared" si="7"/>
        <v>2417</v>
      </c>
      <c r="B118" s="1252" t="s">
        <v>751</v>
      </c>
      <c r="C118" s="1253"/>
      <c r="D118" s="1099" t="s">
        <v>5</v>
      </c>
      <c r="E118" s="1105" t="s">
        <v>5</v>
      </c>
      <c r="F118" s="1105">
        <v>18.5</v>
      </c>
      <c r="G118" s="1105">
        <v>3.25</v>
      </c>
      <c r="H118" s="1105" t="s">
        <v>5</v>
      </c>
      <c r="I118" s="1105" t="s">
        <v>5</v>
      </c>
      <c r="J118" s="1105" t="s">
        <v>5</v>
      </c>
      <c r="K118" s="1105" t="s">
        <v>5</v>
      </c>
      <c r="L118" s="1105" t="s">
        <v>5</v>
      </c>
      <c r="M118" s="1105" t="s">
        <v>5</v>
      </c>
      <c r="N118" s="1105" t="s">
        <v>5</v>
      </c>
      <c r="O118" s="1105" t="s">
        <v>5</v>
      </c>
      <c r="P118" s="1105" t="s">
        <v>5</v>
      </c>
      <c r="Q118" s="1105" t="s">
        <v>5</v>
      </c>
      <c r="R118" s="1105" t="s">
        <v>5</v>
      </c>
      <c r="S118" s="1105">
        <v>2.25</v>
      </c>
      <c r="T118" s="1099">
        <f t="shared" si="8"/>
        <v>24</v>
      </c>
      <c r="U118" s="1077"/>
      <c r="V118" s="1106"/>
      <c r="W118" s="1109"/>
      <c r="X118" s="1080"/>
      <c r="AB118" s="1078"/>
      <c r="AC118" s="1081"/>
    </row>
    <row r="119" spans="1:29" s="1079" customFormat="1" ht="12.75" customHeight="1">
      <c r="A119" s="1098">
        <f t="shared" si="7"/>
        <v>2418</v>
      </c>
      <c r="B119" s="1252" t="s">
        <v>720</v>
      </c>
      <c r="C119" s="1253"/>
      <c r="D119" s="1099" t="s">
        <v>5</v>
      </c>
      <c r="E119" s="1105">
        <v>2.5</v>
      </c>
      <c r="F119" s="1105" t="s">
        <v>5</v>
      </c>
      <c r="G119" s="1105">
        <v>5.5</v>
      </c>
      <c r="H119" s="1105" t="s">
        <v>5</v>
      </c>
      <c r="I119" s="1105">
        <v>14</v>
      </c>
      <c r="J119" s="1105" t="s">
        <v>5</v>
      </c>
      <c r="K119" s="1105" t="s">
        <v>5</v>
      </c>
      <c r="L119" s="1105" t="s">
        <v>5</v>
      </c>
      <c r="M119" s="1105" t="s">
        <v>5</v>
      </c>
      <c r="N119" s="1105" t="s">
        <v>5</v>
      </c>
      <c r="O119" s="1105" t="s">
        <v>5</v>
      </c>
      <c r="P119" s="1105" t="s">
        <v>5</v>
      </c>
      <c r="Q119" s="1105" t="s">
        <v>5</v>
      </c>
      <c r="R119" s="1105" t="s">
        <v>5</v>
      </c>
      <c r="S119" s="1105">
        <v>2</v>
      </c>
      <c r="T119" s="1099">
        <f t="shared" si="8"/>
        <v>24</v>
      </c>
      <c r="U119" s="1077"/>
      <c r="V119" s="1106"/>
      <c r="W119" s="1109"/>
      <c r="X119" s="1080"/>
      <c r="AB119" s="1078"/>
      <c r="AC119" s="1081"/>
    </row>
    <row r="120" spans="1:29" s="1079" customFormat="1" ht="12.75" customHeight="1">
      <c r="A120" s="1098">
        <f t="shared" si="7"/>
        <v>2419</v>
      </c>
      <c r="B120" s="1252" t="s">
        <v>759</v>
      </c>
      <c r="C120" s="1253"/>
      <c r="D120" s="1099">
        <v>2.5</v>
      </c>
      <c r="E120" s="1105">
        <v>6.5</v>
      </c>
      <c r="F120" s="1105">
        <v>1.75</v>
      </c>
      <c r="G120" s="1105">
        <v>3.5</v>
      </c>
      <c r="H120" s="1105" t="s">
        <v>5</v>
      </c>
      <c r="I120" s="1105">
        <v>7.75</v>
      </c>
      <c r="J120" s="1105" t="s">
        <v>5</v>
      </c>
      <c r="K120" s="1105" t="s">
        <v>5</v>
      </c>
      <c r="L120" s="1105" t="s">
        <v>5</v>
      </c>
      <c r="M120" s="1105" t="s">
        <v>5</v>
      </c>
      <c r="N120" s="1105" t="s">
        <v>5</v>
      </c>
      <c r="O120" s="1105" t="s">
        <v>5</v>
      </c>
      <c r="P120" s="1105" t="s">
        <v>5</v>
      </c>
      <c r="Q120" s="1105" t="s">
        <v>5</v>
      </c>
      <c r="R120" s="1105" t="s">
        <v>5</v>
      </c>
      <c r="S120" s="1105">
        <v>2</v>
      </c>
      <c r="T120" s="1099">
        <f t="shared" si="8"/>
        <v>24</v>
      </c>
      <c r="U120" s="1077"/>
      <c r="V120" s="1106"/>
      <c r="W120" s="1109"/>
      <c r="X120" s="1080"/>
      <c r="AB120" s="1078"/>
      <c r="AC120" s="1081"/>
    </row>
    <row r="121" spans="1:29" s="1079" customFormat="1" ht="12.75" customHeight="1">
      <c r="A121" s="1124">
        <f t="shared" si="7"/>
        <v>2420</v>
      </c>
      <c r="B121" s="1125" t="s">
        <v>161</v>
      </c>
      <c r="C121" s="1125" t="s">
        <v>5</v>
      </c>
      <c r="D121" s="1126">
        <v>19</v>
      </c>
      <c r="E121" s="1125" t="s">
        <v>5</v>
      </c>
      <c r="F121" s="1125" t="s">
        <v>5</v>
      </c>
      <c r="G121" s="1125" t="s">
        <v>5</v>
      </c>
      <c r="H121" s="1125" t="s">
        <v>5</v>
      </c>
      <c r="I121" s="1125" t="s">
        <v>5</v>
      </c>
      <c r="J121" s="1125" t="s">
        <v>5</v>
      </c>
      <c r="K121" s="1125" t="s">
        <v>5</v>
      </c>
      <c r="L121" s="1125" t="s">
        <v>5</v>
      </c>
      <c r="M121" s="1125" t="s">
        <v>5</v>
      </c>
      <c r="N121" s="1125" t="s">
        <v>5</v>
      </c>
      <c r="O121" s="1125" t="s">
        <v>5</v>
      </c>
      <c r="P121" s="1125" t="s">
        <v>5</v>
      </c>
      <c r="Q121" s="1125" t="s">
        <v>5</v>
      </c>
      <c r="R121" s="1125" t="s">
        <v>5</v>
      </c>
      <c r="S121" s="1125">
        <v>5</v>
      </c>
      <c r="T121" s="1126">
        <f t="shared" si="8"/>
        <v>24</v>
      </c>
      <c r="U121" s="1077"/>
      <c r="V121" s="1106"/>
      <c r="W121" s="1109"/>
      <c r="X121" s="1080"/>
      <c r="AB121" s="1078"/>
      <c r="AC121" s="1081"/>
    </row>
    <row r="122" spans="1:29" s="1079" customFormat="1" ht="12.75" customHeight="1">
      <c r="A122" s="1124">
        <f t="shared" si="7"/>
        <v>2421</v>
      </c>
      <c r="B122" s="1125" t="s">
        <v>137</v>
      </c>
      <c r="C122" s="1125">
        <v>18.75</v>
      </c>
      <c r="D122" s="1126">
        <v>1</v>
      </c>
      <c r="E122" s="1125" t="s">
        <v>5</v>
      </c>
      <c r="F122" s="1125" t="s">
        <v>5</v>
      </c>
      <c r="G122" s="1125" t="s">
        <v>5</v>
      </c>
      <c r="H122" s="1125" t="s">
        <v>5</v>
      </c>
      <c r="I122" s="1125" t="s">
        <v>5</v>
      </c>
      <c r="J122" s="1125" t="s">
        <v>5</v>
      </c>
      <c r="K122" s="1125" t="s">
        <v>5</v>
      </c>
      <c r="L122" s="1125" t="s">
        <v>5</v>
      </c>
      <c r="M122" s="1125" t="s">
        <v>5</v>
      </c>
      <c r="N122" s="1125" t="s">
        <v>5</v>
      </c>
      <c r="O122" s="1125" t="s">
        <v>5</v>
      </c>
      <c r="P122" s="1125" t="s">
        <v>5</v>
      </c>
      <c r="Q122" s="1125" t="s">
        <v>5</v>
      </c>
      <c r="R122" s="1125" t="s">
        <v>5</v>
      </c>
      <c r="S122" s="1125">
        <v>4.25</v>
      </c>
      <c r="T122" s="1126">
        <f>SUM(B122:S122)</f>
        <v>24</v>
      </c>
      <c r="U122" s="1077"/>
      <c r="V122" s="1106"/>
      <c r="W122" s="1109"/>
      <c r="X122" s="1080"/>
      <c r="AB122" s="1078"/>
      <c r="AC122" s="1081"/>
    </row>
    <row r="123" spans="1:29" s="1079" customFormat="1" ht="12.75" customHeight="1">
      <c r="A123" s="1124">
        <f t="shared" si="7"/>
        <v>2422</v>
      </c>
      <c r="B123" s="1125" t="s">
        <v>137</v>
      </c>
      <c r="C123" s="1125">
        <v>24</v>
      </c>
      <c r="D123" s="1126" t="s">
        <v>5</v>
      </c>
      <c r="E123" s="1125" t="s">
        <v>5</v>
      </c>
      <c r="F123" s="1125" t="s">
        <v>5</v>
      </c>
      <c r="G123" s="1125" t="s">
        <v>5</v>
      </c>
      <c r="H123" s="1125" t="s">
        <v>5</v>
      </c>
      <c r="I123" s="1125" t="s">
        <v>5</v>
      </c>
      <c r="J123" s="1125" t="s">
        <v>5</v>
      </c>
      <c r="K123" s="1125" t="s">
        <v>5</v>
      </c>
      <c r="L123" s="1125" t="s">
        <v>5</v>
      </c>
      <c r="M123" s="1125" t="s">
        <v>5</v>
      </c>
      <c r="N123" s="1125" t="s">
        <v>5</v>
      </c>
      <c r="O123" s="1125" t="s">
        <v>5</v>
      </c>
      <c r="P123" s="1125" t="s">
        <v>5</v>
      </c>
      <c r="Q123" s="1125" t="s">
        <v>5</v>
      </c>
      <c r="R123" s="1125" t="s">
        <v>5</v>
      </c>
      <c r="S123" s="1125" t="s">
        <v>5</v>
      </c>
      <c r="T123" s="1126">
        <f>SUM(B123:S123)</f>
        <v>24</v>
      </c>
      <c r="U123" s="1077"/>
      <c r="V123" s="1106"/>
      <c r="W123" s="1109"/>
      <c r="X123" s="1080"/>
      <c r="AB123" s="1078"/>
      <c r="AC123" s="1081"/>
    </row>
    <row r="124" spans="1:29" s="1079" customFormat="1" ht="12.75" customHeight="1">
      <c r="A124" s="1124">
        <f t="shared" si="7"/>
        <v>2423</v>
      </c>
      <c r="B124" s="1125" t="s">
        <v>137</v>
      </c>
      <c r="C124" s="1125">
        <v>19</v>
      </c>
      <c r="D124" s="1126" t="s">
        <v>5</v>
      </c>
      <c r="E124" s="1125" t="s">
        <v>5</v>
      </c>
      <c r="F124" s="1125" t="s">
        <v>5</v>
      </c>
      <c r="G124" s="1125" t="s">
        <v>5</v>
      </c>
      <c r="H124" s="1125" t="s">
        <v>5</v>
      </c>
      <c r="I124" s="1125" t="s">
        <v>5</v>
      </c>
      <c r="J124" s="1125" t="s">
        <v>5</v>
      </c>
      <c r="K124" s="1125" t="s">
        <v>5</v>
      </c>
      <c r="L124" s="1125" t="s">
        <v>5</v>
      </c>
      <c r="M124" s="1125" t="s">
        <v>5</v>
      </c>
      <c r="N124" s="1125" t="s">
        <v>5</v>
      </c>
      <c r="O124" s="1125" t="s">
        <v>5</v>
      </c>
      <c r="P124" s="1125" t="s">
        <v>5</v>
      </c>
      <c r="Q124" s="1125" t="s">
        <v>5</v>
      </c>
      <c r="R124" s="1125" t="s">
        <v>5</v>
      </c>
      <c r="S124" s="1125" t="s">
        <v>5</v>
      </c>
      <c r="T124" s="1126">
        <f t="shared" si="8"/>
        <v>19</v>
      </c>
      <c r="U124" s="1077"/>
      <c r="V124" s="1106"/>
      <c r="W124" s="1109"/>
      <c r="X124" s="1080"/>
      <c r="AB124" s="1078"/>
      <c r="AC124" s="1081"/>
    </row>
    <row r="125" spans="1:29" s="1079" customFormat="1" ht="12.75" customHeight="1">
      <c r="A125" s="1127"/>
      <c r="B125" s="1090"/>
      <c r="C125" s="1090"/>
      <c r="D125" s="1090"/>
      <c r="E125" s="1090"/>
      <c r="F125" s="1090"/>
      <c r="G125" s="1090"/>
      <c r="H125" s="1090"/>
      <c r="I125" s="1090"/>
      <c r="J125" s="1090"/>
      <c r="K125" s="1090"/>
      <c r="L125" s="1090"/>
      <c r="M125" s="1090"/>
      <c r="N125" s="1090"/>
      <c r="O125" s="1090"/>
      <c r="P125" s="1090"/>
      <c r="Q125" s="1090"/>
      <c r="R125" s="1090"/>
      <c r="S125" s="1090"/>
      <c r="T125" s="1090"/>
      <c r="U125" s="1077"/>
      <c r="V125" s="1128"/>
      <c r="W125" s="1109"/>
      <c r="X125" s="1080"/>
      <c r="AB125" s="1078"/>
      <c r="AC125" s="1081"/>
    </row>
    <row r="126" spans="1:29" s="1079" customFormat="1" ht="12.75" customHeight="1">
      <c r="A126" s="1129"/>
      <c r="B126" s="1130"/>
      <c r="C126" s="1130"/>
      <c r="D126" s="1130"/>
      <c r="E126" s="1130"/>
      <c r="F126" s="1130"/>
      <c r="G126" s="1130"/>
      <c r="H126" s="1130"/>
      <c r="I126" s="1130"/>
      <c r="J126" s="1130"/>
      <c r="K126" s="1130"/>
      <c r="L126" s="1130"/>
      <c r="M126" s="1130"/>
      <c r="N126" s="1130"/>
      <c r="O126" s="1130"/>
      <c r="P126" s="1130"/>
      <c r="Q126" s="1130"/>
      <c r="R126" s="1130"/>
      <c r="S126" s="1130"/>
      <c r="T126" s="1130"/>
      <c r="U126" s="1077"/>
      <c r="V126" s="1128"/>
      <c r="W126" s="1109"/>
      <c r="X126" s="1080"/>
      <c r="AB126" s="1078"/>
      <c r="AC126" s="1081"/>
    </row>
    <row r="127" spans="1:29" s="1079" customFormat="1" ht="12.75" customHeight="1">
      <c r="A127" s="1271" t="s">
        <v>85</v>
      </c>
      <c r="B127" s="1271"/>
      <c r="C127" s="1131">
        <f>SUM(C11:C125)</f>
        <v>456.5</v>
      </c>
      <c r="D127" s="1131">
        <f>SUM(D11:D125)</f>
        <v>579.75</v>
      </c>
      <c r="E127" s="1131">
        <f aca="true" t="shared" si="9" ref="E127:S127">SUM(E11:E125)</f>
        <v>189.25</v>
      </c>
      <c r="F127" s="1131">
        <f t="shared" si="9"/>
        <v>593</v>
      </c>
      <c r="G127" s="1131">
        <f t="shared" si="9"/>
        <v>140.75</v>
      </c>
      <c r="H127" s="1131">
        <f t="shared" si="9"/>
        <v>53.25</v>
      </c>
      <c r="I127" s="1131">
        <f t="shared" si="9"/>
        <v>299</v>
      </c>
      <c r="J127" s="1131">
        <f t="shared" si="9"/>
        <v>313</v>
      </c>
      <c r="K127" s="1131">
        <f t="shared" si="9"/>
        <v>0</v>
      </c>
      <c r="L127" s="1131">
        <f t="shared" si="9"/>
        <v>0</v>
      </c>
      <c r="M127" s="1131">
        <f t="shared" si="9"/>
        <v>0</v>
      </c>
      <c r="N127" s="1131">
        <f t="shared" si="9"/>
        <v>3.5</v>
      </c>
      <c r="O127" s="1131">
        <f t="shared" si="9"/>
        <v>0</v>
      </c>
      <c r="P127" s="1131">
        <f t="shared" si="9"/>
        <v>4</v>
      </c>
      <c r="Q127" s="1131">
        <f t="shared" si="9"/>
        <v>0</v>
      </c>
      <c r="R127" s="1131">
        <f t="shared" si="9"/>
        <v>11.5</v>
      </c>
      <c r="S127" s="1131">
        <f t="shared" si="9"/>
        <v>81.5</v>
      </c>
      <c r="T127" s="1131">
        <f>SUM(T11:T124)</f>
        <v>2725</v>
      </c>
      <c r="U127" s="1077"/>
      <c r="X127" s="1080"/>
      <c r="AB127" s="1078"/>
      <c r="AC127" s="1081"/>
    </row>
    <row r="128" spans="1:29" s="1079" customFormat="1" ht="6" customHeight="1">
      <c r="A128" s="1132"/>
      <c r="B128" s="1133"/>
      <c r="C128" s="1133"/>
      <c r="D128" s="1133"/>
      <c r="E128" s="1133"/>
      <c r="F128" s="1133"/>
      <c r="G128" s="1133"/>
      <c r="H128" s="1133"/>
      <c r="I128" s="1133"/>
      <c r="J128" s="1133"/>
      <c r="K128" s="1133"/>
      <c r="L128" s="1133"/>
      <c r="M128" s="1133"/>
      <c r="N128" s="1133"/>
      <c r="O128" s="1133"/>
      <c r="P128" s="1133"/>
      <c r="Q128" s="1133"/>
      <c r="R128" s="1133"/>
      <c r="S128" s="1133"/>
      <c r="T128" s="1133"/>
      <c r="U128" s="1077"/>
      <c r="V128" s="1078"/>
      <c r="X128" s="1080"/>
      <c r="AB128" s="1078"/>
      <c r="AC128" s="1081"/>
    </row>
    <row r="129" spans="1:29" s="1079" customFormat="1" ht="12.75" customHeight="1">
      <c r="A129" s="1271" t="s">
        <v>86</v>
      </c>
      <c r="B129" s="1271"/>
      <c r="C129" s="1131">
        <f aca="true" t="shared" si="10" ref="C129:T129">C127/24</f>
        <v>19.020833333333332</v>
      </c>
      <c r="D129" s="1131">
        <f t="shared" si="10"/>
        <v>24.15625</v>
      </c>
      <c r="E129" s="1131">
        <f t="shared" si="10"/>
        <v>7.885416666666667</v>
      </c>
      <c r="F129" s="1131">
        <f t="shared" si="10"/>
        <v>24.708333333333332</v>
      </c>
      <c r="G129" s="1131">
        <f t="shared" si="10"/>
        <v>5.864583333333333</v>
      </c>
      <c r="H129" s="1131">
        <f>H127/24</f>
        <v>2.21875</v>
      </c>
      <c r="I129" s="1131">
        <f t="shared" si="10"/>
        <v>12.458333333333334</v>
      </c>
      <c r="J129" s="1131">
        <f>J127/24</f>
        <v>13.041666666666666</v>
      </c>
      <c r="K129" s="1131">
        <f t="shared" si="10"/>
        <v>0</v>
      </c>
      <c r="L129" s="1131">
        <f t="shared" si="10"/>
        <v>0</v>
      </c>
      <c r="M129" s="1131">
        <f>M127/24</f>
        <v>0</v>
      </c>
      <c r="N129" s="1131">
        <f t="shared" si="10"/>
        <v>0.14583333333333334</v>
      </c>
      <c r="O129" s="1131">
        <f>O127/24</f>
        <v>0</v>
      </c>
      <c r="P129" s="1131">
        <f t="shared" si="10"/>
        <v>0.16666666666666666</v>
      </c>
      <c r="Q129" s="1131">
        <f t="shared" si="10"/>
        <v>0</v>
      </c>
      <c r="R129" s="1131">
        <f t="shared" si="10"/>
        <v>0.4791666666666667</v>
      </c>
      <c r="S129" s="1131">
        <f t="shared" si="10"/>
        <v>3.3958333333333335</v>
      </c>
      <c r="T129" s="1131">
        <f t="shared" si="10"/>
        <v>113.54166666666667</v>
      </c>
      <c r="U129" s="1077"/>
      <c r="V129" s="1078"/>
      <c r="X129" s="1080"/>
      <c r="AB129" s="1078"/>
      <c r="AC129" s="1081"/>
    </row>
    <row r="130" spans="2:29" s="1079" customFormat="1" ht="9.75" customHeight="1">
      <c r="B130" s="1134"/>
      <c r="C130" s="1134"/>
      <c r="D130" s="1134"/>
      <c r="E130" s="1134"/>
      <c r="F130" s="1134"/>
      <c r="G130" s="1134"/>
      <c r="H130" s="1134"/>
      <c r="I130" s="1134"/>
      <c r="J130" s="1134"/>
      <c r="K130" s="1134"/>
      <c r="L130" s="1134"/>
      <c r="M130" s="1134"/>
      <c r="N130" s="1134"/>
      <c r="O130" s="1134"/>
      <c r="P130" s="1134"/>
      <c r="Q130" s="1134"/>
      <c r="R130" s="1134"/>
      <c r="S130" s="1134"/>
      <c r="T130" s="1134"/>
      <c r="U130" s="1077"/>
      <c r="V130" s="1078"/>
      <c r="X130" s="1080"/>
      <c r="AB130" s="1078"/>
      <c r="AC130" s="1081"/>
    </row>
    <row r="131" spans="1:29" s="1137" customFormat="1" ht="12.75">
      <c r="A131" s="1135" t="s">
        <v>774</v>
      </c>
      <c r="B131" s="1136"/>
      <c r="C131" s="1136"/>
      <c r="D131" s="1136"/>
      <c r="E131" s="1135"/>
      <c r="F131" s="1136"/>
      <c r="G131" s="1135" t="s">
        <v>901</v>
      </c>
      <c r="H131" s="1136"/>
      <c r="I131" s="1136"/>
      <c r="J131" s="1135"/>
      <c r="K131" s="1136"/>
      <c r="L131" s="1136"/>
      <c r="M131" s="1136"/>
      <c r="N131" s="1136"/>
      <c r="O131" s="1136"/>
      <c r="P131" s="1136"/>
      <c r="Q131" s="1136"/>
      <c r="R131" s="1136"/>
      <c r="S131" s="1136"/>
      <c r="T131" s="1136"/>
      <c r="U131" s="1077"/>
      <c r="V131" s="1077"/>
      <c r="X131" s="1138"/>
      <c r="AB131" s="1077"/>
      <c r="AC131" s="1139"/>
    </row>
    <row r="132" spans="1:29" ht="12.75">
      <c r="A132" s="1135" t="s">
        <v>775</v>
      </c>
      <c r="E132" s="1135"/>
      <c r="G132" s="1135" t="s">
        <v>902</v>
      </c>
      <c r="V132" s="1068"/>
      <c r="X132" s="1068"/>
      <c r="AB132" s="1068"/>
      <c r="AC132" s="1140"/>
    </row>
    <row r="133" spans="22:29" ht="12.75">
      <c r="V133" s="1068"/>
      <c r="X133" s="1068"/>
      <c r="AB133" s="1068"/>
      <c r="AC133" s="1140"/>
    </row>
    <row r="134" spans="1:29" ht="12.75">
      <c r="A134" s="1141"/>
      <c r="V134" s="1068"/>
      <c r="X134" s="1068"/>
      <c r="AB134" s="1068"/>
      <c r="AC134" s="1140"/>
    </row>
    <row r="135" spans="22:29" ht="12.75">
      <c r="V135" s="1068"/>
      <c r="X135" s="1068"/>
      <c r="AB135" s="1068"/>
      <c r="AC135" s="1140"/>
    </row>
    <row r="136" spans="22:29" ht="12.75">
      <c r="V136" s="1068"/>
      <c r="X136" s="1068"/>
      <c r="AB136" s="1068"/>
      <c r="AC136" s="1140"/>
    </row>
    <row r="137" spans="22:29" ht="12.75">
      <c r="V137" s="1068"/>
      <c r="X137" s="1068"/>
      <c r="AB137" s="1068"/>
      <c r="AC137" s="1140"/>
    </row>
    <row r="138" spans="22:29" ht="12.75">
      <c r="V138" s="1068"/>
      <c r="X138" s="1068"/>
      <c r="AB138" s="1068"/>
      <c r="AC138" s="1140"/>
    </row>
    <row r="139" spans="22:29" ht="12.75">
      <c r="V139" s="1068"/>
      <c r="X139" s="1068"/>
      <c r="AB139" s="1068"/>
      <c r="AC139" s="1140"/>
    </row>
    <row r="140" spans="22:29" ht="12.75">
      <c r="V140" s="1068"/>
      <c r="X140" s="1068"/>
      <c r="AB140" s="1068"/>
      <c r="AC140" s="1140"/>
    </row>
    <row r="141" spans="22:29" ht="12.75">
      <c r="V141" s="1068"/>
      <c r="X141" s="1068"/>
      <c r="AB141" s="1068"/>
      <c r="AC141" s="1140"/>
    </row>
    <row r="142" spans="22:29" ht="12.75">
      <c r="V142" s="1068"/>
      <c r="X142" s="1068"/>
      <c r="AB142" s="1068"/>
      <c r="AC142" s="1140"/>
    </row>
    <row r="143" spans="22:29" ht="12.75">
      <c r="V143" s="1068"/>
      <c r="X143" s="1068"/>
      <c r="AB143" s="1068"/>
      <c r="AC143" s="1140"/>
    </row>
    <row r="144" spans="22:29" ht="12.75">
      <c r="V144" s="1068"/>
      <c r="X144" s="1068"/>
      <c r="AB144" s="1068"/>
      <c r="AC144" s="1140"/>
    </row>
    <row r="145" spans="22:29" ht="12.75">
      <c r="V145" s="1068"/>
      <c r="X145" s="1068"/>
      <c r="AB145" s="1068"/>
      <c r="AC145" s="1140"/>
    </row>
    <row r="146" spans="22:29" ht="12.75">
      <c r="V146" s="1068"/>
      <c r="X146" s="1068"/>
      <c r="AB146" s="1068"/>
      <c r="AC146" s="1140"/>
    </row>
    <row r="147" spans="22:29" ht="12.75">
      <c r="V147" s="1068"/>
      <c r="X147" s="1068"/>
      <c r="AB147" s="1068"/>
      <c r="AC147" s="1140"/>
    </row>
    <row r="148" spans="22:29" ht="12.75">
      <c r="V148" s="1068"/>
      <c r="X148" s="1068"/>
      <c r="AB148" s="1068"/>
      <c r="AC148" s="1140"/>
    </row>
    <row r="149" spans="22:29" ht="12.75">
      <c r="V149" s="1068"/>
      <c r="X149" s="1068"/>
      <c r="AB149" s="1068"/>
      <c r="AC149" s="1140"/>
    </row>
    <row r="150" spans="22:29" ht="12.75">
      <c r="V150" s="1068"/>
      <c r="X150" s="1068"/>
      <c r="AB150" s="1068"/>
      <c r="AC150" s="1140"/>
    </row>
    <row r="151" spans="22:29" ht="12.75">
      <c r="V151" s="1068"/>
      <c r="X151" s="1068"/>
      <c r="AB151" s="1068"/>
      <c r="AC151" s="1140"/>
    </row>
    <row r="152" spans="22:29" ht="12.75">
      <c r="V152" s="1068"/>
      <c r="X152" s="1068"/>
      <c r="AB152" s="1068"/>
      <c r="AC152" s="1140"/>
    </row>
    <row r="153" spans="22:29" ht="12.75">
      <c r="V153" s="1068"/>
      <c r="X153" s="1068"/>
      <c r="AB153" s="1068"/>
      <c r="AC153" s="1140"/>
    </row>
    <row r="154" spans="22:29" ht="12.75">
      <c r="V154" s="1068"/>
      <c r="X154" s="1068"/>
      <c r="AB154" s="1068"/>
      <c r="AC154" s="1140"/>
    </row>
    <row r="155" spans="22:29" ht="12.75">
      <c r="V155" s="1068"/>
      <c r="X155" s="1068"/>
      <c r="AB155" s="1068"/>
      <c r="AC155" s="1140"/>
    </row>
    <row r="156" spans="22:29" ht="12.75">
      <c r="V156" s="1068"/>
      <c r="X156" s="1068"/>
      <c r="AB156" s="1068"/>
      <c r="AC156" s="1140"/>
    </row>
    <row r="157" spans="22:29" ht="12.75">
      <c r="V157" s="1068"/>
      <c r="X157" s="1068"/>
      <c r="AB157" s="1068"/>
      <c r="AC157" s="1140"/>
    </row>
    <row r="158" spans="22:29" ht="12.75">
      <c r="V158" s="1068"/>
      <c r="X158" s="1068"/>
      <c r="AB158" s="1068"/>
      <c r="AC158" s="1140"/>
    </row>
    <row r="159" spans="22:29" ht="12.75">
      <c r="V159" s="1068"/>
      <c r="X159" s="1068"/>
      <c r="AB159" s="1068"/>
      <c r="AC159" s="1140"/>
    </row>
    <row r="160" spans="22:29" ht="12.75">
      <c r="V160" s="1068"/>
      <c r="X160" s="1068"/>
      <c r="AB160" s="1068"/>
      <c r="AC160" s="1140"/>
    </row>
    <row r="161" spans="22:29" ht="12.75">
      <c r="V161" s="1068"/>
      <c r="X161" s="1068"/>
      <c r="AB161" s="1068"/>
      <c r="AC161" s="1140"/>
    </row>
    <row r="162" spans="22:28" ht="12.75">
      <c r="V162" s="1068"/>
      <c r="X162" s="1068"/>
      <c r="AB162" s="1068"/>
    </row>
    <row r="163" spans="22:28" ht="12.75">
      <c r="V163" s="1068"/>
      <c r="X163" s="1068"/>
      <c r="AB163" s="1068"/>
    </row>
  </sheetData>
  <sheetProtection/>
  <mergeCells count="43">
    <mergeCell ref="B81:C81"/>
    <mergeCell ref="B84:C84"/>
    <mergeCell ref="B73:C73"/>
    <mergeCell ref="A129:B129"/>
    <mergeCell ref="A127:B127"/>
    <mergeCell ref="B117:C117"/>
    <mergeCell ref="B118:C118"/>
    <mergeCell ref="B119:C119"/>
    <mergeCell ref="B120:C120"/>
    <mergeCell ref="B36:C36"/>
    <mergeCell ref="B62:C62"/>
    <mergeCell ref="B65:C65"/>
    <mergeCell ref="B54:C54"/>
    <mergeCell ref="B47:C47"/>
    <mergeCell ref="B48:C48"/>
    <mergeCell ref="B49:C49"/>
    <mergeCell ref="Q7:R7"/>
    <mergeCell ref="B35:C35"/>
    <mergeCell ref="B34:C34"/>
    <mergeCell ref="B33:C33"/>
    <mergeCell ref="L12:M13"/>
    <mergeCell ref="L31:M32"/>
    <mergeCell ref="I7:J7"/>
    <mergeCell ref="L93:M94"/>
    <mergeCell ref="A1:T1"/>
    <mergeCell ref="A4:T4"/>
    <mergeCell ref="E6:S6"/>
    <mergeCell ref="A2:T2"/>
    <mergeCell ref="B43:C43"/>
    <mergeCell ref="B23:C23"/>
    <mergeCell ref="B19:C19"/>
    <mergeCell ref="B37:C37"/>
    <mergeCell ref="B38:C38"/>
    <mergeCell ref="L51:M52"/>
    <mergeCell ref="L71:M72"/>
    <mergeCell ref="B40:C40"/>
    <mergeCell ref="B41:C41"/>
    <mergeCell ref="B42:C42"/>
    <mergeCell ref="B58:C58"/>
    <mergeCell ref="B59:C59"/>
    <mergeCell ref="B45:C45"/>
    <mergeCell ref="B46:C46"/>
    <mergeCell ref="B67:C67"/>
  </mergeCells>
  <printOptions horizontalCentered="1"/>
  <pageMargins left="0" right="0" top="0.5" bottom="0.5" header="0" footer="0.25"/>
  <pageSetup orientation="landscape" scale="90" r:id="rId1"/>
  <headerFooter alignWithMargins="0">
    <oddHeader>&amp;R
</oddHeader>
    <oddFooter>&amp;L&amp;"Arial,Regular"&amp;8&amp;F&amp;C&amp;"Arial,Regular"&amp;8Page &amp;P of &amp;N&amp;R&amp;"Arial,Regular"&amp;8M. Storms, 17 August 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26.625" style="0" bestFit="1" customWidth="1"/>
    <col min="2" max="6" width="8.875" style="0" customWidth="1"/>
  </cols>
  <sheetData>
    <row r="1" spans="1:6" ht="18">
      <c r="A1" s="1158" t="s">
        <v>245</v>
      </c>
      <c r="B1" s="1158"/>
      <c r="C1" s="1158"/>
      <c r="D1" s="1158"/>
      <c r="E1" s="1158"/>
      <c r="F1" s="53"/>
    </row>
    <row r="2" spans="1:6" ht="18">
      <c r="A2" s="1158" t="s">
        <v>246</v>
      </c>
      <c r="B2" s="1158"/>
      <c r="C2" s="1158"/>
      <c r="D2" s="1158"/>
      <c r="E2" s="1158"/>
      <c r="F2" s="53"/>
    </row>
    <row r="3" spans="1:6" ht="18">
      <c r="A3" s="61"/>
      <c r="B3" s="61"/>
      <c r="C3" s="61"/>
      <c r="D3" s="61"/>
      <c r="E3" s="61"/>
      <c r="F3" s="53"/>
    </row>
    <row r="4" spans="1:6" ht="18">
      <c r="A4" s="1159" t="s">
        <v>803</v>
      </c>
      <c r="B4" s="1159"/>
      <c r="C4" s="1159"/>
      <c r="D4" s="1159"/>
      <c r="E4" s="1159"/>
      <c r="F4" s="53"/>
    </row>
    <row r="5" spans="1:6" ht="12.75">
      <c r="A5" s="129"/>
      <c r="B5" s="20"/>
      <c r="C5" s="20"/>
      <c r="D5" s="20"/>
      <c r="E5" s="20"/>
      <c r="F5" s="20"/>
    </row>
    <row r="6" spans="1:6" ht="12">
      <c r="A6" s="120" t="s">
        <v>28</v>
      </c>
      <c r="B6" s="120" t="s">
        <v>62</v>
      </c>
      <c r="C6" s="120" t="s">
        <v>70</v>
      </c>
      <c r="D6" s="122" t="s">
        <v>70</v>
      </c>
      <c r="E6" s="1152" t="s">
        <v>69</v>
      </c>
      <c r="F6" s="119"/>
    </row>
    <row r="7" spans="1:6" ht="12">
      <c r="A7" s="124" t="s">
        <v>61</v>
      </c>
      <c r="B7" s="124" t="s">
        <v>61</v>
      </c>
      <c r="C7" s="124" t="s">
        <v>61</v>
      </c>
      <c r="D7" s="125" t="s">
        <v>792</v>
      </c>
      <c r="E7" s="1153" t="s">
        <v>316</v>
      </c>
      <c r="F7" s="119"/>
    </row>
    <row r="8" spans="1:6" ht="12">
      <c r="A8" s="1149"/>
      <c r="B8" s="1149"/>
      <c r="C8" s="1150"/>
      <c r="D8" s="1151"/>
      <c r="E8" s="1151"/>
      <c r="F8" s="300"/>
    </row>
    <row r="9" spans="1:6" ht="12">
      <c r="A9" s="318" t="s">
        <v>778</v>
      </c>
      <c r="B9" s="428" t="s">
        <v>157</v>
      </c>
      <c r="C9" s="646" t="s">
        <v>779</v>
      </c>
      <c r="D9" s="647" t="s">
        <v>783</v>
      </c>
      <c r="E9" s="647">
        <v>42.3</v>
      </c>
      <c r="F9" s="308"/>
    </row>
    <row r="10" spans="1:6" ht="12">
      <c r="A10" s="711"/>
      <c r="B10" s="711"/>
      <c r="C10" s="707" t="s">
        <v>780</v>
      </c>
      <c r="D10" s="427" t="s">
        <v>783</v>
      </c>
      <c r="E10" s="647">
        <v>63.3</v>
      </c>
      <c r="F10" s="308"/>
    </row>
    <row r="11" spans="1:6" ht="12">
      <c r="A11" s="711"/>
      <c r="B11" s="711"/>
      <c r="C11" s="707" t="s">
        <v>781</v>
      </c>
      <c r="D11" s="427" t="s">
        <v>783</v>
      </c>
      <c r="E11" s="647">
        <v>82.3</v>
      </c>
      <c r="F11" s="317"/>
    </row>
    <row r="12" spans="1:6" ht="12">
      <c r="A12" s="711"/>
      <c r="B12" s="711"/>
      <c r="C12" s="707" t="s">
        <v>782</v>
      </c>
      <c r="D12" s="427" t="s">
        <v>783</v>
      </c>
      <c r="E12" s="647">
        <v>112.8</v>
      </c>
      <c r="F12" s="317"/>
    </row>
    <row r="13" spans="1:6" ht="12">
      <c r="A13" s="711"/>
      <c r="B13" s="711"/>
      <c r="C13" s="712" t="s">
        <v>784</v>
      </c>
      <c r="D13" s="427" t="s">
        <v>309</v>
      </c>
      <c r="E13" s="647">
        <v>164.5</v>
      </c>
      <c r="F13" s="317"/>
    </row>
    <row r="14" spans="1:6" ht="12">
      <c r="A14" s="711"/>
      <c r="B14" s="711"/>
      <c r="C14" s="712" t="s">
        <v>784</v>
      </c>
      <c r="D14" s="427" t="s">
        <v>309</v>
      </c>
      <c r="E14" s="647">
        <v>214.6</v>
      </c>
      <c r="F14" s="317"/>
    </row>
    <row r="15" spans="1:6" ht="12">
      <c r="A15" s="318" t="s">
        <v>791</v>
      </c>
      <c r="B15" s="428" t="s">
        <v>350</v>
      </c>
      <c r="C15" s="646" t="s">
        <v>785</v>
      </c>
      <c r="D15" s="647" t="s">
        <v>786</v>
      </c>
      <c r="E15" s="647">
        <v>33.9</v>
      </c>
      <c r="F15" s="416"/>
    </row>
    <row r="16" spans="1:6" ht="12">
      <c r="A16" s="713"/>
      <c r="B16" s="428"/>
      <c r="C16" s="646" t="s">
        <v>787</v>
      </c>
      <c r="D16" s="647" t="s">
        <v>786</v>
      </c>
      <c r="E16" s="647">
        <v>52.9</v>
      </c>
      <c r="F16" s="416"/>
    </row>
    <row r="17" spans="1:6" ht="12">
      <c r="A17" s="713"/>
      <c r="B17" s="428"/>
      <c r="C17" s="646" t="s">
        <v>780</v>
      </c>
      <c r="D17" s="647" t="s">
        <v>786</v>
      </c>
      <c r="E17" s="647">
        <v>71.7</v>
      </c>
      <c r="F17" s="416"/>
    </row>
    <row r="18" spans="1:6" ht="12">
      <c r="A18" s="713"/>
      <c r="B18" s="428"/>
      <c r="C18" s="712" t="s">
        <v>784</v>
      </c>
      <c r="D18" s="647" t="s">
        <v>309</v>
      </c>
      <c r="E18" s="647">
        <v>151.7</v>
      </c>
      <c r="F18" s="416"/>
    </row>
    <row r="19" spans="1:6" ht="12">
      <c r="A19" s="713"/>
      <c r="B19" s="428"/>
      <c r="C19" s="712" t="s">
        <v>784</v>
      </c>
      <c r="D19" s="647" t="s">
        <v>309</v>
      </c>
      <c r="E19" s="647">
        <v>220.3</v>
      </c>
      <c r="F19" s="416"/>
    </row>
    <row r="20" spans="1:6" ht="12">
      <c r="A20" s="713"/>
      <c r="B20" s="428" t="s">
        <v>6</v>
      </c>
      <c r="C20" s="712" t="s">
        <v>784</v>
      </c>
      <c r="D20" s="647" t="s">
        <v>309</v>
      </c>
      <c r="E20" s="647">
        <v>300</v>
      </c>
      <c r="F20" s="308"/>
    </row>
    <row r="21" spans="1:6" ht="12">
      <c r="A21" s="318" t="s">
        <v>790</v>
      </c>
      <c r="B21" s="428" t="s">
        <v>181</v>
      </c>
      <c r="C21" s="646" t="s">
        <v>785</v>
      </c>
      <c r="D21" s="647" t="s">
        <v>788</v>
      </c>
      <c r="E21" s="647">
        <v>30.8</v>
      </c>
      <c r="F21" s="323"/>
    </row>
    <row r="22" spans="1:6" ht="12">
      <c r="A22" s="428"/>
      <c r="B22" s="711"/>
      <c r="C22" s="646" t="s">
        <v>779</v>
      </c>
      <c r="D22" s="647" t="s">
        <v>783</v>
      </c>
      <c r="E22" s="647">
        <v>40.3</v>
      </c>
      <c r="F22" s="323"/>
    </row>
    <row r="23" spans="1:6" ht="12">
      <c r="A23" s="428"/>
      <c r="B23" s="428" t="s">
        <v>6</v>
      </c>
      <c r="C23" s="646" t="s">
        <v>789</v>
      </c>
      <c r="D23" s="647" t="s">
        <v>788</v>
      </c>
      <c r="E23" s="647">
        <v>59.3</v>
      </c>
      <c r="F23" s="331"/>
    </row>
    <row r="24" spans="1:6" ht="12">
      <c r="A24" s="428"/>
      <c r="B24" s="711"/>
      <c r="C24" s="712" t="s">
        <v>784</v>
      </c>
      <c r="D24" s="647" t="s">
        <v>309</v>
      </c>
      <c r="E24" s="647">
        <v>115.8</v>
      </c>
      <c r="F24" s="331"/>
    </row>
    <row r="25" spans="1:6" ht="12">
      <c r="A25" s="428"/>
      <c r="B25" s="428"/>
      <c r="C25" s="712" t="s">
        <v>784</v>
      </c>
      <c r="D25" s="647" t="s">
        <v>309</v>
      </c>
      <c r="E25" s="647">
        <v>200</v>
      </c>
      <c r="F25" s="331"/>
    </row>
    <row r="26" spans="1:6" ht="12">
      <c r="A26" s="428"/>
      <c r="B26" s="428" t="s">
        <v>352</v>
      </c>
      <c r="C26" s="646" t="s">
        <v>785</v>
      </c>
      <c r="D26" s="647" t="s">
        <v>783</v>
      </c>
      <c r="E26" s="647">
        <v>35.9</v>
      </c>
      <c r="F26" s="331"/>
    </row>
    <row r="27" spans="1:6" ht="12">
      <c r="A27" s="428"/>
      <c r="B27" s="428"/>
      <c r="C27" s="646" t="s">
        <v>779</v>
      </c>
      <c r="D27" s="647" t="s">
        <v>783</v>
      </c>
      <c r="E27" s="647">
        <v>44.9</v>
      </c>
      <c r="F27" s="331"/>
    </row>
    <row r="28" spans="1:6" ht="12">
      <c r="A28" s="318" t="s">
        <v>793</v>
      </c>
      <c r="B28" s="428" t="s">
        <v>353</v>
      </c>
      <c r="C28" s="646" t="s">
        <v>785</v>
      </c>
      <c r="D28" s="647" t="s">
        <v>788</v>
      </c>
      <c r="E28" s="647">
        <v>31.2</v>
      </c>
      <c r="F28" s="308"/>
    </row>
    <row r="29" spans="1:6" ht="12">
      <c r="A29" s="711"/>
      <c r="B29" s="428"/>
      <c r="C29" s="646" t="s">
        <v>787</v>
      </c>
      <c r="D29" s="647" t="s">
        <v>788</v>
      </c>
      <c r="E29" s="647">
        <v>50.2</v>
      </c>
      <c r="F29" s="308"/>
    </row>
    <row r="30" spans="1:6" ht="12">
      <c r="A30" s="711"/>
      <c r="B30" s="428"/>
      <c r="C30" s="646" t="s">
        <v>780</v>
      </c>
      <c r="D30" s="647" t="s">
        <v>788</v>
      </c>
      <c r="E30" s="647">
        <v>69.2</v>
      </c>
      <c r="F30" s="308"/>
    </row>
    <row r="31" spans="1:6" ht="12">
      <c r="A31" s="711"/>
      <c r="B31" s="428"/>
      <c r="C31" s="712" t="s">
        <v>784</v>
      </c>
      <c r="D31" s="647" t="s">
        <v>309</v>
      </c>
      <c r="E31" s="647">
        <v>115.2</v>
      </c>
      <c r="F31" s="308"/>
    </row>
    <row r="32" spans="1:6" ht="12">
      <c r="A32" s="711"/>
      <c r="B32" s="428"/>
      <c r="C32" s="712" t="s">
        <v>784</v>
      </c>
      <c r="D32" s="647" t="s">
        <v>309</v>
      </c>
      <c r="E32" s="647">
        <v>174.2</v>
      </c>
      <c r="F32" s="308"/>
    </row>
    <row r="33" spans="1:6" ht="12">
      <c r="A33" s="711"/>
      <c r="B33" s="428" t="s">
        <v>488</v>
      </c>
      <c r="C33" s="712" t="s">
        <v>784</v>
      </c>
      <c r="D33" s="647" t="s">
        <v>309</v>
      </c>
      <c r="E33" s="647">
        <v>260</v>
      </c>
      <c r="F33" s="308"/>
    </row>
    <row r="34" spans="1:6" ht="12">
      <c r="A34" s="318" t="s">
        <v>794</v>
      </c>
      <c r="B34" s="428" t="s">
        <v>305</v>
      </c>
      <c r="C34" s="712" t="s">
        <v>784</v>
      </c>
      <c r="D34" s="647" t="s">
        <v>309</v>
      </c>
      <c r="E34" s="647">
        <v>32.4</v>
      </c>
      <c r="F34" s="323"/>
    </row>
    <row r="35" spans="1:6" ht="12">
      <c r="A35" s="428"/>
      <c r="B35" s="428"/>
      <c r="C35" s="712" t="s">
        <v>784</v>
      </c>
      <c r="D35" s="647" t="s">
        <v>309</v>
      </c>
      <c r="E35" s="647">
        <v>99.2</v>
      </c>
      <c r="F35" s="323"/>
    </row>
    <row r="36" spans="1:6" ht="12">
      <c r="A36" s="428"/>
      <c r="B36" s="428"/>
      <c r="C36" s="712" t="s">
        <v>784</v>
      </c>
      <c r="D36" s="647" t="s">
        <v>309</v>
      </c>
      <c r="E36" s="647">
        <v>176.1</v>
      </c>
      <c r="F36" s="323"/>
    </row>
    <row r="37" spans="1:6" ht="12">
      <c r="A37" s="428"/>
      <c r="B37" s="428" t="s">
        <v>310</v>
      </c>
      <c r="C37" s="712" t="s">
        <v>784</v>
      </c>
      <c r="D37" s="647" t="s">
        <v>309</v>
      </c>
      <c r="E37" s="647">
        <v>59.8</v>
      </c>
      <c r="F37" s="323"/>
    </row>
    <row r="38" spans="1:6" ht="12">
      <c r="A38" s="428"/>
      <c r="B38" s="428"/>
      <c r="C38" s="712" t="s">
        <v>784</v>
      </c>
      <c r="D38" s="647" t="s">
        <v>309</v>
      </c>
      <c r="E38" s="647">
        <v>126.8</v>
      </c>
      <c r="F38" s="323"/>
    </row>
    <row r="39" spans="1:6" ht="12">
      <c r="A39" s="428"/>
      <c r="B39" s="428"/>
      <c r="C39" s="712" t="s">
        <v>784</v>
      </c>
      <c r="D39" s="647" t="s">
        <v>309</v>
      </c>
      <c r="E39" s="647">
        <v>203.8</v>
      </c>
      <c r="F39" s="323"/>
    </row>
    <row r="40" spans="1:6" ht="12">
      <c r="A40" s="318" t="s">
        <v>795</v>
      </c>
      <c r="B40" s="428" t="s">
        <v>500</v>
      </c>
      <c r="C40" s="646" t="s">
        <v>785</v>
      </c>
      <c r="D40" s="647" t="s">
        <v>788</v>
      </c>
      <c r="E40" s="647">
        <v>33</v>
      </c>
      <c r="F40" s="308"/>
    </row>
    <row r="41" spans="1:6" ht="12">
      <c r="A41" s="428"/>
      <c r="B41" s="428"/>
      <c r="C41" s="646" t="s">
        <v>787</v>
      </c>
      <c r="D41" s="647" t="s">
        <v>788</v>
      </c>
      <c r="E41" s="647">
        <v>52</v>
      </c>
      <c r="F41" s="308"/>
    </row>
    <row r="42" spans="1:6" ht="12">
      <c r="A42" s="428"/>
      <c r="B42" s="428"/>
      <c r="C42" s="646" t="s">
        <v>780</v>
      </c>
      <c r="D42" s="647" t="s">
        <v>788</v>
      </c>
      <c r="E42" s="647">
        <v>71</v>
      </c>
      <c r="F42" s="308"/>
    </row>
    <row r="43" spans="1:6" ht="12">
      <c r="A43" s="428"/>
      <c r="B43" s="428"/>
      <c r="C43" s="712" t="s">
        <v>784</v>
      </c>
      <c r="D43" s="647" t="s">
        <v>309</v>
      </c>
      <c r="E43" s="647">
        <v>150</v>
      </c>
      <c r="F43" s="308"/>
    </row>
    <row r="44" spans="1:6" ht="12">
      <c r="A44" s="428"/>
      <c r="B44" s="428"/>
      <c r="C44" s="712" t="s">
        <v>784</v>
      </c>
      <c r="D44" s="647" t="s">
        <v>309</v>
      </c>
      <c r="E44" s="647">
        <v>169.2</v>
      </c>
      <c r="F44" s="308"/>
    </row>
    <row r="45" spans="1:6" ht="12">
      <c r="A45" s="428"/>
      <c r="B45" s="428"/>
      <c r="C45" s="712" t="s">
        <v>784</v>
      </c>
      <c r="D45" s="647" t="s">
        <v>309</v>
      </c>
      <c r="E45" s="647">
        <v>180</v>
      </c>
      <c r="F45" s="308"/>
    </row>
    <row r="46" spans="1:6" ht="12">
      <c r="A46" s="318" t="s">
        <v>796</v>
      </c>
      <c r="B46" s="428" t="s">
        <v>532</v>
      </c>
      <c r="C46" s="646" t="s">
        <v>785</v>
      </c>
      <c r="D46" s="647" t="s">
        <v>788</v>
      </c>
      <c r="E46" s="647">
        <v>38.1</v>
      </c>
      <c r="F46" s="308"/>
    </row>
    <row r="47" spans="1:6" ht="12">
      <c r="A47" s="428"/>
      <c r="B47" s="428"/>
      <c r="C47" s="646" t="s">
        <v>787</v>
      </c>
      <c r="D47" s="647" t="s">
        <v>788</v>
      </c>
      <c r="E47" s="647">
        <v>57.1</v>
      </c>
      <c r="F47" s="308"/>
    </row>
    <row r="48" spans="1:6" ht="12">
      <c r="A48" s="428"/>
      <c r="B48" s="428"/>
      <c r="C48" s="646" t="s">
        <v>780</v>
      </c>
      <c r="D48" s="647" t="s">
        <v>788</v>
      </c>
      <c r="E48" s="647">
        <v>76.1</v>
      </c>
      <c r="F48" s="308"/>
    </row>
    <row r="49" spans="1:6" ht="12">
      <c r="A49" s="428"/>
      <c r="B49" s="428"/>
      <c r="C49" s="712" t="s">
        <v>784</v>
      </c>
      <c r="D49" s="647" t="s">
        <v>309</v>
      </c>
      <c r="E49" s="647">
        <v>136.2</v>
      </c>
      <c r="F49" s="308"/>
    </row>
    <row r="50" spans="1:6" ht="12">
      <c r="A50" s="428"/>
      <c r="B50" s="428"/>
      <c r="C50" s="712" t="s">
        <v>784</v>
      </c>
      <c r="D50" s="647" t="s">
        <v>309</v>
      </c>
      <c r="E50" s="647">
        <v>193.8</v>
      </c>
      <c r="F50" s="308"/>
    </row>
    <row r="51" spans="1:6" ht="12">
      <c r="A51" s="318" t="s">
        <v>798</v>
      </c>
      <c r="B51" s="428" t="s">
        <v>559</v>
      </c>
      <c r="C51" s="646" t="s">
        <v>785</v>
      </c>
      <c r="D51" s="647" t="s">
        <v>788</v>
      </c>
      <c r="E51" s="647">
        <v>35.5</v>
      </c>
      <c r="F51" s="308"/>
    </row>
    <row r="52" spans="1:6" ht="12">
      <c r="A52" s="714" t="s">
        <v>797</v>
      </c>
      <c r="B52" s="428"/>
      <c r="C52" s="646" t="s">
        <v>787</v>
      </c>
      <c r="D52" s="647" t="s">
        <v>788</v>
      </c>
      <c r="E52" s="647">
        <v>54.5</v>
      </c>
      <c r="F52" s="308"/>
    </row>
    <row r="53" spans="1:6" ht="12">
      <c r="A53" s="428"/>
      <c r="B53" s="428"/>
      <c r="C53" s="646" t="s">
        <v>780</v>
      </c>
      <c r="D53" s="647" t="s">
        <v>788</v>
      </c>
      <c r="E53" s="647">
        <v>65.8</v>
      </c>
      <c r="F53" s="308"/>
    </row>
    <row r="54" spans="1:6" ht="12">
      <c r="A54" s="428"/>
      <c r="B54" s="428"/>
      <c r="C54" s="712" t="s">
        <v>784</v>
      </c>
      <c r="D54" s="647" t="s">
        <v>309</v>
      </c>
      <c r="E54" s="647">
        <v>125.4</v>
      </c>
      <c r="F54" s="308"/>
    </row>
    <row r="55" spans="1:6" ht="12">
      <c r="A55" s="428"/>
      <c r="B55" s="428"/>
      <c r="C55" s="712" t="s">
        <v>784</v>
      </c>
      <c r="D55" s="647" t="s">
        <v>309</v>
      </c>
      <c r="E55" s="647">
        <v>144.6</v>
      </c>
      <c r="F55" s="308"/>
    </row>
    <row r="56" spans="1:6" ht="12">
      <c r="A56" s="428"/>
      <c r="B56" s="428"/>
      <c r="C56" s="712" t="s">
        <v>784</v>
      </c>
      <c r="D56" s="647" t="s">
        <v>309</v>
      </c>
      <c r="E56" s="647">
        <v>182.6</v>
      </c>
      <c r="F56" s="308"/>
    </row>
    <row r="57" spans="1:6" ht="12">
      <c r="A57" s="428"/>
      <c r="B57" s="428"/>
      <c r="C57" s="712" t="s">
        <v>784</v>
      </c>
      <c r="D57" s="647" t="s">
        <v>309</v>
      </c>
      <c r="E57" s="647">
        <v>209.8</v>
      </c>
      <c r="F57" s="308"/>
    </row>
    <row r="58" spans="1:6" ht="12">
      <c r="A58" s="428"/>
      <c r="B58" s="428"/>
      <c r="C58" s="712" t="s">
        <v>784</v>
      </c>
      <c r="D58" s="647" t="s">
        <v>309</v>
      </c>
      <c r="E58" s="647">
        <v>217</v>
      </c>
      <c r="F58" s="308"/>
    </row>
    <row r="59" spans="1:6" ht="12">
      <c r="A59" s="318" t="s">
        <v>799</v>
      </c>
      <c r="B59" s="428" t="s">
        <v>595</v>
      </c>
      <c r="C59" s="646" t="s">
        <v>785</v>
      </c>
      <c r="D59" s="647" t="s">
        <v>788</v>
      </c>
      <c r="E59" s="647">
        <v>33</v>
      </c>
      <c r="F59" s="308"/>
    </row>
    <row r="60" spans="1:6" ht="12">
      <c r="A60" s="428"/>
      <c r="B60" s="428"/>
      <c r="C60" s="646" t="s">
        <v>787</v>
      </c>
      <c r="D60" s="647" t="s">
        <v>788</v>
      </c>
      <c r="E60" s="647">
        <v>52</v>
      </c>
      <c r="F60" s="308"/>
    </row>
    <row r="61" spans="1:6" ht="12">
      <c r="A61" s="428"/>
      <c r="B61" s="428"/>
      <c r="C61" s="646" t="s">
        <v>780</v>
      </c>
      <c r="D61" s="647" t="s">
        <v>788</v>
      </c>
      <c r="E61" s="647">
        <v>71</v>
      </c>
      <c r="F61" s="308"/>
    </row>
    <row r="62" spans="1:6" ht="12">
      <c r="A62" s="428"/>
      <c r="B62" s="428"/>
      <c r="C62" s="712" t="s">
        <v>784</v>
      </c>
      <c r="D62" s="647" t="s">
        <v>309</v>
      </c>
      <c r="E62" s="647">
        <v>203.9</v>
      </c>
      <c r="F62" s="308"/>
    </row>
    <row r="63" spans="1:6" ht="12">
      <c r="A63" s="428"/>
      <c r="B63" s="428"/>
      <c r="C63" s="712" t="s">
        <v>784</v>
      </c>
      <c r="D63" s="647" t="s">
        <v>309</v>
      </c>
      <c r="E63" s="647">
        <v>330</v>
      </c>
      <c r="F63" s="308"/>
    </row>
    <row r="64" spans="1:6" ht="12">
      <c r="A64" s="428"/>
      <c r="B64" s="428"/>
      <c r="C64" s="712" t="s">
        <v>784</v>
      </c>
      <c r="D64" s="647" t="s">
        <v>309</v>
      </c>
      <c r="E64" s="647">
        <v>366.8</v>
      </c>
      <c r="F64" s="308"/>
    </row>
    <row r="65" spans="1:6" ht="12">
      <c r="A65" s="428"/>
      <c r="B65" s="428"/>
      <c r="C65" s="712" t="s">
        <v>784</v>
      </c>
      <c r="D65" s="647" t="s">
        <v>309</v>
      </c>
      <c r="E65" s="647">
        <v>414.7</v>
      </c>
      <c r="F65" s="308"/>
    </row>
    <row r="66" spans="1:6" ht="12">
      <c r="A66" s="428"/>
      <c r="B66" s="428"/>
      <c r="C66" s="712" t="s">
        <v>784</v>
      </c>
      <c r="D66" s="647" t="s">
        <v>309</v>
      </c>
      <c r="E66" s="647">
        <v>501.6</v>
      </c>
      <c r="F66" s="308"/>
    </row>
    <row r="67" spans="1:6" ht="12">
      <c r="A67" s="715"/>
      <c r="B67" s="715"/>
      <c r="C67" s="712" t="s">
        <v>784</v>
      </c>
      <c r="D67" s="647" t="s">
        <v>309</v>
      </c>
      <c r="E67" s="647">
        <v>587.8</v>
      </c>
      <c r="F67" s="328"/>
    </row>
    <row r="68" spans="1:6" ht="12">
      <c r="A68" s="428"/>
      <c r="B68" s="428"/>
      <c r="C68" s="712" t="s">
        <v>784</v>
      </c>
      <c r="D68" s="647" t="s">
        <v>309</v>
      </c>
      <c r="E68" s="647">
        <v>625</v>
      </c>
      <c r="F68" s="308"/>
    </row>
    <row r="69" spans="1:6" ht="12">
      <c r="A69" s="428"/>
      <c r="B69" s="428"/>
      <c r="C69" s="712" t="s">
        <v>784</v>
      </c>
      <c r="D69" s="647" t="s">
        <v>309</v>
      </c>
      <c r="E69" s="647">
        <v>662.7</v>
      </c>
      <c r="F69" s="308"/>
    </row>
    <row r="70" spans="1:6" ht="12">
      <c r="A70" s="318" t="s">
        <v>800</v>
      </c>
      <c r="B70" s="428" t="s">
        <v>657</v>
      </c>
      <c r="C70" s="646" t="s">
        <v>785</v>
      </c>
      <c r="D70" s="647" t="s">
        <v>788</v>
      </c>
      <c r="E70" s="647">
        <v>35.9</v>
      </c>
      <c r="F70" s="308"/>
    </row>
    <row r="71" spans="1:6" ht="12">
      <c r="A71" s="428"/>
      <c r="B71" s="428"/>
      <c r="C71" s="646" t="s">
        <v>787</v>
      </c>
      <c r="D71" s="647" t="s">
        <v>788</v>
      </c>
      <c r="E71" s="647">
        <v>54.9</v>
      </c>
      <c r="F71" s="308"/>
    </row>
    <row r="72" spans="1:6" ht="12">
      <c r="A72" s="428"/>
      <c r="B72" s="428"/>
      <c r="C72" s="646" t="s">
        <v>780</v>
      </c>
      <c r="D72" s="647" t="s">
        <v>788</v>
      </c>
      <c r="E72" s="647">
        <v>73.9</v>
      </c>
      <c r="F72" s="308"/>
    </row>
    <row r="73" spans="1:6" ht="12">
      <c r="A73" s="428"/>
      <c r="B73" s="428"/>
      <c r="C73" s="712" t="s">
        <v>784</v>
      </c>
      <c r="D73" s="647" t="s">
        <v>309</v>
      </c>
      <c r="E73" s="647">
        <v>135.2</v>
      </c>
      <c r="F73" s="308"/>
    </row>
    <row r="74" spans="1:6" ht="12">
      <c r="A74" s="428"/>
      <c r="B74" s="428"/>
      <c r="C74" s="712" t="s">
        <v>784</v>
      </c>
      <c r="D74" s="647" t="s">
        <v>309</v>
      </c>
      <c r="E74" s="647">
        <v>190</v>
      </c>
      <c r="F74" s="308"/>
    </row>
    <row r="75" spans="1:6" ht="12">
      <c r="A75" s="318" t="s">
        <v>801</v>
      </c>
      <c r="B75" s="428" t="s">
        <v>659</v>
      </c>
      <c r="C75" s="646" t="s">
        <v>785</v>
      </c>
      <c r="D75" s="647" t="s">
        <v>788</v>
      </c>
      <c r="E75" s="647">
        <v>33.8</v>
      </c>
      <c r="F75" s="308"/>
    </row>
    <row r="76" spans="1:6" ht="12">
      <c r="A76" s="428" t="s">
        <v>6</v>
      </c>
      <c r="B76" s="428"/>
      <c r="C76" s="646" t="s">
        <v>787</v>
      </c>
      <c r="D76" s="647" t="s">
        <v>788</v>
      </c>
      <c r="E76" s="647">
        <v>52.8</v>
      </c>
      <c r="F76" s="308"/>
    </row>
    <row r="77" spans="1:6" ht="12">
      <c r="A77" s="428"/>
      <c r="B77" s="428"/>
      <c r="C77" s="646" t="s">
        <v>780</v>
      </c>
      <c r="D77" s="647" t="s">
        <v>788</v>
      </c>
      <c r="E77" s="647">
        <v>66.3</v>
      </c>
      <c r="F77" s="308"/>
    </row>
    <row r="78" spans="1:6" ht="12">
      <c r="A78" s="428"/>
      <c r="B78" s="428"/>
      <c r="C78" s="712" t="s">
        <v>784</v>
      </c>
      <c r="D78" s="647" t="s">
        <v>309</v>
      </c>
      <c r="E78" s="647">
        <v>117.4</v>
      </c>
      <c r="F78" s="308"/>
    </row>
    <row r="79" spans="1:6" ht="12">
      <c r="A79" s="428"/>
      <c r="B79" s="428"/>
      <c r="C79" s="712" t="s">
        <v>784</v>
      </c>
      <c r="D79" s="647" t="s">
        <v>309</v>
      </c>
      <c r="E79" s="647">
        <v>157.9</v>
      </c>
      <c r="F79" s="308"/>
    </row>
    <row r="80" spans="1:6" ht="12">
      <c r="A80" s="428"/>
      <c r="B80" s="428"/>
      <c r="C80" s="712" t="s">
        <v>784</v>
      </c>
      <c r="D80" s="647" t="s">
        <v>309</v>
      </c>
      <c r="E80" s="647">
        <v>196.3</v>
      </c>
      <c r="F80" s="308"/>
    </row>
    <row r="81" spans="1:6" ht="12">
      <c r="A81" s="428"/>
      <c r="B81" s="428"/>
      <c r="C81" s="712" t="s">
        <v>784</v>
      </c>
      <c r="D81" s="647" t="s">
        <v>309</v>
      </c>
      <c r="E81" s="647">
        <v>300</v>
      </c>
      <c r="F81" s="308"/>
    </row>
    <row r="82" spans="1:6" ht="12">
      <c r="A82" s="428"/>
      <c r="B82" s="428"/>
      <c r="C82" s="712" t="s">
        <v>784</v>
      </c>
      <c r="D82" s="647" t="s">
        <v>309</v>
      </c>
      <c r="E82" s="647">
        <v>305</v>
      </c>
      <c r="F82" s="308"/>
    </row>
    <row r="83" spans="1:6" ht="12">
      <c r="A83" s="318" t="s">
        <v>802</v>
      </c>
      <c r="B83" s="428" t="s">
        <v>663</v>
      </c>
      <c r="C83" s="646" t="s">
        <v>785</v>
      </c>
      <c r="D83" s="647" t="s">
        <v>788</v>
      </c>
      <c r="E83" s="647">
        <v>32.5</v>
      </c>
      <c r="F83" s="308"/>
    </row>
    <row r="84" spans="1:6" ht="12">
      <c r="A84" s="428" t="s">
        <v>6</v>
      </c>
      <c r="B84" s="428" t="s">
        <v>6</v>
      </c>
      <c r="C84" s="712" t="s">
        <v>784</v>
      </c>
      <c r="D84" s="647" t="s">
        <v>309</v>
      </c>
      <c r="E84" s="647">
        <v>70.9</v>
      </c>
      <c r="F84" s="308"/>
    </row>
    <row r="85" spans="1:6" ht="12">
      <c r="A85" s="77"/>
      <c r="B85" s="7"/>
      <c r="C85" s="1"/>
      <c r="D85" s="8"/>
      <c r="E85" s="8"/>
      <c r="F85" s="1"/>
    </row>
  </sheetData>
  <sheetProtection/>
  <mergeCells count="3">
    <mergeCell ref="A1:E1"/>
    <mergeCell ref="A2:E2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213"/>
  <sheetViews>
    <sheetView showGridLines="0" zoomScalePageLayoutView="0" workbookViewId="0" topLeftCell="A46">
      <selection activeCell="L53" sqref="L53"/>
    </sheetView>
  </sheetViews>
  <sheetFormatPr defaultColWidth="10.25390625" defaultRowHeight="12.75"/>
  <cols>
    <col min="1" max="1" width="3.50390625" style="19" customWidth="1"/>
    <col min="2" max="2" width="9.75390625" style="19" customWidth="1"/>
    <col min="3" max="3" width="9.375" style="20" bestFit="1" customWidth="1"/>
    <col min="4" max="4" width="12.625" style="20" customWidth="1"/>
    <col min="5" max="5" width="6.00390625" style="21" bestFit="1" customWidth="1"/>
    <col min="6" max="6" width="9.625" style="22" customWidth="1"/>
    <col min="7" max="7" width="9.375" style="19" customWidth="1"/>
    <col min="8" max="8" width="9.375" style="23" customWidth="1"/>
    <col min="9" max="9" width="7.375" style="101" customWidth="1"/>
    <col min="10" max="10" width="10.75390625" style="19" bestFit="1" customWidth="1"/>
    <col min="11" max="11" width="9.375" style="20" customWidth="1"/>
    <col min="12" max="16384" width="10.25390625" style="20" customWidth="1"/>
  </cols>
  <sheetData>
    <row r="1" spans="1:15" s="53" customFormat="1" ht="18" customHeight="1">
      <c r="A1" s="1158" t="s">
        <v>245</v>
      </c>
      <c r="B1" s="1158"/>
      <c r="C1" s="1158"/>
      <c r="D1" s="1158"/>
      <c r="E1" s="1158"/>
      <c r="F1" s="1158"/>
      <c r="G1" s="1158"/>
      <c r="H1" s="1158"/>
      <c r="I1" s="1158"/>
      <c r="J1" s="1158"/>
      <c r="K1" s="59"/>
      <c r="L1" s="59"/>
      <c r="M1" s="59"/>
      <c r="N1" s="59"/>
      <c r="O1" s="59"/>
    </row>
    <row r="2" spans="1:15" s="53" customFormat="1" ht="18">
      <c r="A2" s="1158" t="s">
        <v>246</v>
      </c>
      <c r="B2" s="1158"/>
      <c r="C2" s="1158"/>
      <c r="D2" s="1158"/>
      <c r="E2" s="1158"/>
      <c r="F2" s="1158"/>
      <c r="G2" s="1158"/>
      <c r="H2" s="1158"/>
      <c r="I2" s="1158"/>
      <c r="J2" s="1158"/>
      <c r="K2" s="59"/>
      <c r="L2" s="59"/>
      <c r="M2" s="59"/>
      <c r="N2" s="59"/>
      <c r="O2" s="59"/>
    </row>
    <row r="3" spans="1:15" s="53" customFormat="1" ht="15" customHeight="1">
      <c r="A3" s="61"/>
      <c r="B3" s="61"/>
      <c r="C3" s="61"/>
      <c r="D3" s="61"/>
      <c r="E3" s="61"/>
      <c r="F3" s="61"/>
      <c r="G3" s="61"/>
      <c r="H3" s="61"/>
      <c r="I3" s="99"/>
      <c r="J3" s="61"/>
      <c r="K3" s="59"/>
      <c r="L3" s="59"/>
      <c r="M3" s="59"/>
      <c r="N3" s="59"/>
      <c r="O3" s="59"/>
    </row>
    <row r="4" spans="1:15" s="53" customFormat="1" ht="18" customHeight="1">
      <c r="A4" s="1159" t="s">
        <v>125</v>
      </c>
      <c r="B4" s="1159"/>
      <c r="C4" s="1159"/>
      <c r="D4" s="1159"/>
      <c r="E4" s="1159"/>
      <c r="F4" s="1159"/>
      <c r="G4" s="1159"/>
      <c r="H4" s="1159"/>
      <c r="I4" s="1159"/>
      <c r="J4" s="1159"/>
      <c r="K4" s="60"/>
      <c r="L4" s="60"/>
      <c r="M4" s="60"/>
      <c r="N4" s="60"/>
      <c r="O4" s="60"/>
    </row>
    <row r="5" spans="1:15" s="53" customFormat="1" ht="9.75" customHeight="1">
      <c r="A5" s="61"/>
      <c r="B5" s="61"/>
      <c r="C5" s="61"/>
      <c r="D5" s="61"/>
      <c r="E5" s="61"/>
      <c r="F5" s="61"/>
      <c r="G5" s="61"/>
      <c r="H5" s="61"/>
      <c r="I5" s="99"/>
      <c r="J5" s="61"/>
      <c r="K5" s="60"/>
      <c r="L5" s="60"/>
      <c r="M5" s="60"/>
      <c r="N5" s="60"/>
      <c r="O5" s="60"/>
    </row>
    <row r="6" spans="1:12" s="191" customFormat="1" ht="12.75">
      <c r="A6" s="188"/>
      <c r="B6" s="188"/>
      <c r="C6" s="188"/>
      <c r="D6" s="188"/>
      <c r="E6" s="188"/>
      <c r="F6" s="188"/>
      <c r="G6" s="188"/>
      <c r="H6" s="188" t="s">
        <v>4</v>
      </c>
      <c r="I6" s="189" t="s">
        <v>4</v>
      </c>
      <c r="J6" s="188"/>
      <c r="K6" s="190"/>
      <c r="L6" s="190"/>
    </row>
    <row r="7" spans="1:12" s="191" customFormat="1" ht="12.75">
      <c r="A7" s="192" t="s">
        <v>186</v>
      </c>
      <c r="B7" s="192" t="s">
        <v>7</v>
      </c>
      <c r="C7" s="192" t="s">
        <v>1</v>
      </c>
      <c r="D7" s="192"/>
      <c r="E7" s="192" t="s">
        <v>97</v>
      </c>
      <c r="F7" s="192"/>
      <c r="G7" s="192" t="s">
        <v>0</v>
      </c>
      <c r="H7" s="192" t="s">
        <v>0</v>
      </c>
      <c r="I7" s="193" t="s">
        <v>148</v>
      </c>
      <c r="J7" s="192"/>
      <c r="K7" s="190"/>
      <c r="L7" s="190"/>
    </row>
    <row r="8" spans="1:12" s="191" customFormat="1" ht="12.75">
      <c r="A8" s="194" t="s">
        <v>9</v>
      </c>
      <c r="B8" s="194" t="s">
        <v>9</v>
      </c>
      <c r="C8" s="194" t="s">
        <v>9</v>
      </c>
      <c r="D8" s="194" t="s">
        <v>22</v>
      </c>
      <c r="E8" s="194" t="s">
        <v>23</v>
      </c>
      <c r="F8" s="194" t="s">
        <v>24</v>
      </c>
      <c r="G8" s="194" t="s">
        <v>25</v>
      </c>
      <c r="H8" s="194" t="s">
        <v>26</v>
      </c>
      <c r="I8" s="195" t="s">
        <v>26</v>
      </c>
      <c r="J8" s="194" t="s">
        <v>8</v>
      </c>
      <c r="K8" s="190"/>
      <c r="L8" s="190"/>
    </row>
    <row r="9" spans="1:12" s="191" customFormat="1" ht="6" customHeight="1">
      <c r="A9" s="196"/>
      <c r="B9" s="196"/>
      <c r="C9" s="196"/>
      <c r="D9" s="196"/>
      <c r="E9" s="196"/>
      <c r="F9" s="196"/>
      <c r="G9" s="196"/>
      <c r="H9" s="196"/>
      <c r="I9" s="197"/>
      <c r="J9" s="196"/>
      <c r="K9" s="190"/>
      <c r="L9" s="190"/>
    </row>
    <row r="10" spans="1:12" s="200" customFormat="1" ht="15" customHeight="1">
      <c r="A10" s="1163" t="s">
        <v>304</v>
      </c>
      <c r="B10" s="1164"/>
      <c r="C10" s="1164"/>
      <c r="D10" s="1164"/>
      <c r="E10" s="1164"/>
      <c r="F10" s="1164"/>
      <c r="G10" s="1164"/>
      <c r="H10" s="1164"/>
      <c r="I10" s="1164"/>
      <c r="J10" s="1165"/>
      <c r="K10" s="198"/>
      <c r="L10" s="199"/>
    </row>
    <row r="11" spans="1:12" s="200" customFormat="1" ht="12.75" customHeight="1">
      <c r="A11" s="44">
        <v>1</v>
      </c>
      <c r="B11" s="69" t="s">
        <v>189</v>
      </c>
      <c r="C11" s="69" t="s">
        <v>404</v>
      </c>
      <c r="D11" s="201" t="s">
        <v>456</v>
      </c>
      <c r="E11" s="202">
        <f aca="true" t="shared" si="0" ref="E11:E18">F11</f>
        <v>38843.28125</v>
      </c>
      <c r="F11" s="203">
        <v>38843.28125</v>
      </c>
      <c r="G11" s="201"/>
      <c r="H11" s="201"/>
      <c r="I11" s="204"/>
      <c r="J11" s="201"/>
      <c r="K11" s="198"/>
      <c r="L11" s="199"/>
    </row>
    <row r="12" spans="1:12" s="200" customFormat="1" ht="12.75" customHeight="1">
      <c r="A12" s="608"/>
      <c r="B12" s="205"/>
      <c r="C12" s="205"/>
      <c r="D12" s="206" t="s">
        <v>303</v>
      </c>
      <c r="E12" s="207">
        <f t="shared" si="0"/>
        <v>38847.15625</v>
      </c>
      <c r="F12" s="208">
        <v>38847.15625</v>
      </c>
      <c r="G12" s="209">
        <f>(F12-F11)*24</f>
        <v>93</v>
      </c>
      <c r="H12" s="209">
        <f>G12</f>
        <v>93</v>
      </c>
      <c r="I12" s="210">
        <f>H12/24</f>
        <v>3.875</v>
      </c>
      <c r="J12" s="209" t="s">
        <v>250</v>
      </c>
      <c r="K12" s="198"/>
      <c r="L12" s="199"/>
    </row>
    <row r="13" spans="1:12" s="200" customFormat="1" ht="15" customHeight="1">
      <c r="A13" s="1163" t="s">
        <v>248</v>
      </c>
      <c r="B13" s="1164"/>
      <c r="C13" s="1164"/>
      <c r="D13" s="1164"/>
      <c r="E13" s="1164"/>
      <c r="F13" s="1164"/>
      <c r="G13" s="1164"/>
      <c r="H13" s="1164"/>
      <c r="I13" s="1164"/>
      <c r="J13" s="1165"/>
      <c r="K13" s="198"/>
      <c r="L13" s="199"/>
    </row>
    <row r="14" spans="1:12" s="218" customFormat="1" ht="12.75" customHeight="1">
      <c r="A14" s="72">
        <v>2</v>
      </c>
      <c r="B14" s="211" t="s">
        <v>194</v>
      </c>
      <c r="C14" s="211" t="s">
        <v>405</v>
      </c>
      <c r="D14" s="212" t="s">
        <v>457</v>
      </c>
      <c r="E14" s="213">
        <f t="shared" si="0"/>
        <v>38857.322916666664</v>
      </c>
      <c r="F14" s="214">
        <v>38857.322916666664</v>
      </c>
      <c r="G14" s="212"/>
      <c r="H14" s="212"/>
      <c r="I14" s="215"/>
      <c r="J14" s="212"/>
      <c r="K14" s="216"/>
      <c r="L14" s="217"/>
    </row>
    <row r="15" spans="1:12" s="200" customFormat="1" ht="12.75" customHeight="1">
      <c r="A15" s="243"/>
      <c r="B15" s="220"/>
      <c r="C15" s="220"/>
      <c r="D15" s="221" t="s">
        <v>74</v>
      </c>
      <c r="E15" s="222">
        <f t="shared" si="0"/>
        <v>38858.125</v>
      </c>
      <c r="F15" s="223">
        <v>38858.125</v>
      </c>
      <c r="G15" s="224">
        <f>(F15-F14)*24</f>
        <v>19.250000000058208</v>
      </c>
      <c r="H15" s="224"/>
      <c r="I15" s="225"/>
      <c r="J15" s="224" t="s">
        <v>300</v>
      </c>
      <c r="K15" s="198"/>
      <c r="L15" s="199"/>
    </row>
    <row r="16" spans="1:12" s="200" customFormat="1" ht="12.75" customHeight="1">
      <c r="A16" s="243"/>
      <c r="B16" s="219"/>
      <c r="C16" s="40" t="s">
        <v>406</v>
      </c>
      <c r="D16" s="226" t="s">
        <v>458</v>
      </c>
      <c r="E16" s="227">
        <f t="shared" si="0"/>
        <v>38858.125</v>
      </c>
      <c r="F16" s="228">
        <f>F15</f>
        <v>38858.125</v>
      </c>
      <c r="G16" s="226"/>
      <c r="H16" s="226"/>
      <c r="I16" s="229"/>
      <c r="J16" s="226"/>
      <c r="K16" s="198"/>
      <c r="L16" s="199"/>
    </row>
    <row r="17" spans="1:12" s="200" customFormat="1" ht="12.75" customHeight="1">
      <c r="A17" s="243"/>
      <c r="B17" s="205"/>
      <c r="C17" s="205"/>
      <c r="D17" s="206" t="s">
        <v>74</v>
      </c>
      <c r="E17" s="207">
        <f t="shared" si="0"/>
        <v>38859.135416666664</v>
      </c>
      <c r="F17" s="208">
        <v>38859.135416666664</v>
      </c>
      <c r="G17" s="209">
        <f>(F17-F16)*24</f>
        <v>24.249999999941792</v>
      </c>
      <c r="H17" s="209">
        <f>G17+G15</f>
        <v>43.5</v>
      </c>
      <c r="I17" s="210">
        <f>H17/24</f>
        <v>1.8125</v>
      </c>
      <c r="J17" s="209" t="s">
        <v>247</v>
      </c>
      <c r="K17" s="198"/>
      <c r="L17" s="199"/>
    </row>
    <row r="18" spans="1:12" s="218" customFormat="1" ht="12.75" customHeight="1">
      <c r="A18" s="72"/>
      <c r="B18" s="211" t="s">
        <v>206</v>
      </c>
      <c r="C18" s="211" t="s">
        <v>407</v>
      </c>
      <c r="D18" s="226" t="s">
        <v>459</v>
      </c>
      <c r="E18" s="213">
        <f t="shared" si="0"/>
        <v>38859.177083333336</v>
      </c>
      <c r="F18" s="223">
        <v>38859.177083333336</v>
      </c>
      <c r="G18" s="230"/>
      <c r="H18" s="230"/>
      <c r="I18" s="215"/>
      <c r="J18" s="212"/>
      <c r="K18" s="216"/>
      <c r="L18" s="217"/>
    </row>
    <row r="19" spans="1:12" s="218" customFormat="1" ht="12.75" customHeight="1">
      <c r="A19" s="243"/>
      <c r="B19" s="205"/>
      <c r="C19" s="205"/>
      <c r="D19" s="206" t="s">
        <v>74</v>
      </c>
      <c r="E19" s="231">
        <f aca="true" t="shared" si="1" ref="E19:E35">F19</f>
        <v>38860.427083333336</v>
      </c>
      <c r="F19" s="208">
        <v>38860.427083333336</v>
      </c>
      <c r="G19" s="209">
        <f aca="true" t="shared" si="2" ref="G19:G35">(F19-F18)*24</f>
        <v>30</v>
      </c>
      <c r="H19" s="209"/>
      <c r="I19" s="210"/>
      <c r="J19" s="209" t="s">
        <v>247</v>
      </c>
      <c r="K19" s="216"/>
      <c r="L19" s="217"/>
    </row>
    <row r="20" spans="1:12" s="218" customFormat="1" ht="12.75" customHeight="1">
      <c r="A20" s="72"/>
      <c r="B20" s="211" t="s">
        <v>209</v>
      </c>
      <c r="C20" s="211" t="s">
        <v>408</v>
      </c>
      <c r="D20" s="212" t="s">
        <v>460</v>
      </c>
      <c r="E20" s="202">
        <f t="shared" si="1"/>
        <v>38860.479166666664</v>
      </c>
      <c r="F20" s="223">
        <v>38860.479166666664</v>
      </c>
      <c r="G20" s="224"/>
      <c r="H20" s="230"/>
      <c r="I20" s="215"/>
      <c r="J20" s="212"/>
      <c r="K20" s="216"/>
      <c r="L20" s="217"/>
    </row>
    <row r="21" spans="1:12" s="218" customFormat="1" ht="12.75" customHeight="1">
      <c r="A21" s="242"/>
      <c r="B21" s="233"/>
      <c r="C21" s="233"/>
      <c r="D21" s="206" t="s">
        <v>74</v>
      </c>
      <c r="E21" s="231">
        <f t="shared" si="1"/>
        <v>38861.625</v>
      </c>
      <c r="F21" s="208">
        <v>38861.625</v>
      </c>
      <c r="G21" s="209">
        <f t="shared" si="2"/>
        <v>27.500000000058208</v>
      </c>
      <c r="H21" s="209">
        <f>G21</f>
        <v>27.500000000058208</v>
      </c>
      <c r="I21" s="210">
        <f>H21/24</f>
        <v>1.1458333333357587</v>
      </c>
      <c r="J21" s="209" t="s">
        <v>247</v>
      </c>
      <c r="K21" s="216"/>
      <c r="L21" s="217"/>
    </row>
    <row r="22" spans="1:12" s="218" customFormat="1" ht="12.75" customHeight="1">
      <c r="A22" s="72"/>
      <c r="B22" s="211" t="s">
        <v>184</v>
      </c>
      <c r="C22" s="211" t="s">
        <v>409</v>
      </c>
      <c r="D22" s="212" t="s">
        <v>461</v>
      </c>
      <c r="E22" s="202">
        <f t="shared" si="1"/>
        <v>38861.666666666664</v>
      </c>
      <c r="F22" s="223">
        <v>38861.666666666664</v>
      </c>
      <c r="G22" s="224"/>
      <c r="H22" s="230"/>
      <c r="I22" s="215"/>
      <c r="J22" s="230"/>
      <c r="K22" s="216"/>
      <c r="L22" s="217"/>
    </row>
    <row r="23" spans="1:12" s="218" customFormat="1" ht="12.75" customHeight="1">
      <c r="A23" s="242"/>
      <c r="B23" s="233"/>
      <c r="C23" s="47"/>
      <c r="D23" s="206" t="s">
        <v>74</v>
      </c>
      <c r="E23" s="231">
        <f t="shared" si="1"/>
        <v>38862.729166666664</v>
      </c>
      <c r="F23" s="208">
        <v>38862.729166666664</v>
      </c>
      <c r="G23" s="209">
        <f t="shared" si="2"/>
        <v>25.5</v>
      </c>
      <c r="H23" s="209"/>
      <c r="I23" s="210"/>
      <c r="J23" s="209" t="s">
        <v>247</v>
      </c>
      <c r="K23" s="216"/>
      <c r="L23" s="217"/>
    </row>
    <row r="24" spans="1:12" s="236" customFormat="1" ht="12.75" customHeight="1">
      <c r="A24" s="72"/>
      <c r="B24" s="211" t="s">
        <v>222</v>
      </c>
      <c r="C24" s="211" t="s">
        <v>414</v>
      </c>
      <c r="D24" s="212" t="s">
        <v>462</v>
      </c>
      <c r="E24" s="202">
        <f t="shared" si="1"/>
        <v>38862.78125</v>
      </c>
      <c r="F24" s="223">
        <v>38862.78125</v>
      </c>
      <c r="G24" s="224"/>
      <c r="H24" s="230"/>
      <c r="I24" s="215"/>
      <c r="J24" s="212"/>
      <c r="K24" s="234"/>
      <c r="L24" s="235"/>
    </row>
    <row r="25" spans="1:12" s="236" customFormat="1" ht="12.75" customHeight="1">
      <c r="A25" s="242"/>
      <c r="B25" s="233"/>
      <c r="C25" s="233"/>
      <c r="D25" s="206" t="s">
        <v>74</v>
      </c>
      <c r="E25" s="231">
        <f t="shared" si="1"/>
        <v>38864.208333333336</v>
      </c>
      <c r="F25" s="208">
        <v>38864.208333333336</v>
      </c>
      <c r="G25" s="209">
        <f t="shared" si="2"/>
        <v>34.25000000005821</v>
      </c>
      <c r="H25" s="209">
        <f>G25</f>
        <v>34.25000000005821</v>
      </c>
      <c r="I25" s="210">
        <f>H25/24</f>
        <v>1.4270833333357587</v>
      </c>
      <c r="J25" s="209" t="s">
        <v>247</v>
      </c>
      <c r="K25" s="234"/>
      <c r="L25" s="235"/>
    </row>
    <row r="26" spans="1:12" s="218" customFormat="1" ht="12.75" customHeight="1">
      <c r="A26" s="72"/>
      <c r="B26" s="211" t="s">
        <v>223</v>
      </c>
      <c r="C26" s="211" t="s">
        <v>415</v>
      </c>
      <c r="D26" s="212" t="s">
        <v>463</v>
      </c>
      <c r="E26" s="202">
        <f t="shared" si="1"/>
        <v>38864.416666666664</v>
      </c>
      <c r="F26" s="223">
        <v>38864.416666666664</v>
      </c>
      <c r="G26" s="224"/>
      <c r="H26" s="230"/>
      <c r="I26" s="215"/>
      <c r="J26" s="230"/>
      <c r="K26" s="216"/>
      <c r="L26" s="217"/>
    </row>
    <row r="27" spans="1:12" s="239" customFormat="1" ht="12.75" customHeight="1">
      <c r="A27" s="243"/>
      <c r="B27" s="205"/>
      <c r="C27" s="205"/>
      <c r="D27" s="206" t="s">
        <v>74</v>
      </c>
      <c r="E27" s="231">
        <f t="shared" si="1"/>
        <v>38865.489583333336</v>
      </c>
      <c r="F27" s="208">
        <v>38865.489583333336</v>
      </c>
      <c r="G27" s="209">
        <f t="shared" si="2"/>
        <v>25.750000000116415</v>
      </c>
      <c r="H27" s="209"/>
      <c r="I27" s="210"/>
      <c r="J27" s="209" t="s">
        <v>247</v>
      </c>
      <c r="K27" s="237"/>
      <c r="L27" s="238"/>
    </row>
    <row r="28" spans="1:12" s="218" customFormat="1" ht="12.75" customHeight="1">
      <c r="A28" s="72"/>
      <c r="B28" s="211" t="s">
        <v>224</v>
      </c>
      <c r="C28" s="211" t="s">
        <v>416</v>
      </c>
      <c r="D28" s="212" t="s">
        <v>464</v>
      </c>
      <c r="E28" s="202">
        <f t="shared" si="1"/>
        <v>38866.458333333336</v>
      </c>
      <c r="F28" s="223">
        <v>38866.458333333336</v>
      </c>
      <c r="G28" s="230"/>
      <c r="H28" s="230"/>
      <c r="I28" s="215"/>
      <c r="J28" s="230"/>
      <c r="K28" s="216"/>
      <c r="L28" s="217"/>
    </row>
    <row r="29" spans="1:12" s="218" customFormat="1" ht="12.75" customHeight="1">
      <c r="A29" s="243"/>
      <c r="B29" s="205"/>
      <c r="C29" s="205"/>
      <c r="D29" s="206" t="s">
        <v>74</v>
      </c>
      <c r="E29" s="231">
        <f t="shared" si="1"/>
        <v>38867.885416666664</v>
      </c>
      <c r="F29" s="208">
        <v>38867.885416666664</v>
      </c>
      <c r="G29" s="209">
        <f t="shared" si="2"/>
        <v>34.249999999883585</v>
      </c>
      <c r="H29" s="209">
        <f>G29</f>
        <v>34.249999999883585</v>
      </c>
      <c r="I29" s="210">
        <f>H29/24</f>
        <v>1.4270833333284827</v>
      </c>
      <c r="J29" s="209" t="s">
        <v>247</v>
      </c>
      <c r="K29" s="216"/>
      <c r="L29" s="217"/>
    </row>
    <row r="30" spans="1:12" s="236" customFormat="1" ht="12.75" customHeight="1">
      <c r="A30" s="72"/>
      <c r="B30" s="211" t="s">
        <v>241</v>
      </c>
      <c r="C30" s="211" t="s">
        <v>417</v>
      </c>
      <c r="D30" s="212" t="s">
        <v>465</v>
      </c>
      <c r="E30" s="202">
        <f t="shared" si="1"/>
        <v>38867.958333333336</v>
      </c>
      <c r="F30" s="223">
        <v>38867.958333333336</v>
      </c>
      <c r="G30" s="230"/>
      <c r="H30" s="230"/>
      <c r="I30" s="215"/>
      <c r="J30" s="212"/>
      <c r="K30" s="234"/>
      <c r="L30" s="235"/>
    </row>
    <row r="31" spans="1:12" s="239" customFormat="1" ht="12.75" customHeight="1">
      <c r="A31" s="243"/>
      <c r="B31" s="205"/>
      <c r="C31" s="205"/>
      <c r="D31" s="206" t="s">
        <v>74</v>
      </c>
      <c r="E31" s="231">
        <f t="shared" si="1"/>
        <v>38869.302083333336</v>
      </c>
      <c r="F31" s="208">
        <v>38869.302083333336</v>
      </c>
      <c r="G31" s="209">
        <f t="shared" si="2"/>
        <v>32.25</v>
      </c>
      <c r="H31" s="209">
        <f>G31</f>
        <v>32.25</v>
      </c>
      <c r="I31" s="210">
        <f>H31/24</f>
        <v>1.34375</v>
      </c>
      <c r="J31" s="209" t="s">
        <v>247</v>
      </c>
      <c r="K31" s="237"/>
      <c r="L31" s="238"/>
    </row>
    <row r="32" spans="1:12" s="218" customFormat="1" ht="12.75" customHeight="1">
      <c r="A32" s="72"/>
      <c r="B32" s="211" t="s">
        <v>225</v>
      </c>
      <c r="C32" s="211" t="s">
        <v>418</v>
      </c>
      <c r="D32" s="212" t="s">
        <v>466</v>
      </c>
      <c r="E32" s="202">
        <f t="shared" si="1"/>
        <v>38870.770833333336</v>
      </c>
      <c r="F32" s="223">
        <v>38870.770833333336</v>
      </c>
      <c r="G32" s="230"/>
      <c r="H32" s="230"/>
      <c r="I32" s="215"/>
      <c r="J32" s="230"/>
      <c r="K32" s="216"/>
      <c r="L32" s="217"/>
    </row>
    <row r="33" spans="1:12" s="236" customFormat="1" ht="12.75" customHeight="1">
      <c r="A33" s="243"/>
      <c r="B33" s="205"/>
      <c r="C33" s="205"/>
      <c r="D33" s="206" t="s">
        <v>74</v>
      </c>
      <c r="E33" s="231">
        <f t="shared" si="1"/>
        <v>38871.885416666664</v>
      </c>
      <c r="F33" s="208">
        <v>38871.885416666664</v>
      </c>
      <c r="G33" s="209">
        <f t="shared" si="2"/>
        <v>26.749999999883585</v>
      </c>
      <c r="H33" s="209"/>
      <c r="I33" s="210"/>
      <c r="J33" s="209" t="s">
        <v>247</v>
      </c>
      <c r="K33" s="234"/>
      <c r="L33" s="235"/>
    </row>
    <row r="34" spans="1:12" s="236" customFormat="1" ht="12.75" customHeight="1">
      <c r="A34" s="72"/>
      <c r="B34" s="211" t="s">
        <v>226</v>
      </c>
      <c r="C34" s="211" t="s">
        <v>422</v>
      </c>
      <c r="D34" s="212" t="s">
        <v>467</v>
      </c>
      <c r="E34" s="202">
        <f t="shared" si="1"/>
        <v>38871.96875</v>
      </c>
      <c r="F34" s="223">
        <v>38871.96875</v>
      </c>
      <c r="G34" s="230"/>
      <c r="H34" s="230"/>
      <c r="I34" s="215"/>
      <c r="J34" s="230"/>
      <c r="K34" s="234"/>
      <c r="L34" s="235"/>
    </row>
    <row r="35" spans="1:12" s="218" customFormat="1" ht="12.75" customHeight="1">
      <c r="A35" s="243"/>
      <c r="B35" s="205"/>
      <c r="C35" s="205"/>
      <c r="D35" s="206" t="s">
        <v>74</v>
      </c>
      <c r="E35" s="231">
        <f t="shared" si="1"/>
        <v>38872.572916666664</v>
      </c>
      <c r="F35" s="208">
        <v>38872.572916666664</v>
      </c>
      <c r="G35" s="209">
        <f t="shared" si="2"/>
        <v>14.499999999941792</v>
      </c>
      <c r="H35" s="209">
        <f>G35</f>
        <v>14.499999999941792</v>
      </c>
      <c r="I35" s="210">
        <f>H35/24</f>
        <v>0.6041666666642413</v>
      </c>
      <c r="J35" s="645" t="s">
        <v>347</v>
      </c>
      <c r="K35" s="216"/>
      <c r="L35" s="217"/>
    </row>
    <row r="36" spans="1:12" s="218" customFormat="1" ht="12.75" customHeight="1">
      <c r="A36" s="72"/>
      <c r="B36" s="211" t="s">
        <v>184</v>
      </c>
      <c r="C36" s="211" t="s">
        <v>410</v>
      </c>
      <c r="D36" s="212" t="s">
        <v>468</v>
      </c>
      <c r="E36" s="202">
        <f>F36</f>
        <v>38872.6875</v>
      </c>
      <c r="F36" s="223">
        <v>38872.6875</v>
      </c>
      <c r="G36" s="230"/>
      <c r="H36" s="230"/>
      <c r="I36" s="215"/>
      <c r="J36" s="230"/>
      <c r="K36" s="216"/>
      <c r="L36" s="217"/>
    </row>
    <row r="37" spans="1:12" s="218" customFormat="1" ht="12.75" customHeight="1">
      <c r="A37" s="609"/>
      <c r="B37" s="233"/>
      <c r="C37" s="47"/>
      <c r="D37" s="206" t="s">
        <v>74</v>
      </c>
      <c r="E37" s="231">
        <f>F37</f>
        <v>38873.46875</v>
      </c>
      <c r="F37" s="208">
        <v>38873.46875</v>
      </c>
      <c r="G37" s="209">
        <f>(F37-F36)*24</f>
        <v>18.75</v>
      </c>
      <c r="H37" s="209"/>
      <c r="I37" s="210"/>
      <c r="J37" s="209" t="s">
        <v>250</v>
      </c>
      <c r="K37" s="216"/>
      <c r="L37" s="217"/>
    </row>
    <row r="38" spans="1:12" s="200" customFormat="1" ht="15" customHeight="1">
      <c r="A38" s="1163" t="s">
        <v>249</v>
      </c>
      <c r="B38" s="1164"/>
      <c r="C38" s="1164"/>
      <c r="D38" s="1164"/>
      <c r="E38" s="1164"/>
      <c r="F38" s="1164"/>
      <c r="G38" s="1164"/>
      <c r="H38" s="1164"/>
      <c r="I38" s="1164"/>
      <c r="J38" s="1165"/>
      <c r="K38" s="198"/>
      <c r="L38" s="199"/>
    </row>
    <row r="39" spans="1:12" s="218" customFormat="1" ht="12.75" customHeight="1">
      <c r="A39" s="66" t="s">
        <v>187</v>
      </c>
      <c r="B39" s="211" t="s">
        <v>184</v>
      </c>
      <c r="C39" s="211" t="s">
        <v>411</v>
      </c>
      <c r="D39" s="212" t="s">
        <v>469</v>
      </c>
      <c r="E39" s="202">
        <f aca="true" t="shared" si="3" ref="E39:E45">F39</f>
        <v>38878.604166666664</v>
      </c>
      <c r="F39" s="223">
        <v>38878.604166666664</v>
      </c>
      <c r="G39" s="230"/>
      <c r="H39" s="230"/>
      <c r="I39" s="215"/>
      <c r="J39" s="230"/>
      <c r="K39" s="216"/>
      <c r="L39" s="217"/>
    </row>
    <row r="40" spans="1:12" s="218" customFormat="1" ht="12.75" customHeight="1">
      <c r="A40" s="72"/>
      <c r="B40" s="66"/>
      <c r="C40" s="66"/>
      <c r="D40" s="221" t="s">
        <v>74</v>
      </c>
      <c r="E40" s="222">
        <f t="shared" si="3"/>
        <v>38880.208333333336</v>
      </c>
      <c r="F40" s="223">
        <v>38880.208333333336</v>
      </c>
      <c r="G40" s="224">
        <f>(F40-F39)*24</f>
        <v>38.500000000116415</v>
      </c>
      <c r="H40" s="224"/>
      <c r="I40" s="225"/>
      <c r="J40" s="224" t="s">
        <v>300</v>
      </c>
      <c r="K40" s="216"/>
      <c r="L40" s="217"/>
    </row>
    <row r="41" spans="1:12" s="218" customFormat="1" ht="12.75" customHeight="1">
      <c r="A41" s="72"/>
      <c r="B41" s="240"/>
      <c r="C41" s="40" t="s">
        <v>412</v>
      </c>
      <c r="D41" s="226" t="s">
        <v>470</v>
      </c>
      <c r="E41" s="227">
        <f t="shared" si="3"/>
        <v>38880.208333333336</v>
      </c>
      <c r="F41" s="228">
        <f>F40</f>
        <v>38880.208333333336</v>
      </c>
      <c r="G41" s="241"/>
      <c r="H41" s="241"/>
      <c r="I41" s="229"/>
      <c r="J41" s="241"/>
      <c r="K41" s="216"/>
      <c r="L41" s="217"/>
    </row>
    <row r="42" spans="1:12" s="218" customFormat="1" ht="12.75" customHeight="1">
      <c r="A42" s="72"/>
      <c r="B42" s="240"/>
      <c r="C42" s="40"/>
      <c r="D42" s="226" t="s">
        <v>74</v>
      </c>
      <c r="E42" s="227">
        <f t="shared" si="3"/>
        <v>38882.104166666664</v>
      </c>
      <c r="F42" s="228">
        <v>38882.104166666664</v>
      </c>
      <c r="G42" s="241">
        <f>(F42-F41)*24</f>
        <v>45.499999999883585</v>
      </c>
      <c r="H42" s="241"/>
      <c r="I42" s="229"/>
      <c r="J42" s="224" t="s">
        <v>300</v>
      </c>
      <c r="K42" s="216"/>
      <c r="L42" s="217"/>
    </row>
    <row r="43" spans="1:12" s="218" customFormat="1" ht="12.75" customHeight="1">
      <c r="A43" s="72"/>
      <c r="B43" s="240"/>
      <c r="C43" s="40" t="s">
        <v>413</v>
      </c>
      <c r="D43" s="226" t="s">
        <v>471</v>
      </c>
      <c r="E43" s="227">
        <f t="shared" si="3"/>
        <v>38882.104166666664</v>
      </c>
      <c r="F43" s="228">
        <f>F42</f>
        <v>38882.104166666664</v>
      </c>
      <c r="G43" s="241"/>
      <c r="H43" s="241"/>
      <c r="I43" s="229"/>
      <c r="J43" s="241"/>
      <c r="K43" s="216"/>
      <c r="L43" s="217"/>
    </row>
    <row r="44" spans="1:12" s="218" customFormat="1" ht="12.75" customHeight="1">
      <c r="A44" s="242"/>
      <c r="B44" s="243"/>
      <c r="C44" s="233"/>
      <c r="D44" s="206" t="s">
        <v>303</v>
      </c>
      <c r="E44" s="207">
        <f t="shared" si="3"/>
        <v>38883.833333333336</v>
      </c>
      <c r="F44" s="208">
        <v>38883.833333333336</v>
      </c>
      <c r="G44" s="209">
        <f>(F44-F43)*24</f>
        <v>41.500000000116415</v>
      </c>
      <c r="H44" s="209">
        <f>G37+G23+G40+G42+G44</f>
        <v>169.75000000011642</v>
      </c>
      <c r="I44" s="210">
        <f>H44/24</f>
        <v>7.072916666671517</v>
      </c>
      <c r="J44" s="209" t="s">
        <v>247</v>
      </c>
      <c r="K44" s="216"/>
      <c r="L44" s="217"/>
    </row>
    <row r="45" spans="1:12" s="218" customFormat="1" ht="12.75" customHeight="1">
      <c r="A45" s="72"/>
      <c r="B45" s="69" t="s">
        <v>225</v>
      </c>
      <c r="C45" s="40" t="s">
        <v>419</v>
      </c>
      <c r="D45" s="226" t="s">
        <v>472</v>
      </c>
      <c r="E45" s="227">
        <f t="shared" si="3"/>
        <v>38883.9375</v>
      </c>
      <c r="F45" s="228">
        <v>38883.9375</v>
      </c>
      <c r="G45" s="241"/>
      <c r="H45" s="230"/>
      <c r="I45" s="215"/>
      <c r="J45" s="230"/>
      <c r="K45" s="216"/>
      <c r="L45" s="217"/>
    </row>
    <row r="46" spans="1:12" s="218" customFormat="1" ht="12.75" customHeight="1">
      <c r="A46" s="72"/>
      <c r="B46" s="219"/>
      <c r="C46" s="232"/>
      <c r="D46" s="226" t="s">
        <v>74</v>
      </c>
      <c r="E46" s="227">
        <f aca="true" t="shared" si="4" ref="E46:E52">F46</f>
        <v>38886.489583333336</v>
      </c>
      <c r="F46" s="228">
        <v>38886.489583333336</v>
      </c>
      <c r="G46" s="241">
        <f>(F46-F45)*24</f>
        <v>61.25000000005821</v>
      </c>
      <c r="H46" s="241"/>
      <c r="I46" s="229"/>
      <c r="J46" s="241" t="s">
        <v>300</v>
      </c>
      <c r="K46" s="216"/>
      <c r="L46" s="217"/>
    </row>
    <row r="47" spans="1:12" s="236" customFormat="1" ht="12.75" customHeight="1">
      <c r="A47" s="417"/>
      <c r="B47" s="244"/>
      <c r="C47" s="40" t="s">
        <v>420</v>
      </c>
      <c r="D47" s="226" t="s">
        <v>473</v>
      </c>
      <c r="E47" s="227">
        <f t="shared" si="4"/>
        <v>38886.489583333336</v>
      </c>
      <c r="F47" s="228">
        <v>38886.489583333336</v>
      </c>
      <c r="G47" s="245"/>
      <c r="H47" s="245"/>
      <c r="I47" s="246"/>
      <c r="J47" s="245"/>
      <c r="K47" s="234"/>
      <c r="L47" s="235"/>
    </row>
    <row r="48" spans="1:12" s="236" customFormat="1" ht="12.75" customHeight="1">
      <c r="A48" s="559"/>
      <c r="B48" s="257"/>
      <c r="C48" s="257"/>
      <c r="D48" s="206" t="s">
        <v>74</v>
      </c>
      <c r="E48" s="207">
        <f t="shared" si="4"/>
        <v>38886.552083333336</v>
      </c>
      <c r="F48" s="208">
        <v>38886.552083333336</v>
      </c>
      <c r="G48" s="209">
        <f>(F48-F47)*24</f>
        <v>1.5</v>
      </c>
      <c r="H48" s="258"/>
      <c r="I48" s="259"/>
      <c r="J48" s="209" t="s">
        <v>300</v>
      </c>
      <c r="K48" s="234"/>
      <c r="L48" s="235"/>
    </row>
    <row r="49" spans="1:12" s="236" customFormat="1" ht="12.75" customHeight="1">
      <c r="A49" s="44" t="s">
        <v>187</v>
      </c>
      <c r="B49" s="432"/>
      <c r="C49" s="69" t="s">
        <v>421</v>
      </c>
      <c r="D49" s="201" t="s">
        <v>474</v>
      </c>
      <c r="E49" s="202">
        <f t="shared" si="4"/>
        <v>38886.552083333336</v>
      </c>
      <c r="F49" s="203">
        <v>38886.552083333336</v>
      </c>
      <c r="G49" s="430"/>
      <c r="H49" s="430"/>
      <c r="I49" s="431"/>
      <c r="J49" s="430"/>
      <c r="K49" s="234"/>
      <c r="L49" s="235"/>
    </row>
    <row r="50" spans="1:12" s="239" customFormat="1" ht="12.75" customHeight="1">
      <c r="A50" s="72"/>
      <c r="B50" s="247"/>
      <c r="C50" s="247"/>
      <c r="D50" s="221" t="s">
        <v>74</v>
      </c>
      <c r="E50" s="222">
        <f t="shared" si="4"/>
        <v>38889.770833333336</v>
      </c>
      <c r="F50" s="223">
        <v>38889.770833333336</v>
      </c>
      <c r="G50" s="224">
        <f>(F50-F49)*24</f>
        <v>77.25</v>
      </c>
      <c r="H50" s="224">
        <f>G33+G46+G48+G50</f>
        <v>166.7499999999418</v>
      </c>
      <c r="I50" s="225">
        <f>H50/24</f>
        <v>6.947916666664241</v>
      </c>
      <c r="J50" s="663" t="s">
        <v>347</v>
      </c>
      <c r="K50" s="237"/>
      <c r="L50" s="238"/>
    </row>
    <row r="51" spans="1:12" s="236" customFormat="1" ht="12.75" customHeight="1">
      <c r="A51" s="417"/>
      <c r="B51" s="69" t="s">
        <v>345</v>
      </c>
      <c r="C51" s="69" t="s">
        <v>423</v>
      </c>
      <c r="D51" s="201" t="s">
        <v>475</v>
      </c>
      <c r="E51" s="202">
        <f t="shared" si="4"/>
        <v>38889.770833333336</v>
      </c>
      <c r="F51" s="203">
        <f>F50</f>
        <v>38889.770833333336</v>
      </c>
      <c r="G51" s="248"/>
      <c r="H51" s="248"/>
      <c r="I51" s="204"/>
      <c r="J51" s="248"/>
      <c r="K51" s="234"/>
      <c r="L51" s="235"/>
    </row>
    <row r="52" spans="1:12" s="251" customFormat="1" ht="12.75" customHeight="1">
      <c r="A52" s="242"/>
      <c r="B52" s="205"/>
      <c r="C52" s="205"/>
      <c r="D52" s="206" t="s">
        <v>303</v>
      </c>
      <c r="E52" s="222">
        <f t="shared" si="4"/>
        <v>38891.020833333336</v>
      </c>
      <c r="F52" s="223">
        <v>38891.020833333336</v>
      </c>
      <c r="G52" s="241">
        <f>(F52-F51)*24</f>
        <v>30</v>
      </c>
      <c r="H52" s="209">
        <f>G52</f>
        <v>30</v>
      </c>
      <c r="I52" s="210">
        <f>H52/24</f>
        <v>1.25</v>
      </c>
      <c r="J52" s="209" t="s">
        <v>250</v>
      </c>
      <c r="K52" s="249"/>
      <c r="L52" s="250"/>
    </row>
    <row r="53" spans="1:12" s="236" customFormat="1" ht="12.75" customHeight="1">
      <c r="A53" s="417"/>
      <c r="B53" s="69" t="s">
        <v>346</v>
      </c>
      <c r="C53" s="69" t="s">
        <v>424</v>
      </c>
      <c r="D53" s="201" t="s">
        <v>455</v>
      </c>
      <c r="E53" s="202">
        <f>F53</f>
        <v>38891.020833333336</v>
      </c>
      <c r="F53" s="203">
        <f>F52</f>
        <v>38891.020833333336</v>
      </c>
      <c r="G53" s="248"/>
      <c r="H53" s="248"/>
      <c r="I53" s="204"/>
      <c r="J53" s="248"/>
      <c r="K53" s="234"/>
      <c r="L53" s="235"/>
    </row>
    <row r="54" spans="1:12" s="239" customFormat="1" ht="12.75" customHeight="1">
      <c r="A54" s="72"/>
      <c r="B54" s="247"/>
      <c r="C54" s="247"/>
      <c r="D54" s="221" t="s">
        <v>303</v>
      </c>
      <c r="E54" s="222">
        <f>F54</f>
        <v>38892.229166666664</v>
      </c>
      <c r="F54" s="223">
        <v>38892.229166666664</v>
      </c>
      <c r="G54" s="224">
        <f>(F54-F53)*24</f>
        <v>28.999999999883585</v>
      </c>
      <c r="H54" s="224">
        <f>G54</f>
        <v>28.999999999883585</v>
      </c>
      <c r="I54" s="225">
        <f>H54/24</f>
        <v>1.2083333333284827</v>
      </c>
      <c r="J54" s="224" t="s">
        <v>250</v>
      </c>
      <c r="K54" s="237"/>
      <c r="L54" s="238"/>
    </row>
    <row r="55" spans="1:12" s="254" customFormat="1" ht="15" customHeight="1">
      <c r="A55" s="1163" t="s">
        <v>296</v>
      </c>
      <c r="B55" s="1164"/>
      <c r="C55" s="1164"/>
      <c r="D55" s="1164"/>
      <c r="E55" s="1164"/>
      <c r="F55" s="1164"/>
      <c r="G55" s="1164"/>
      <c r="H55" s="1164"/>
      <c r="I55" s="1164"/>
      <c r="J55" s="1165"/>
      <c r="K55" s="252"/>
      <c r="L55" s="253"/>
    </row>
    <row r="56" spans="1:12" s="236" customFormat="1" ht="12.75" customHeight="1">
      <c r="A56" s="72" t="s">
        <v>188</v>
      </c>
      <c r="B56" s="211" t="s">
        <v>206</v>
      </c>
      <c r="C56" s="421" t="s">
        <v>453</v>
      </c>
      <c r="D56" s="212" t="s">
        <v>297</v>
      </c>
      <c r="E56" s="231">
        <f aca="true" t="shared" si="5" ref="E56:E67">F56</f>
        <v>38897.4375</v>
      </c>
      <c r="F56" s="420">
        <v>38897.4375</v>
      </c>
      <c r="G56" s="255"/>
      <c r="H56" s="255"/>
      <c r="I56" s="256"/>
      <c r="J56" s="255"/>
      <c r="K56" s="234"/>
      <c r="L56" s="235"/>
    </row>
    <row r="57" spans="1:12" s="218" customFormat="1" ht="12.75" customHeight="1">
      <c r="A57" s="72"/>
      <c r="B57" s="211"/>
      <c r="C57" s="211"/>
      <c r="D57" s="221" t="s">
        <v>74</v>
      </c>
      <c r="E57" s="227">
        <f t="shared" si="5"/>
        <v>38899.9375</v>
      </c>
      <c r="F57" s="228">
        <v>38899.9375</v>
      </c>
      <c r="G57" s="241">
        <f>(F57-F56)*24</f>
        <v>60</v>
      </c>
      <c r="H57" s="230"/>
      <c r="I57" s="215"/>
      <c r="J57" s="224" t="s">
        <v>300</v>
      </c>
      <c r="K57" s="216"/>
      <c r="L57" s="217"/>
    </row>
    <row r="58" spans="1:12" s="239" customFormat="1" ht="12.75" customHeight="1">
      <c r="A58" s="72"/>
      <c r="B58" s="425"/>
      <c r="C58" s="421" t="s">
        <v>454</v>
      </c>
      <c r="D58" s="226" t="s">
        <v>298</v>
      </c>
      <c r="E58" s="227">
        <f t="shared" si="5"/>
        <v>38899.9375</v>
      </c>
      <c r="F58" s="228">
        <f>F57</f>
        <v>38899.9375</v>
      </c>
      <c r="G58" s="230"/>
      <c r="H58" s="230"/>
      <c r="I58" s="215"/>
      <c r="J58" s="241"/>
      <c r="K58" s="237"/>
      <c r="L58" s="238"/>
    </row>
    <row r="59" spans="1:12" s="239" customFormat="1" ht="12.75" customHeight="1">
      <c r="A59" s="72"/>
      <c r="B59" s="426"/>
      <c r="C59" s="426"/>
      <c r="D59" s="206" t="s">
        <v>303</v>
      </c>
      <c r="E59" s="207">
        <f t="shared" si="5"/>
        <v>38902.864583333336</v>
      </c>
      <c r="F59" s="208">
        <v>38902.864583333336</v>
      </c>
      <c r="G59" s="209">
        <f>(F59-F58)*24</f>
        <v>70.25000000005821</v>
      </c>
      <c r="H59" s="209">
        <f>G19+G57+G59</f>
        <v>160.2500000000582</v>
      </c>
      <c r="I59" s="210">
        <f>H59/24</f>
        <v>6.677083333335759</v>
      </c>
      <c r="J59" s="209" t="s">
        <v>247</v>
      </c>
      <c r="K59" s="237"/>
      <c r="L59" s="238"/>
    </row>
    <row r="60" spans="1:12" s="218" customFormat="1" ht="12.75" customHeight="1">
      <c r="A60" s="485"/>
      <c r="B60" s="211" t="s">
        <v>223</v>
      </c>
      <c r="C60" s="421" t="s">
        <v>509</v>
      </c>
      <c r="D60" s="226" t="s">
        <v>299</v>
      </c>
      <c r="E60" s="222">
        <f t="shared" si="5"/>
        <v>38903.072916666664</v>
      </c>
      <c r="F60" s="223">
        <v>38903.072916666664</v>
      </c>
      <c r="G60" s="480"/>
      <c r="H60" s="480"/>
      <c r="I60" s="481"/>
      <c r="J60" s="480"/>
      <c r="K60" s="216"/>
      <c r="L60" s="217"/>
    </row>
    <row r="61" spans="1:12" s="218" customFormat="1" ht="12.75" customHeight="1">
      <c r="A61" s="485"/>
      <c r="B61" s="482"/>
      <c r="C61" s="482"/>
      <c r="D61" s="221" t="s">
        <v>74</v>
      </c>
      <c r="E61" s="222">
        <f t="shared" si="5"/>
        <v>38905.197916666664</v>
      </c>
      <c r="F61" s="223">
        <v>38905.197916666664</v>
      </c>
      <c r="G61" s="241">
        <f>(F61-F60)*24</f>
        <v>51</v>
      </c>
      <c r="H61" s="224"/>
      <c r="I61" s="225"/>
      <c r="J61" s="241" t="s">
        <v>300</v>
      </c>
      <c r="K61" s="216"/>
      <c r="L61" s="217"/>
    </row>
    <row r="62" spans="1:12" s="218" customFormat="1" ht="12.75" customHeight="1">
      <c r="A62" s="485"/>
      <c r="B62" s="240"/>
      <c r="C62" s="240" t="s">
        <v>481</v>
      </c>
      <c r="D62" s="226" t="s">
        <v>507</v>
      </c>
      <c r="E62" s="222">
        <f t="shared" si="5"/>
        <v>38905.197916666664</v>
      </c>
      <c r="F62" s="223">
        <v>38905.197916666664</v>
      </c>
      <c r="G62" s="241"/>
      <c r="H62" s="241"/>
      <c r="I62" s="229"/>
      <c r="J62" s="483"/>
      <c r="K62" s="216"/>
      <c r="L62" s="217"/>
    </row>
    <row r="63" spans="1:12" s="218" customFormat="1" ht="12.75" customHeight="1">
      <c r="A63" s="485"/>
      <c r="B63" s="482"/>
      <c r="C63" s="482"/>
      <c r="D63" s="484" t="s">
        <v>74</v>
      </c>
      <c r="E63" s="222">
        <f t="shared" si="5"/>
        <v>38905.833333333336</v>
      </c>
      <c r="F63" s="223">
        <v>38905.833333333336</v>
      </c>
      <c r="G63" s="478">
        <f>(F63-F62)*24</f>
        <v>15.250000000116415</v>
      </c>
      <c r="H63" s="478"/>
      <c r="I63" s="479"/>
      <c r="J63" s="241" t="s">
        <v>300</v>
      </c>
      <c r="K63" s="216"/>
      <c r="L63" s="217"/>
    </row>
    <row r="64" spans="1:12" s="218" customFormat="1" ht="12.75" customHeight="1">
      <c r="A64" s="485"/>
      <c r="B64" s="240"/>
      <c r="C64" s="240" t="s">
        <v>510</v>
      </c>
      <c r="D64" s="226" t="s">
        <v>508</v>
      </c>
      <c r="E64" s="222">
        <f t="shared" si="5"/>
        <v>38905.833333333336</v>
      </c>
      <c r="F64" s="223">
        <v>38905.833333333336</v>
      </c>
      <c r="G64" s="241"/>
      <c r="H64" s="241"/>
      <c r="I64" s="229"/>
      <c r="J64" s="483"/>
      <c r="K64" s="216"/>
      <c r="L64" s="217"/>
    </row>
    <row r="65" spans="1:12" s="218" customFormat="1" ht="12.75" customHeight="1">
      <c r="A65" s="485"/>
      <c r="B65" s="482"/>
      <c r="C65" s="482"/>
      <c r="D65" s="484" t="s">
        <v>74</v>
      </c>
      <c r="E65" s="222">
        <f t="shared" si="5"/>
        <v>38908.25</v>
      </c>
      <c r="F65" s="223">
        <v>38908.25</v>
      </c>
      <c r="G65" s="478">
        <f>(F65-F64)*24</f>
        <v>57.99999999994179</v>
      </c>
      <c r="H65" s="478">
        <f>G27+G61+G63+G65</f>
        <v>150.00000000017462</v>
      </c>
      <c r="I65" s="479">
        <f>H65/24</f>
        <v>6.250000000007276</v>
      </c>
      <c r="J65" s="224" t="s">
        <v>247</v>
      </c>
      <c r="K65" s="216"/>
      <c r="L65" s="217"/>
    </row>
    <row r="66" spans="1:12" s="239" customFormat="1" ht="12.75" customHeight="1">
      <c r="A66" s="72"/>
      <c r="B66" s="69" t="s">
        <v>476</v>
      </c>
      <c r="C66" s="610" t="s">
        <v>535</v>
      </c>
      <c r="D66" s="201" t="s">
        <v>451</v>
      </c>
      <c r="E66" s="202">
        <f t="shared" si="5"/>
        <v>38908.458333333336</v>
      </c>
      <c r="F66" s="203">
        <v>38908.458333333336</v>
      </c>
      <c r="G66" s="248"/>
      <c r="H66" s="248"/>
      <c r="I66" s="204"/>
      <c r="J66" s="248"/>
      <c r="K66" s="237"/>
      <c r="L66" s="238"/>
    </row>
    <row r="67" spans="1:12" s="239" customFormat="1" ht="12.75" customHeight="1">
      <c r="A67" s="72"/>
      <c r="B67" s="247"/>
      <c r="C67" s="247"/>
      <c r="D67" s="221" t="s">
        <v>74</v>
      </c>
      <c r="E67" s="222">
        <f t="shared" si="5"/>
        <v>38910.864583333336</v>
      </c>
      <c r="F67" s="223">
        <v>38910.864583333336</v>
      </c>
      <c r="G67" s="478">
        <f>(F67-F66)*24</f>
        <v>57.75</v>
      </c>
      <c r="H67" s="478">
        <f>G67</f>
        <v>57.75</v>
      </c>
      <c r="I67" s="225">
        <f>H67/24</f>
        <v>2.40625</v>
      </c>
      <c r="J67" s="663" t="s">
        <v>537</v>
      </c>
      <c r="K67" s="237"/>
      <c r="L67" s="238"/>
    </row>
    <row r="68" spans="1:12" s="239" customFormat="1" ht="12.75" customHeight="1">
      <c r="A68" s="72"/>
      <c r="B68" s="69" t="s">
        <v>477</v>
      </c>
      <c r="C68" s="610" t="s">
        <v>581</v>
      </c>
      <c r="D68" s="201" t="s">
        <v>561</v>
      </c>
      <c r="E68" s="202">
        <f>F68</f>
        <v>38910.916666666664</v>
      </c>
      <c r="F68" s="203">
        <v>38910.916666666664</v>
      </c>
      <c r="G68" s="248"/>
      <c r="H68" s="248"/>
      <c r="I68" s="204"/>
      <c r="J68" s="248"/>
      <c r="K68" s="237"/>
      <c r="L68" s="238"/>
    </row>
    <row r="69" spans="1:12" s="239" customFormat="1" ht="12.75" customHeight="1">
      <c r="A69" s="72"/>
      <c r="B69" s="426"/>
      <c r="C69" s="426"/>
      <c r="D69" s="206" t="s">
        <v>74</v>
      </c>
      <c r="E69" s="207">
        <f>F69</f>
        <v>38913</v>
      </c>
      <c r="F69" s="208">
        <v>38913</v>
      </c>
      <c r="G69" s="209">
        <f>(F69-F68)*24</f>
        <v>50.00000000005821</v>
      </c>
      <c r="H69" s="209">
        <f>G69</f>
        <v>50.00000000005821</v>
      </c>
      <c r="I69" s="210">
        <f>H69/24</f>
        <v>2.0833333333357587</v>
      </c>
      <c r="J69" s="209" t="s">
        <v>247</v>
      </c>
      <c r="K69" s="237"/>
      <c r="L69" s="238"/>
    </row>
    <row r="70" spans="1:12" s="239" customFormat="1" ht="12.75" customHeight="1">
      <c r="A70" s="72"/>
      <c r="B70" s="211" t="s">
        <v>536</v>
      </c>
      <c r="C70" s="421" t="s">
        <v>588</v>
      </c>
      <c r="D70" s="212" t="s">
        <v>562</v>
      </c>
      <c r="E70" s="213">
        <f>F70</f>
        <v>38913.1875</v>
      </c>
      <c r="F70" s="214">
        <v>38913.1875</v>
      </c>
      <c r="G70" s="230"/>
      <c r="H70" s="230"/>
      <c r="I70" s="215"/>
      <c r="J70" s="230"/>
      <c r="K70" s="237"/>
      <c r="L70" s="238"/>
    </row>
    <row r="71" spans="1:12" s="239" customFormat="1" ht="12.75" customHeight="1">
      <c r="A71" s="418"/>
      <c r="B71" s="426"/>
      <c r="C71" s="426"/>
      <c r="D71" s="206" t="s">
        <v>74</v>
      </c>
      <c r="E71" s="207">
        <f>F71</f>
        <v>38915.666666666664</v>
      </c>
      <c r="F71" s="208">
        <v>38915.666666666664</v>
      </c>
      <c r="G71" s="209">
        <f>(F71-F70)*24</f>
        <v>59.49999999994179</v>
      </c>
      <c r="H71" s="209">
        <f>G71</f>
        <v>59.49999999994179</v>
      </c>
      <c r="I71" s="210">
        <f>H71/24</f>
        <v>2.4791666666642413</v>
      </c>
      <c r="J71" s="209" t="s">
        <v>247</v>
      </c>
      <c r="K71" s="237"/>
      <c r="L71" s="238"/>
    </row>
    <row r="72" spans="1:12" s="254" customFormat="1" ht="15" customHeight="1">
      <c r="A72" s="1166" t="s">
        <v>625</v>
      </c>
      <c r="B72" s="1167"/>
      <c r="C72" s="1167"/>
      <c r="D72" s="1167"/>
      <c r="E72" s="1167"/>
      <c r="F72" s="1167"/>
      <c r="G72" s="1167"/>
      <c r="H72" s="1167"/>
      <c r="I72" s="1167"/>
      <c r="J72" s="1168"/>
      <c r="K72" s="252"/>
      <c r="L72" s="253"/>
    </row>
    <row r="73" spans="1:12" s="239" customFormat="1" ht="12.75" customHeight="1">
      <c r="A73" s="72">
        <v>4</v>
      </c>
      <c r="B73" s="69" t="s">
        <v>452</v>
      </c>
      <c r="C73" s="610" t="s">
        <v>637</v>
      </c>
      <c r="D73" s="201" t="s">
        <v>478</v>
      </c>
      <c r="E73" s="213">
        <f aca="true" t="shared" si="6" ref="E73:E78">F73</f>
        <v>38918.625</v>
      </c>
      <c r="F73" s="214">
        <v>38918.625</v>
      </c>
      <c r="G73" s="230"/>
      <c r="H73" s="230"/>
      <c r="I73" s="215"/>
      <c r="J73" s="230"/>
      <c r="K73" s="237"/>
      <c r="L73" s="238"/>
    </row>
    <row r="74" spans="1:12" s="239" customFormat="1" ht="12.75" customHeight="1">
      <c r="A74" s="72"/>
      <c r="B74" s="482"/>
      <c r="C74" s="482"/>
      <c r="D74" s="221" t="s">
        <v>74</v>
      </c>
      <c r="E74" s="231">
        <f t="shared" si="6"/>
        <v>38924.84375</v>
      </c>
      <c r="F74" s="420">
        <v>38924.84375</v>
      </c>
      <c r="G74" s="224">
        <f>(F74-F73)*24</f>
        <v>149.25</v>
      </c>
      <c r="H74" s="224"/>
      <c r="I74" s="225"/>
      <c r="J74" s="241" t="s">
        <v>300</v>
      </c>
      <c r="K74" s="237"/>
      <c r="L74" s="238"/>
    </row>
    <row r="75" spans="1:12" s="239" customFormat="1" ht="12.75" customHeight="1">
      <c r="A75" s="72"/>
      <c r="B75" s="40"/>
      <c r="C75" s="654" t="s">
        <v>642</v>
      </c>
      <c r="D75" s="226" t="s">
        <v>636</v>
      </c>
      <c r="E75" s="227">
        <f t="shared" si="6"/>
        <v>38924.84375</v>
      </c>
      <c r="F75" s="228">
        <v>38924.84375</v>
      </c>
      <c r="G75" s="241"/>
      <c r="H75" s="241"/>
      <c r="I75" s="229"/>
      <c r="J75" s="241"/>
      <c r="K75" s="237"/>
      <c r="L75" s="238"/>
    </row>
    <row r="76" spans="1:12" s="239" customFormat="1" ht="12.75" customHeight="1">
      <c r="A76" s="72"/>
      <c r="B76" s="47"/>
      <c r="C76" s="426"/>
      <c r="D76" s="206" t="s">
        <v>303</v>
      </c>
      <c r="E76" s="207">
        <f t="shared" si="6"/>
        <v>38927.854166666664</v>
      </c>
      <c r="F76" s="208">
        <v>38927.854166666664</v>
      </c>
      <c r="G76" s="224">
        <f>(F76-F75)*24</f>
        <v>72.24999999994179</v>
      </c>
      <c r="H76" s="224">
        <f>G76+G74</f>
        <v>221.4999999999418</v>
      </c>
      <c r="I76" s="225">
        <f>H76/24</f>
        <v>9.229166666664241</v>
      </c>
      <c r="J76" s="224" t="s">
        <v>247</v>
      </c>
      <c r="K76" s="237"/>
      <c r="L76" s="238"/>
    </row>
    <row r="77" spans="1:12" s="239" customFormat="1" ht="12.75" customHeight="1">
      <c r="A77" s="72"/>
      <c r="B77" s="69" t="s">
        <v>618</v>
      </c>
      <c r="C77" s="610" t="s">
        <v>648</v>
      </c>
      <c r="D77" s="201" t="s">
        <v>652</v>
      </c>
      <c r="E77" s="213">
        <f t="shared" si="6"/>
        <v>38931.520833333336</v>
      </c>
      <c r="F77" s="214">
        <v>38931.520833333336</v>
      </c>
      <c r="G77" s="248"/>
      <c r="H77" s="248"/>
      <c r="I77" s="204"/>
      <c r="J77" s="248"/>
      <c r="K77" s="237"/>
      <c r="L77" s="238"/>
    </row>
    <row r="78" spans="1:12" s="239" customFormat="1" ht="12.75" customHeight="1">
      <c r="A78" s="72"/>
      <c r="B78" s="47" t="s">
        <v>617</v>
      </c>
      <c r="C78" s="426"/>
      <c r="D78" s="206" t="s">
        <v>303</v>
      </c>
      <c r="E78" s="222">
        <f t="shared" si="6"/>
        <v>38933.083333333336</v>
      </c>
      <c r="F78" s="223">
        <v>38933.083333333336</v>
      </c>
      <c r="G78" s="224">
        <f>(F78-F77)*24</f>
        <v>37.5</v>
      </c>
      <c r="H78" s="224">
        <f>G78</f>
        <v>37.5</v>
      </c>
      <c r="I78" s="225">
        <f>H78/24</f>
        <v>1.5625</v>
      </c>
      <c r="J78" s="224" t="s">
        <v>247</v>
      </c>
      <c r="K78" s="237"/>
      <c r="L78" s="238"/>
    </row>
    <row r="79" spans="1:12" s="239" customFormat="1" ht="12.75" customHeight="1">
      <c r="A79" s="72"/>
      <c r="B79" s="69" t="s">
        <v>618</v>
      </c>
      <c r="C79" s="610" t="s">
        <v>682</v>
      </c>
      <c r="D79" s="201" t="s">
        <v>666</v>
      </c>
      <c r="E79" s="202">
        <f aca="true" t="shared" si="7" ref="E79:E86">F79</f>
        <v>38933.614583333336</v>
      </c>
      <c r="F79" s="203">
        <v>38933.614583333336</v>
      </c>
      <c r="G79" s="248"/>
      <c r="H79" s="248"/>
      <c r="I79" s="204"/>
      <c r="J79" s="248"/>
      <c r="K79" s="237"/>
      <c r="L79" s="238"/>
    </row>
    <row r="80" spans="1:12" s="239" customFormat="1" ht="12.75" customHeight="1">
      <c r="A80" s="72"/>
      <c r="B80" s="66" t="s">
        <v>619</v>
      </c>
      <c r="C80" s="247"/>
      <c r="D80" s="221" t="s">
        <v>303</v>
      </c>
      <c r="E80" s="222">
        <f t="shared" si="7"/>
        <v>38936.604166666664</v>
      </c>
      <c r="F80" s="223">
        <v>38936.604166666664</v>
      </c>
      <c r="G80" s="224">
        <f>(F80-F79)*24</f>
        <v>71.74999999988358</v>
      </c>
      <c r="H80" s="224"/>
      <c r="I80" s="225"/>
      <c r="J80" s="224" t="s">
        <v>689</v>
      </c>
      <c r="K80" s="237"/>
      <c r="L80" s="238"/>
    </row>
    <row r="81" spans="1:12" s="239" customFormat="1" ht="12.75" customHeight="1">
      <c r="A81" s="72"/>
      <c r="B81" s="40"/>
      <c r="C81" s="654" t="s">
        <v>685</v>
      </c>
      <c r="D81" s="226" t="s">
        <v>688</v>
      </c>
      <c r="E81" s="227">
        <f t="shared" si="7"/>
        <v>38936.604166666664</v>
      </c>
      <c r="F81" s="228">
        <v>38936.604166666664</v>
      </c>
      <c r="G81" s="241"/>
      <c r="H81" s="241"/>
      <c r="I81" s="229"/>
      <c r="J81" s="241"/>
      <c r="K81" s="237"/>
      <c r="L81" s="238"/>
    </row>
    <row r="82" spans="1:12" s="239" customFormat="1" ht="12.75" customHeight="1">
      <c r="A82" s="72"/>
      <c r="B82" s="47"/>
      <c r="C82" s="426"/>
      <c r="D82" s="206" t="s">
        <v>303</v>
      </c>
      <c r="E82" s="222">
        <f t="shared" si="7"/>
        <v>38938.166666666664</v>
      </c>
      <c r="F82" s="223">
        <v>38938.166666666664</v>
      </c>
      <c r="G82" s="224">
        <f>(F82-F81)*24</f>
        <v>37.5</v>
      </c>
      <c r="H82" s="224">
        <f>G80+G82</f>
        <v>109.24999999988358</v>
      </c>
      <c r="I82" s="225">
        <f>H82/24</f>
        <v>4.552083333328483</v>
      </c>
      <c r="J82" s="224" t="s">
        <v>247</v>
      </c>
      <c r="K82" s="237"/>
      <c r="L82" s="238"/>
    </row>
    <row r="83" spans="1:12" s="239" customFormat="1" ht="12.75" customHeight="1">
      <c r="A83" s="484"/>
      <c r="B83" s="69" t="s">
        <v>660</v>
      </c>
      <c r="C83" s="610" t="s">
        <v>701</v>
      </c>
      <c r="D83" s="201" t="s">
        <v>667</v>
      </c>
      <c r="E83" s="202">
        <f t="shared" si="7"/>
        <v>38939.625</v>
      </c>
      <c r="F83" s="676">
        <v>38939.625</v>
      </c>
      <c r="G83" s="248"/>
      <c r="H83" s="248"/>
      <c r="I83" s="204"/>
      <c r="J83" s="248"/>
      <c r="K83" s="237"/>
      <c r="L83" s="238"/>
    </row>
    <row r="84" spans="1:12" s="239" customFormat="1" ht="12.75" customHeight="1">
      <c r="A84" s="484"/>
      <c r="B84" s="66"/>
      <c r="C84" s="247"/>
      <c r="D84" s="221" t="s">
        <v>303</v>
      </c>
      <c r="E84" s="222">
        <f t="shared" si="7"/>
        <v>38941.03125</v>
      </c>
      <c r="F84" s="228">
        <v>38941.03125</v>
      </c>
      <c r="G84" s="224">
        <f>(F84-F83)*24</f>
        <v>33.75</v>
      </c>
      <c r="H84" s="224"/>
      <c r="I84" s="225"/>
      <c r="J84" s="224" t="s">
        <v>689</v>
      </c>
      <c r="K84" s="237"/>
      <c r="L84" s="238"/>
    </row>
    <row r="85" spans="1:12" s="239" customFormat="1" ht="12.75" customHeight="1">
      <c r="A85" s="484"/>
      <c r="B85" s="40"/>
      <c r="C85" s="654" t="s">
        <v>700</v>
      </c>
      <c r="D85" s="226" t="s">
        <v>705</v>
      </c>
      <c r="E85" s="227">
        <f t="shared" si="7"/>
        <v>38941.03125</v>
      </c>
      <c r="F85" s="228">
        <v>38941.03125</v>
      </c>
      <c r="G85" s="241"/>
      <c r="H85" s="241"/>
      <c r="I85" s="229"/>
      <c r="J85" s="241"/>
      <c r="K85" s="237"/>
      <c r="L85" s="238"/>
    </row>
    <row r="86" spans="1:12" s="239" customFormat="1" ht="12.75" customHeight="1">
      <c r="A86" s="484"/>
      <c r="B86" s="47"/>
      <c r="C86" s="426"/>
      <c r="D86" s="206" t="s">
        <v>303</v>
      </c>
      <c r="E86" s="207">
        <f t="shared" si="7"/>
        <v>38941.6875</v>
      </c>
      <c r="F86" s="208">
        <v>38941.6875</v>
      </c>
      <c r="G86" s="209">
        <f>(F86-F85)*24</f>
        <v>15.75</v>
      </c>
      <c r="H86" s="209">
        <f>G84+G86</f>
        <v>49.5</v>
      </c>
      <c r="I86" s="210">
        <f>H86/24</f>
        <v>2.0625</v>
      </c>
      <c r="J86" s="209" t="s">
        <v>537</v>
      </c>
      <c r="K86" s="237"/>
      <c r="L86" s="238"/>
    </row>
    <row r="87" spans="1:12" s="239" customFormat="1" ht="12.75" customHeight="1">
      <c r="A87" s="484"/>
      <c r="B87" s="69" t="s">
        <v>665</v>
      </c>
      <c r="C87" s="610" t="s">
        <v>707</v>
      </c>
      <c r="D87" s="201" t="s">
        <v>668</v>
      </c>
      <c r="E87" s="202">
        <f aca="true" t="shared" si="8" ref="E87:E92">F87</f>
        <v>38941.729166666664</v>
      </c>
      <c r="F87" s="203">
        <v>38941.729166666664</v>
      </c>
      <c r="G87" s="248"/>
      <c r="H87" s="248"/>
      <c r="I87" s="204"/>
      <c r="J87" s="248"/>
      <c r="K87" s="237"/>
      <c r="L87" s="238"/>
    </row>
    <row r="88" spans="1:12" s="239" customFormat="1" ht="12.75" customHeight="1">
      <c r="A88" s="484"/>
      <c r="B88" s="66"/>
      <c r="C88" s="247"/>
      <c r="D88" s="221" t="s">
        <v>303</v>
      </c>
      <c r="E88" s="222">
        <f t="shared" si="8"/>
        <v>38942.645833333336</v>
      </c>
      <c r="F88" s="223">
        <v>38942.645833333336</v>
      </c>
      <c r="G88" s="224">
        <f>(F88-F87)*24</f>
        <v>22.000000000116415</v>
      </c>
      <c r="H88" s="224"/>
      <c r="I88" s="225"/>
      <c r="J88" s="224" t="s">
        <v>689</v>
      </c>
      <c r="K88" s="237"/>
      <c r="L88" s="238"/>
    </row>
    <row r="89" spans="1:12" s="239" customFormat="1" ht="12.75" customHeight="1">
      <c r="A89" s="484"/>
      <c r="B89" s="40"/>
      <c r="C89" s="654" t="s">
        <v>708</v>
      </c>
      <c r="D89" s="226" t="s">
        <v>724</v>
      </c>
      <c r="E89" s="227">
        <f t="shared" si="8"/>
        <v>38942.645833333336</v>
      </c>
      <c r="F89" s="228">
        <v>38942.645833333336</v>
      </c>
      <c r="G89" s="241"/>
      <c r="H89" s="241"/>
      <c r="I89" s="229"/>
      <c r="J89" s="241"/>
      <c r="K89" s="237"/>
      <c r="L89" s="238"/>
    </row>
    <row r="90" spans="1:12" s="239" customFormat="1" ht="12.75" customHeight="1">
      <c r="A90" s="484"/>
      <c r="B90" s="66"/>
      <c r="C90" s="247"/>
      <c r="D90" s="221" t="s">
        <v>303</v>
      </c>
      <c r="E90" s="222">
        <f t="shared" si="8"/>
        <v>38944.020833333336</v>
      </c>
      <c r="F90" s="223">
        <v>38944.020833333336</v>
      </c>
      <c r="G90" s="224">
        <f>(F90-F89)*24</f>
        <v>33</v>
      </c>
      <c r="H90" s="241"/>
      <c r="I90" s="229"/>
      <c r="J90" s="224" t="s">
        <v>689</v>
      </c>
      <c r="K90" s="237"/>
      <c r="L90" s="238"/>
    </row>
    <row r="91" spans="1:12" s="239" customFormat="1" ht="12.75" customHeight="1">
      <c r="A91" s="484"/>
      <c r="B91" s="40"/>
      <c r="C91" s="654" t="s">
        <v>768</v>
      </c>
      <c r="D91" s="226" t="s">
        <v>724</v>
      </c>
      <c r="E91" s="227">
        <f t="shared" si="8"/>
        <v>38944.020833333336</v>
      </c>
      <c r="F91" s="228">
        <v>38944.020833333336</v>
      </c>
      <c r="G91" s="241"/>
      <c r="H91" s="241"/>
      <c r="I91" s="229"/>
      <c r="J91" s="241"/>
      <c r="K91" s="237"/>
      <c r="L91" s="238"/>
    </row>
    <row r="92" spans="1:12" s="239" customFormat="1" ht="12.75" customHeight="1">
      <c r="A92" s="702"/>
      <c r="B92" s="47"/>
      <c r="C92" s="426"/>
      <c r="D92" s="206" t="s">
        <v>303</v>
      </c>
      <c r="E92" s="207">
        <f t="shared" si="8"/>
        <v>38944.895833333336</v>
      </c>
      <c r="F92" s="208">
        <v>38944.895833333336</v>
      </c>
      <c r="G92" s="209">
        <f>(F92-F91)*24</f>
        <v>21</v>
      </c>
      <c r="H92" s="209">
        <f>G88+G90+G92</f>
        <v>76.00000000011642</v>
      </c>
      <c r="I92" s="210">
        <f>H92/24</f>
        <v>3.1666666666715173</v>
      </c>
      <c r="J92" s="209" t="s">
        <v>250</v>
      </c>
      <c r="K92" s="237"/>
      <c r="L92" s="238"/>
    </row>
    <row r="93" spans="1:12" s="254" customFormat="1" ht="15" customHeight="1">
      <c r="A93" s="1163" t="s">
        <v>638</v>
      </c>
      <c r="B93" s="1164"/>
      <c r="C93" s="1164"/>
      <c r="D93" s="1164"/>
      <c r="E93" s="1164"/>
      <c r="F93" s="1164"/>
      <c r="G93" s="1164"/>
      <c r="H93" s="1164"/>
      <c r="I93" s="1164"/>
      <c r="J93" s="1165"/>
      <c r="K93" s="252"/>
      <c r="L93" s="253"/>
    </row>
    <row r="94" spans="1:12" s="236" customFormat="1" ht="6" customHeight="1">
      <c r="A94" s="260"/>
      <c r="B94" s="260"/>
      <c r="C94" s="260"/>
      <c r="D94" s="261"/>
      <c r="E94" s="262"/>
      <c r="F94" s="263"/>
      <c r="G94" s="264"/>
      <c r="H94" s="265"/>
      <c r="I94" s="266"/>
      <c r="J94" s="265"/>
      <c r="K94" s="234"/>
      <c r="L94" s="235"/>
    </row>
    <row r="95" spans="1:12" s="236" customFormat="1" ht="12.75">
      <c r="A95" s="260"/>
      <c r="B95" s="260"/>
      <c r="C95" s="260"/>
      <c r="D95" s="261"/>
      <c r="E95" s="1160" t="s">
        <v>698</v>
      </c>
      <c r="F95" s="1161"/>
      <c r="G95" s="1162"/>
      <c r="H95" s="709">
        <v>42</v>
      </c>
      <c r="I95" s="710">
        <f>H95/24</f>
        <v>1.75</v>
      </c>
      <c r="J95" s="265"/>
      <c r="K95" s="234"/>
      <c r="L95" s="235"/>
    </row>
    <row r="96" spans="1:12" s="236" customFormat="1" ht="6" customHeight="1">
      <c r="A96" s="260"/>
      <c r="B96" s="260"/>
      <c r="C96" s="260"/>
      <c r="D96" s="261"/>
      <c r="E96" s="262"/>
      <c r="F96" s="263"/>
      <c r="G96" s="264"/>
      <c r="H96" s="265"/>
      <c r="I96" s="266"/>
      <c r="J96" s="265"/>
      <c r="K96" s="234"/>
      <c r="L96" s="235"/>
    </row>
    <row r="97" spans="1:12" s="672" customFormat="1" ht="15" customHeight="1">
      <c r="A97" s="267"/>
      <c r="B97" s="268"/>
      <c r="C97" s="269"/>
      <c r="D97" s="270"/>
      <c r="E97" s="271"/>
      <c r="F97" s="272" t="s">
        <v>694</v>
      </c>
      <c r="G97" s="674">
        <f>SUM(G11:G92)+H95</f>
        <v>1688.0000000000582</v>
      </c>
      <c r="H97" s="669"/>
      <c r="I97" s="273"/>
      <c r="J97" s="274"/>
      <c r="K97" s="671"/>
      <c r="L97" s="690"/>
    </row>
    <row r="98" spans="1:12" s="672" customFormat="1" ht="15" customHeight="1">
      <c r="A98" s="275"/>
      <c r="B98" s="276"/>
      <c r="C98" s="277"/>
      <c r="D98" s="278"/>
      <c r="E98" s="279"/>
      <c r="F98" s="280" t="s">
        <v>693</v>
      </c>
      <c r="G98" s="675">
        <f>G97/24</f>
        <v>70.33333333333576</v>
      </c>
      <c r="H98" s="670"/>
      <c r="I98" s="281"/>
      <c r="J98" s="282"/>
      <c r="K98" s="671"/>
      <c r="L98" s="671"/>
    </row>
    <row r="99" spans="1:12" s="286" customFormat="1" ht="6" customHeight="1">
      <c r="A99" s="283"/>
      <c r="B99" s="283"/>
      <c r="C99" s="283"/>
      <c r="D99" s="283"/>
      <c r="E99" s="283"/>
      <c r="F99" s="283"/>
      <c r="G99" s="284"/>
      <c r="H99" s="283"/>
      <c r="I99" s="285"/>
      <c r="J99" s="283"/>
      <c r="L99" s="671"/>
    </row>
    <row r="100" spans="1:12" s="291" customFormat="1" ht="12">
      <c r="A100" s="287" t="s">
        <v>143</v>
      </c>
      <c r="B100" s="287"/>
      <c r="C100" s="288"/>
      <c r="D100" s="288"/>
      <c r="E100" s="288"/>
      <c r="F100" s="288"/>
      <c r="G100" s="289"/>
      <c r="H100" s="288"/>
      <c r="I100" s="290"/>
      <c r="J100" s="288"/>
      <c r="L100" s="671"/>
    </row>
    <row r="101" spans="7:9" s="28" customFormat="1" ht="12">
      <c r="G101" s="29"/>
      <c r="I101" s="100"/>
    </row>
    <row r="102" spans="2:9" s="28" customFormat="1" ht="12">
      <c r="B102" s="703"/>
      <c r="G102" s="29"/>
      <c r="I102" s="100"/>
    </row>
    <row r="103" spans="7:9" s="28" customFormat="1" ht="12">
      <c r="G103" s="29"/>
      <c r="I103" s="100"/>
    </row>
    <row r="104" spans="7:9" s="28" customFormat="1" ht="12">
      <c r="G104" s="29"/>
      <c r="I104" s="100"/>
    </row>
    <row r="105" spans="6:9" s="28" customFormat="1" ht="12">
      <c r="F105" s="64"/>
      <c r="G105" s="29"/>
      <c r="I105" s="100"/>
    </row>
    <row r="106" spans="7:9" s="28" customFormat="1" ht="12">
      <c r="G106" s="29"/>
      <c r="I106" s="100"/>
    </row>
    <row r="107" spans="7:9" s="28" customFormat="1" ht="12">
      <c r="G107" s="29"/>
      <c r="I107" s="100"/>
    </row>
    <row r="108" ht="12.75">
      <c r="K108" s="26"/>
    </row>
    <row r="109" ht="12.75">
      <c r="K109" s="26"/>
    </row>
    <row r="110" ht="12.75">
      <c r="K110" s="26"/>
    </row>
    <row r="111" ht="12.75">
      <c r="K111" s="26"/>
    </row>
    <row r="112" ht="12.75">
      <c r="K112" s="26"/>
    </row>
    <row r="113" ht="12.75">
      <c r="K113" s="26"/>
    </row>
    <row r="114" ht="12.75">
      <c r="K114" s="26"/>
    </row>
    <row r="115" ht="12.75">
      <c r="K115" s="26"/>
    </row>
    <row r="116" ht="12.75">
      <c r="K116" s="26"/>
    </row>
    <row r="117" ht="12.75">
      <c r="K117" s="26"/>
    </row>
    <row r="118" ht="12.75">
      <c r="K118" s="27"/>
    </row>
    <row r="119" ht="12.75">
      <c r="K119" s="26"/>
    </row>
    <row r="120" ht="12.75">
      <c r="K120" s="26"/>
    </row>
    <row r="121" ht="12.75">
      <c r="K121" s="26"/>
    </row>
    <row r="122" ht="12.75">
      <c r="K122" s="26"/>
    </row>
    <row r="123" ht="12.75">
      <c r="K123" s="26"/>
    </row>
    <row r="124" ht="12.75">
      <c r="K124" s="26"/>
    </row>
    <row r="125" ht="12.75">
      <c r="K125" s="26"/>
    </row>
    <row r="126" ht="12.75">
      <c r="K126" s="26"/>
    </row>
    <row r="127" ht="12.75">
      <c r="K127" s="26"/>
    </row>
    <row r="128" ht="12.75">
      <c r="K128" s="26"/>
    </row>
    <row r="209" ht="12.75">
      <c r="J209" s="24"/>
    </row>
    <row r="210" ht="12.75">
      <c r="J210" s="25"/>
    </row>
    <row r="211" ht="12.75">
      <c r="J211" s="25"/>
    </row>
    <row r="213" ht="12.75">
      <c r="J213" s="25"/>
    </row>
  </sheetData>
  <sheetProtection/>
  <mergeCells count="10">
    <mergeCell ref="E95:G95"/>
    <mergeCell ref="A1:J1"/>
    <mergeCell ref="A2:J2"/>
    <mergeCell ref="A4:J4"/>
    <mergeCell ref="A13:J13"/>
    <mergeCell ref="A93:J93"/>
    <mergeCell ref="A38:J38"/>
    <mergeCell ref="A55:J55"/>
    <mergeCell ref="A10:J10"/>
    <mergeCell ref="A72:J72"/>
  </mergeCells>
  <printOptions horizontalCentered="1"/>
  <pageMargins left="0.75" right="0.25" top="1" bottom="0.5" header="0" footer="0.25"/>
  <pageSetup horizontalDpi="1200" verticalDpi="1200" orientation="portrait" r:id="rId1"/>
  <headerFooter alignWithMargins="0">
    <oddHeader>&amp;C&amp;"Helvetica,Bold"&amp;12
&amp;R&amp;"Helv,Regular"
</oddHeader>
    <oddFooter>&amp;L&amp;"Arial,Regular"&amp;8&amp;F&amp;C&amp;"Arial,Regular"&amp;8Page &amp;P of &amp;N&amp;R&amp;"Arial,Regular"&amp;8M. Storms, 17 August 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51"/>
  <sheetViews>
    <sheetView zoomScalePageLayoutView="0" workbookViewId="0" topLeftCell="A34">
      <selection activeCell="W42" sqref="W42"/>
    </sheetView>
  </sheetViews>
  <sheetFormatPr defaultColWidth="9.00390625" defaultRowHeight="12.75"/>
  <cols>
    <col min="1" max="1" width="9.75390625" style="972" customWidth="1"/>
    <col min="2" max="2" width="3.50390625" style="972" customWidth="1"/>
    <col min="3" max="3" width="9.50390625" style="972" customWidth="1"/>
    <col min="4" max="4" width="2.625" style="972" customWidth="1"/>
    <col min="5" max="5" width="6.125" style="973" customWidth="1"/>
    <col min="6" max="6" width="2.125" style="973" customWidth="1"/>
    <col min="7" max="7" width="5.625" style="973" customWidth="1"/>
    <col min="8" max="8" width="5.75390625" style="973" customWidth="1"/>
    <col min="9" max="9" width="2.125" style="973" customWidth="1"/>
    <col min="10" max="10" width="6.00390625" style="983" customWidth="1"/>
    <col min="11" max="11" width="5.375" style="971" customWidth="1"/>
    <col min="12" max="12" width="6.25390625" style="983" customWidth="1"/>
    <col min="13" max="13" width="8.75390625" style="981" customWidth="1"/>
    <col min="14" max="14" width="8.75390625" style="972" bestFit="1" customWidth="1"/>
    <col min="15" max="15" width="6.375" style="971" customWidth="1"/>
    <col min="16" max="16" width="10.00390625" style="971" customWidth="1"/>
    <col min="17" max="17" width="6.625" style="987" customWidth="1"/>
    <col min="18" max="18" width="6.625" style="981" bestFit="1" customWidth="1"/>
    <col min="19" max="19" width="6.625" style="983" bestFit="1" customWidth="1"/>
    <col min="20" max="16384" width="9.00390625" style="971" customWidth="1"/>
  </cols>
  <sheetData>
    <row r="1" spans="1:19" s="809" customFormat="1" ht="18">
      <c r="A1" s="1175" t="s">
        <v>245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</row>
    <row r="2" spans="1:19" s="809" customFormat="1" ht="18">
      <c r="A2" s="1175" t="s">
        <v>246</v>
      </c>
      <c r="B2" s="1175"/>
      <c r="C2" s="1175"/>
      <c r="D2" s="1175"/>
      <c r="E2" s="1175"/>
      <c r="F2" s="1175"/>
      <c r="G2" s="1175"/>
      <c r="H2" s="1175"/>
      <c r="I2" s="1175"/>
      <c r="J2" s="1175"/>
      <c r="K2" s="1175"/>
      <c r="L2" s="1175"/>
      <c r="M2" s="1175"/>
      <c r="N2" s="1175"/>
      <c r="O2" s="1175"/>
      <c r="P2" s="1175"/>
      <c r="Q2" s="1175"/>
      <c r="R2" s="1175"/>
      <c r="S2" s="1175"/>
    </row>
    <row r="3" spans="1:19" s="809" customFormat="1" ht="15" customHeight="1">
      <c r="A3" s="810"/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1"/>
      <c r="R3" s="810"/>
      <c r="S3" s="810"/>
    </row>
    <row r="4" spans="1:19" s="809" customFormat="1" ht="18">
      <c r="A4" s="1176" t="s">
        <v>212</v>
      </c>
      <c r="B4" s="1176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76"/>
      <c r="Q4" s="1176"/>
      <c r="R4" s="1176"/>
      <c r="S4" s="1176"/>
    </row>
    <row r="5" spans="1:18" s="813" customFormat="1" ht="6" customHeight="1">
      <c r="A5" s="812"/>
      <c r="B5" s="812"/>
      <c r="E5" s="814"/>
      <c r="F5" s="815"/>
      <c r="G5" s="812"/>
      <c r="H5" s="816"/>
      <c r="I5" s="812"/>
      <c r="Q5" s="817"/>
      <c r="R5" s="818"/>
    </row>
    <row r="6" spans="1:19" s="823" customFormat="1" ht="12.75" customHeight="1">
      <c r="A6" s="819"/>
      <c r="B6" s="819"/>
      <c r="C6" s="819"/>
      <c r="D6" s="1177"/>
      <c r="E6" s="1177"/>
      <c r="F6" s="1177"/>
      <c r="G6" s="1177"/>
      <c r="H6" s="1177"/>
      <c r="I6" s="1177"/>
      <c r="J6" s="820" t="s">
        <v>50</v>
      </c>
      <c r="K6" s="819"/>
      <c r="L6" s="820"/>
      <c r="M6" s="821"/>
      <c r="N6" s="819"/>
      <c r="O6" s="819"/>
      <c r="P6" s="819" t="s">
        <v>4</v>
      </c>
      <c r="Q6" s="822" t="s">
        <v>4</v>
      </c>
      <c r="R6" s="821" t="s">
        <v>23</v>
      </c>
      <c r="S6" s="820" t="s">
        <v>23</v>
      </c>
    </row>
    <row r="7" spans="1:19" s="823" customFormat="1" ht="12.75" customHeight="1">
      <c r="A7" s="824" t="s">
        <v>484</v>
      </c>
      <c r="B7" s="824"/>
      <c r="C7" s="824" t="s">
        <v>485</v>
      </c>
      <c r="D7" s="1170" t="s">
        <v>31</v>
      </c>
      <c r="E7" s="1170"/>
      <c r="F7" s="1170"/>
      <c r="G7" s="1170" t="s">
        <v>32</v>
      </c>
      <c r="H7" s="1170"/>
      <c r="I7" s="1170"/>
      <c r="J7" s="825" t="s">
        <v>49</v>
      </c>
      <c r="K7" s="824" t="s">
        <v>53</v>
      </c>
      <c r="L7" s="825" t="s">
        <v>11</v>
      </c>
      <c r="M7" s="826" t="s">
        <v>11</v>
      </c>
      <c r="N7" s="824" t="s">
        <v>51</v>
      </c>
      <c r="O7" s="824" t="s">
        <v>11</v>
      </c>
      <c r="P7" s="824" t="s">
        <v>11</v>
      </c>
      <c r="Q7" s="827" t="s">
        <v>10</v>
      </c>
      <c r="R7" s="826" t="s">
        <v>55</v>
      </c>
      <c r="S7" s="825" t="s">
        <v>55</v>
      </c>
    </row>
    <row r="8" spans="1:19" s="823" customFormat="1" ht="12.75" customHeight="1">
      <c r="A8" s="828" t="s">
        <v>486</v>
      </c>
      <c r="B8" s="828" t="s">
        <v>186</v>
      </c>
      <c r="C8" s="828" t="s">
        <v>9</v>
      </c>
      <c r="D8" s="1169" t="s">
        <v>48</v>
      </c>
      <c r="E8" s="1169"/>
      <c r="F8" s="1169"/>
      <c r="G8" s="1169" t="s">
        <v>48</v>
      </c>
      <c r="H8" s="1169"/>
      <c r="I8" s="1169"/>
      <c r="J8" s="829" t="s">
        <v>46</v>
      </c>
      <c r="K8" s="828" t="s">
        <v>12</v>
      </c>
      <c r="L8" s="829" t="s">
        <v>13</v>
      </c>
      <c r="M8" s="830" t="s">
        <v>40</v>
      </c>
      <c r="N8" s="828" t="s">
        <v>40</v>
      </c>
      <c r="O8" s="828" t="s">
        <v>52</v>
      </c>
      <c r="P8" s="828" t="s">
        <v>54</v>
      </c>
      <c r="Q8" s="831" t="s">
        <v>46</v>
      </c>
      <c r="R8" s="830" t="s">
        <v>56</v>
      </c>
      <c r="S8" s="829" t="s">
        <v>57</v>
      </c>
    </row>
    <row r="9" spans="1:21" s="840" customFormat="1" ht="6" customHeight="1">
      <c r="A9" s="832"/>
      <c r="B9" s="832"/>
      <c r="C9" s="833"/>
      <c r="D9" s="833"/>
      <c r="E9" s="834"/>
      <c r="F9" s="834"/>
      <c r="G9" s="834"/>
      <c r="H9" s="834"/>
      <c r="I9" s="834"/>
      <c r="J9" s="835"/>
      <c r="K9" s="835"/>
      <c r="L9" s="836"/>
      <c r="M9" s="837"/>
      <c r="N9" s="835"/>
      <c r="O9" s="835"/>
      <c r="P9" s="834"/>
      <c r="Q9" s="838"/>
      <c r="R9" s="837"/>
      <c r="S9" s="836"/>
      <c r="T9" s="839"/>
      <c r="U9" s="839"/>
    </row>
    <row r="10" spans="1:22" s="854" customFormat="1" ht="12.75" customHeight="1">
      <c r="A10" s="841" t="s">
        <v>189</v>
      </c>
      <c r="B10" s="842">
        <v>1</v>
      </c>
      <c r="C10" s="842" t="s">
        <v>813</v>
      </c>
      <c r="D10" s="842" t="s">
        <v>190</v>
      </c>
      <c r="E10" s="843" t="s">
        <v>191</v>
      </c>
      <c r="F10" s="842" t="s">
        <v>30</v>
      </c>
      <c r="G10" s="842" t="s">
        <v>192</v>
      </c>
      <c r="H10" s="843" t="s">
        <v>193</v>
      </c>
      <c r="I10" s="842" t="s">
        <v>107</v>
      </c>
      <c r="J10" s="844">
        <v>2674.2</v>
      </c>
      <c r="K10" s="845">
        <v>37</v>
      </c>
      <c r="L10" s="846">
        <v>285</v>
      </c>
      <c r="M10" s="847">
        <v>279.26</v>
      </c>
      <c r="N10" s="848">
        <f>IF(M10&lt;&gt;0,M10/L10,"N/A")</f>
        <v>0.979859649122807</v>
      </c>
      <c r="O10" s="844">
        <v>5</v>
      </c>
      <c r="P10" s="849">
        <f>L10+O10</f>
        <v>290</v>
      </c>
      <c r="Q10" s="850">
        <f>J10+P10</f>
        <v>2964.2</v>
      </c>
      <c r="R10" s="851">
        <v>93</v>
      </c>
      <c r="S10" s="844">
        <f>R10/24</f>
        <v>3.875</v>
      </c>
      <c r="T10" s="852"/>
      <c r="U10" s="853"/>
      <c r="V10" s="853"/>
    </row>
    <row r="11" spans="1:22" s="854" customFormat="1" ht="12.75" customHeight="1">
      <c r="A11" s="855"/>
      <c r="B11" s="855"/>
      <c r="C11" s="855"/>
      <c r="D11" s="855"/>
      <c r="E11" s="855"/>
      <c r="F11" s="856"/>
      <c r="G11" s="856"/>
      <c r="H11" s="856"/>
      <c r="I11" s="856"/>
      <c r="J11" s="857" t="s">
        <v>339</v>
      </c>
      <c r="K11" s="858">
        <f>IF(C10&gt;"",SUM(K10:K10),"0")</f>
        <v>37</v>
      </c>
      <c r="L11" s="859">
        <f>IF(D10&gt;"",SUM(L10:L10),"0")</f>
        <v>285</v>
      </c>
      <c r="M11" s="860">
        <f>IF(E10&gt;"",SUM(M10:M10),"0")</f>
        <v>279.26</v>
      </c>
      <c r="N11" s="861">
        <f>IF(M11&lt;&gt;0,M11/L11,"N/A")</f>
        <v>0.979859649122807</v>
      </c>
      <c r="O11" s="859">
        <f>IF(G10&gt;"",SUM(O10:O10),"0")</f>
        <v>5</v>
      </c>
      <c r="P11" s="859">
        <f>P10</f>
        <v>290</v>
      </c>
      <c r="Q11" s="862" t="s">
        <v>147</v>
      </c>
      <c r="R11" s="860">
        <f>IF(I10&gt;"",SUM(R10:R10),"0")</f>
        <v>93</v>
      </c>
      <c r="S11" s="859">
        <f>SUM(S10:S10)</f>
        <v>3.875</v>
      </c>
      <c r="T11" s="852"/>
      <c r="U11" s="853"/>
      <c r="V11" s="853"/>
    </row>
    <row r="12" spans="1:22" s="872" customFormat="1" ht="6" customHeight="1">
      <c r="A12" s="863"/>
      <c r="B12" s="863"/>
      <c r="C12" s="863"/>
      <c r="D12" s="863"/>
      <c r="E12" s="863"/>
      <c r="F12" s="864"/>
      <c r="G12" s="864"/>
      <c r="H12" s="864"/>
      <c r="I12" s="864"/>
      <c r="J12" s="864"/>
      <c r="K12" s="865"/>
      <c r="L12" s="866"/>
      <c r="M12" s="867"/>
      <c r="N12" s="868"/>
      <c r="O12" s="866"/>
      <c r="P12" s="866"/>
      <c r="Q12" s="869"/>
      <c r="R12" s="867"/>
      <c r="S12" s="866"/>
      <c r="T12" s="870"/>
      <c r="U12" s="871"/>
      <c r="V12" s="871"/>
    </row>
    <row r="13" spans="1:22" s="854" customFormat="1" ht="12.75" customHeight="1">
      <c r="A13" s="873" t="s">
        <v>194</v>
      </c>
      <c r="B13" s="874">
        <v>2</v>
      </c>
      <c r="C13" s="874" t="s">
        <v>814</v>
      </c>
      <c r="D13" s="874" t="s">
        <v>190</v>
      </c>
      <c r="E13" s="875" t="s">
        <v>195</v>
      </c>
      <c r="F13" s="874" t="s">
        <v>30</v>
      </c>
      <c r="G13" s="874" t="s">
        <v>196</v>
      </c>
      <c r="H13" s="875" t="s">
        <v>197</v>
      </c>
      <c r="I13" s="874" t="s">
        <v>107</v>
      </c>
      <c r="J13" s="876">
        <v>1069</v>
      </c>
      <c r="K13" s="877">
        <v>0</v>
      </c>
      <c r="L13" s="878">
        <v>0</v>
      </c>
      <c r="M13" s="879">
        <v>0</v>
      </c>
      <c r="N13" s="880">
        <v>0</v>
      </c>
      <c r="O13" s="876">
        <v>50.3</v>
      </c>
      <c r="P13" s="844">
        <f>L13+O13</f>
        <v>50.3</v>
      </c>
      <c r="Q13" s="850">
        <f>J13+P13</f>
        <v>1119.3</v>
      </c>
      <c r="R13" s="851">
        <v>19.25</v>
      </c>
      <c r="S13" s="844">
        <f>R13/24</f>
        <v>0.8020833333333334</v>
      </c>
      <c r="T13" s="852"/>
      <c r="U13" s="853"/>
      <c r="V13" s="853"/>
    </row>
    <row r="14" spans="1:22" s="854" customFormat="1" ht="12.75" customHeight="1">
      <c r="A14" s="881"/>
      <c r="B14" s="882">
        <v>2</v>
      </c>
      <c r="C14" s="882" t="s">
        <v>815</v>
      </c>
      <c r="D14" s="882" t="s">
        <v>190</v>
      </c>
      <c r="E14" s="883" t="s">
        <v>205</v>
      </c>
      <c r="F14" s="882" t="s">
        <v>30</v>
      </c>
      <c r="G14" s="884" t="s">
        <v>196</v>
      </c>
      <c r="H14" s="885" t="s">
        <v>197</v>
      </c>
      <c r="I14" s="884" t="s">
        <v>107</v>
      </c>
      <c r="J14" s="886">
        <v>1069</v>
      </c>
      <c r="K14" s="887">
        <v>0</v>
      </c>
      <c r="L14" s="888">
        <v>0</v>
      </c>
      <c r="M14" s="889">
        <v>0</v>
      </c>
      <c r="N14" s="890">
        <v>0</v>
      </c>
      <c r="O14" s="886">
        <v>250</v>
      </c>
      <c r="P14" s="886">
        <f>L14+O14</f>
        <v>250</v>
      </c>
      <c r="Q14" s="891">
        <f>J14+P14</f>
        <v>1319</v>
      </c>
      <c r="R14" s="892">
        <v>24.25</v>
      </c>
      <c r="S14" s="886">
        <f>R14/24</f>
        <v>1.0104166666666667</v>
      </c>
      <c r="T14" s="852"/>
      <c r="U14" s="853"/>
      <c r="V14" s="853"/>
    </row>
    <row r="15" spans="1:22" s="854" customFormat="1" ht="12.75" customHeight="1">
      <c r="A15" s="893"/>
      <c r="B15" s="893"/>
      <c r="C15" s="893"/>
      <c r="D15" s="893"/>
      <c r="E15" s="893"/>
      <c r="F15" s="894"/>
      <c r="G15" s="856"/>
      <c r="H15" s="856"/>
      <c r="I15" s="856"/>
      <c r="J15" s="857" t="s">
        <v>340</v>
      </c>
      <c r="K15" s="858">
        <f>IF(C13&gt;"",SUM(K13:K14),"0")</f>
        <v>0</v>
      </c>
      <c r="L15" s="859">
        <f>IF(D13&gt;"",SUM(L13:L14),"0")</f>
        <v>0</v>
      </c>
      <c r="M15" s="860">
        <f>IF(E13&gt;"",SUM(M13:M14),"0")</f>
        <v>0</v>
      </c>
      <c r="N15" s="895" t="s">
        <v>627</v>
      </c>
      <c r="O15" s="859">
        <f>IF(G13&gt;"",SUM(O13:O14),"0")</f>
        <v>300.3</v>
      </c>
      <c r="P15" s="859">
        <f>SUM(P13:P14)</f>
        <v>300.3</v>
      </c>
      <c r="Q15" s="862" t="s">
        <v>147</v>
      </c>
      <c r="R15" s="860">
        <f>IF(I13&gt;"",SUM(R13:R14),"0")</f>
        <v>43.5</v>
      </c>
      <c r="S15" s="859">
        <f>SUM(S13:S14)</f>
        <v>1.8125</v>
      </c>
      <c r="T15" s="852"/>
      <c r="U15" s="853"/>
      <c r="V15" s="853"/>
    </row>
    <row r="16" spans="1:22" s="872" customFormat="1" ht="6" customHeight="1">
      <c r="A16" s="863"/>
      <c r="B16" s="863"/>
      <c r="C16" s="863"/>
      <c r="D16" s="863"/>
      <c r="E16" s="863"/>
      <c r="F16" s="864"/>
      <c r="G16" s="864"/>
      <c r="H16" s="864"/>
      <c r="I16" s="864"/>
      <c r="J16" s="864"/>
      <c r="K16" s="865"/>
      <c r="L16" s="866"/>
      <c r="M16" s="867"/>
      <c r="N16" s="868"/>
      <c r="O16" s="866"/>
      <c r="P16" s="866"/>
      <c r="Q16" s="869"/>
      <c r="R16" s="867"/>
      <c r="S16" s="866"/>
      <c r="T16" s="870"/>
      <c r="U16" s="871"/>
      <c r="V16" s="871"/>
    </row>
    <row r="17" spans="1:22" s="854" customFormat="1" ht="12.75" customHeight="1">
      <c r="A17" s="873" t="s">
        <v>206</v>
      </c>
      <c r="B17" s="874">
        <v>2</v>
      </c>
      <c r="C17" s="874" t="s">
        <v>816</v>
      </c>
      <c r="D17" s="874" t="s">
        <v>190</v>
      </c>
      <c r="E17" s="875" t="s">
        <v>207</v>
      </c>
      <c r="F17" s="874" t="s">
        <v>30</v>
      </c>
      <c r="G17" s="874" t="s">
        <v>196</v>
      </c>
      <c r="H17" s="875" t="s">
        <v>208</v>
      </c>
      <c r="I17" s="874" t="s">
        <v>107</v>
      </c>
      <c r="J17" s="876">
        <v>1092</v>
      </c>
      <c r="K17" s="877">
        <v>0</v>
      </c>
      <c r="L17" s="878">
        <v>0</v>
      </c>
      <c r="M17" s="879">
        <v>0</v>
      </c>
      <c r="N17" s="880">
        <v>0</v>
      </c>
      <c r="O17" s="876">
        <v>300</v>
      </c>
      <c r="P17" s="844">
        <f>L17+O17</f>
        <v>300</v>
      </c>
      <c r="Q17" s="850">
        <f>J17+P17</f>
        <v>1392</v>
      </c>
      <c r="R17" s="851">
        <v>30</v>
      </c>
      <c r="S17" s="844">
        <f>R17/24</f>
        <v>1.25</v>
      </c>
      <c r="T17" s="852"/>
      <c r="U17" s="853"/>
      <c r="V17" s="853"/>
    </row>
    <row r="18" spans="1:22" s="854" customFormat="1" ht="12.75" customHeight="1">
      <c r="A18" s="881"/>
      <c r="B18" s="884" t="s">
        <v>188</v>
      </c>
      <c r="C18" s="884" t="s">
        <v>817</v>
      </c>
      <c r="D18" s="884" t="s">
        <v>190</v>
      </c>
      <c r="E18" s="885" t="s">
        <v>428</v>
      </c>
      <c r="F18" s="884" t="s">
        <v>30</v>
      </c>
      <c r="G18" s="884" t="s">
        <v>196</v>
      </c>
      <c r="H18" s="885" t="s">
        <v>429</v>
      </c>
      <c r="I18" s="884" t="s">
        <v>107</v>
      </c>
      <c r="J18" s="886">
        <v>1085.1</v>
      </c>
      <c r="K18" s="887">
        <v>39</v>
      </c>
      <c r="L18" s="888">
        <v>300</v>
      </c>
      <c r="M18" s="889">
        <v>255.33</v>
      </c>
      <c r="N18" s="890">
        <f>M18/L18</f>
        <v>0.8511000000000001</v>
      </c>
      <c r="O18" s="886">
        <v>0</v>
      </c>
      <c r="P18" s="886">
        <f>L18+O18</f>
        <v>300</v>
      </c>
      <c r="Q18" s="891">
        <f>J18+P18</f>
        <v>1385.1</v>
      </c>
      <c r="R18" s="892">
        <v>60</v>
      </c>
      <c r="S18" s="886">
        <f>R18/24</f>
        <v>2.5</v>
      </c>
      <c r="T18" s="852"/>
      <c r="U18" s="853"/>
      <c r="V18" s="853"/>
    </row>
    <row r="19" spans="1:22" s="854" customFormat="1" ht="12.75" customHeight="1">
      <c r="A19" s="896"/>
      <c r="B19" s="882" t="s">
        <v>188</v>
      </c>
      <c r="C19" s="884" t="s">
        <v>818</v>
      </c>
      <c r="D19" s="884" t="s">
        <v>190</v>
      </c>
      <c r="E19" s="885" t="s">
        <v>431</v>
      </c>
      <c r="F19" s="884" t="s">
        <v>30</v>
      </c>
      <c r="G19" s="884" t="s">
        <v>196</v>
      </c>
      <c r="H19" s="885" t="s">
        <v>432</v>
      </c>
      <c r="I19" s="884" t="s">
        <v>107</v>
      </c>
      <c r="J19" s="886">
        <v>1086</v>
      </c>
      <c r="K19" s="887">
        <v>10</v>
      </c>
      <c r="L19" s="888">
        <v>35.5</v>
      </c>
      <c r="M19" s="889">
        <v>34.93</v>
      </c>
      <c r="N19" s="890">
        <f>M19/L19</f>
        <v>0.983943661971831</v>
      </c>
      <c r="O19" s="886">
        <v>264.5</v>
      </c>
      <c r="P19" s="886">
        <f>L19+O19</f>
        <v>300</v>
      </c>
      <c r="Q19" s="897">
        <f>J19+P19</f>
        <v>1386</v>
      </c>
      <c r="R19" s="892">
        <v>70.25</v>
      </c>
      <c r="S19" s="886">
        <f>R19/24</f>
        <v>2.9270833333333335</v>
      </c>
      <c r="T19" s="852"/>
      <c r="U19" s="853"/>
      <c r="V19" s="853"/>
    </row>
    <row r="20" spans="1:22" s="854" customFormat="1" ht="12.75" customHeight="1">
      <c r="A20" s="893"/>
      <c r="B20" s="893"/>
      <c r="C20" s="855"/>
      <c r="D20" s="855"/>
      <c r="E20" s="855"/>
      <c r="F20" s="856"/>
      <c r="G20" s="856"/>
      <c r="H20" s="856"/>
      <c r="I20" s="856"/>
      <c r="J20" s="857" t="s">
        <v>338</v>
      </c>
      <c r="K20" s="858">
        <f>IF(C17&gt;"",SUM(K17:K19),"0")</f>
        <v>49</v>
      </c>
      <c r="L20" s="859">
        <f>IF(D17&gt;"",SUM(L17:L19),"0")</f>
        <v>335.5</v>
      </c>
      <c r="M20" s="860">
        <f>IF(E17&gt;"",SUM(M17:M19),"0")</f>
        <v>290.26</v>
      </c>
      <c r="N20" s="861">
        <f>IF(M20&lt;&gt;0,M20/L20,"N/A")</f>
        <v>0.8651564828614009</v>
      </c>
      <c r="O20" s="859">
        <f>IF(G17&gt;"",SUM(O17:O19),"0")</f>
        <v>564.5</v>
      </c>
      <c r="P20" s="859">
        <f>SUM(P17:P19)</f>
        <v>900</v>
      </c>
      <c r="Q20" s="862" t="s">
        <v>147</v>
      </c>
      <c r="R20" s="860">
        <f>IF(I17&gt;"",SUM(R17:R19),"0")</f>
        <v>160.25</v>
      </c>
      <c r="S20" s="859">
        <f>SUM(S17:S19)</f>
        <v>6.677083333333334</v>
      </c>
      <c r="T20" s="852"/>
      <c r="U20" s="853"/>
      <c r="V20" s="853"/>
    </row>
    <row r="21" spans="1:22" s="872" customFormat="1" ht="6" customHeight="1">
      <c r="A21" s="863"/>
      <c r="B21" s="863"/>
      <c r="C21" s="863"/>
      <c r="D21" s="863"/>
      <c r="E21" s="863"/>
      <c r="F21" s="864"/>
      <c r="G21" s="864"/>
      <c r="H21" s="864"/>
      <c r="I21" s="864"/>
      <c r="J21" s="864"/>
      <c r="K21" s="865"/>
      <c r="L21" s="866"/>
      <c r="M21" s="867"/>
      <c r="N21" s="868"/>
      <c r="O21" s="866"/>
      <c r="P21" s="866"/>
      <c r="Q21" s="869"/>
      <c r="R21" s="867"/>
      <c r="S21" s="866"/>
      <c r="T21" s="870"/>
      <c r="U21" s="871"/>
      <c r="V21" s="871"/>
    </row>
    <row r="22" spans="1:22" s="854" customFormat="1" ht="12.75" customHeight="1">
      <c r="A22" s="873" t="s">
        <v>209</v>
      </c>
      <c r="B22" s="898">
        <v>2</v>
      </c>
      <c r="C22" s="874" t="s">
        <v>819</v>
      </c>
      <c r="D22" s="874" t="s">
        <v>190</v>
      </c>
      <c r="E22" s="875" t="s">
        <v>210</v>
      </c>
      <c r="F22" s="898" t="s">
        <v>30</v>
      </c>
      <c r="G22" s="874" t="s">
        <v>196</v>
      </c>
      <c r="H22" s="875" t="s">
        <v>211</v>
      </c>
      <c r="I22" s="874" t="s">
        <v>107</v>
      </c>
      <c r="J22" s="876">
        <v>1092</v>
      </c>
      <c r="K22" s="899">
        <v>0</v>
      </c>
      <c r="L22" s="844">
        <v>0</v>
      </c>
      <c r="M22" s="851">
        <v>0</v>
      </c>
      <c r="N22" s="900">
        <v>0</v>
      </c>
      <c r="O22" s="844">
        <v>300</v>
      </c>
      <c r="P22" s="844">
        <f>L22+O22</f>
        <v>300</v>
      </c>
      <c r="Q22" s="850">
        <f>J22+P22</f>
        <v>1392</v>
      </c>
      <c r="R22" s="851">
        <v>27.5</v>
      </c>
      <c r="S22" s="844">
        <f>R22/24</f>
        <v>1.1458333333333333</v>
      </c>
      <c r="T22" s="852"/>
      <c r="U22" s="853"/>
      <c r="V22" s="853"/>
    </row>
    <row r="23" spans="1:22" s="854" customFormat="1" ht="12.75" customHeight="1">
      <c r="A23" s="893"/>
      <c r="B23" s="893"/>
      <c r="C23" s="855"/>
      <c r="D23" s="855"/>
      <c r="E23" s="855"/>
      <c r="F23" s="894"/>
      <c r="G23" s="856"/>
      <c r="H23" s="856"/>
      <c r="I23" s="856"/>
      <c r="J23" s="857" t="s">
        <v>337</v>
      </c>
      <c r="K23" s="858">
        <f>IF(C22&gt;"",SUM(K22:K22),"0")</f>
        <v>0</v>
      </c>
      <c r="L23" s="859">
        <f>IF(D22&gt;"",SUM(L22:L22),"0")</f>
        <v>0</v>
      </c>
      <c r="M23" s="860">
        <f>IF(E22&gt;"",SUM(M22:M22),"0")</f>
        <v>0</v>
      </c>
      <c r="N23" s="861">
        <v>0</v>
      </c>
      <c r="O23" s="859">
        <f>IF(G22&gt;"",SUM(O22:O22),"0")</f>
        <v>300</v>
      </c>
      <c r="P23" s="859">
        <f>SUM(P22:P22)</f>
        <v>300</v>
      </c>
      <c r="Q23" s="862" t="s">
        <v>147</v>
      </c>
      <c r="R23" s="860">
        <f>IF(I22&gt;"",SUM(R22:R22),"0")</f>
        <v>27.5</v>
      </c>
      <c r="S23" s="859">
        <f>SUM(S22:S22)</f>
        <v>1.1458333333333333</v>
      </c>
      <c r="T23" s="852"/>
      <c r="U23" s="853"/>
      <c r="V23" s="853"/>
    </row>
    <row r="24" spans="1:22" s="854" customFormat="1" ht="6" customHeight="1">
      <c r="A24" s="863"/>
      <c r="B24" s="863"/>
      <c r="C24" s="863"/>
      <c r="D24" s="863"/>
      <c r="E24" s="863"/>
      <c r="F24" s="901"/>
      <c r="G24" s="864"/>
      <c r="H24" s="864"/>
      <c r="I24" s="864"/>
      <c r="J24" s="864"/>
      <c r="K24" s="865"/>
      <c r="L24" s="866"/>
      <c r="M24" s="867"/>
      <c r="N24" s="868"/>
      <c r="O24" s="866"/>
      <c r="P24" s="866"/>
      <c r="Q24" s="869"/>
      <c r="R24" s="867"/>
      <c r="S24" s="866"/>
      <c r="T24" s="852"/>
      <c r="U24" s="853"/>
      <c r="V24" s="853"/>
    </row>
    <row r="25" spans="1:22" s="854" customFormat="1" ht="12.75" customHeight="1">
      <c r="A25" s="873" t="s">
        <v>184</v>
      </c>
      <c r="B25" s="874">
        <v>2</v>
      </c>
      <c r="C25" s="874" t="s">
        <v>820</v>
      </c>
      <c r="D25" s="874" t="s">
        <v>213</v>
      </c>
      <c r="E25" s="875" t="s">
        <v>214</v>
      </c>
      <c r="F25" s="874" t="s">
        <v>30</v>
      </c>
      <c r="G25" s="874" t="s">
        <v>215</v>
      </c>
      <c r="H25" s="875" t="s">
        <v>216</v>
      </c>
      <c r="I25" s="874" t="s">
        <v>107</v>
      </c>
      <c r="J25" s="876">
        <v>963</v>
      </c>
      <c r="K25" s="877">
        <v>0</v>
      </c>
      <c r="L25" s="878">
        <v>0</v>
      </c>
      <c r="M25" s="879">
        <v>0</v>
      </c>
      <c r="N25" s="900">
        <v>0</v>
      </c>
      <c r="O25" s="876">
        <v>200</v>
      </c>
      <c r="P25" s="844">
        <f>IF(K25&gt;=0,L25+O25,"")</f>
        <v>200</v>
      </c>
      <c r="Q25" s="850">
        <f>IF(J25&gt;0,J25+P25,"0.00")</f>
        <v>1163</v>
      </c>
      <c r="R25" s="851">
        <v>25.5</v>
      </c>
      <c r="S25" s="844">
        <f aca="true" t="shared" si="0" ref="S25:S30">R25/24</f>
        <v>1.0625</v>
      </c>
      <c r="T25" s="852"/>
      <c r="U25" s="853"/>
      <c r="V25" s="853"/>
    </row>
    <row r="26" spans="1:22" s="854" customFormat="1" ht="12.75" customHeight="1">
      <c r="A26" s="881"/>
      <c r="B26" s="884">
        <v>2</v>
      </c>
      <c r="C26" s="884" t="s">
        <v>821</v>
      </c>
      <c r="D26" s="884" t="s">
        <v>213</v>
      </c>
      <c r="E26" s="885" t="s">
        <v>217</v>
      </c>
      <c r="F26" s="884" t="s">
        <v>30</v>
      </c>
      <c r="G26" s="884" t="s">
        <v>215</v>
      </c>
      <c r="H26" s="885" t="s">
        <v>216</v>
      </c>
      <c r="I26" s="884" t="s">
        <v>107</v>
      </c>
      <c r="J26" s="886">
        <v>952</v>
      </c>
      <c r="K26" s="887">
        <v>0</v>
      </c>
      <c r="L26" s="888">
        <v>0</v>
      </c>
      <c r="M26" s="889">
        <v>0</v>
      </c>
      <c r="N26" s="890">
        <v>0</v>
      </c>
      <c r="O26" s="886">
        <v>200</v>
      </c>
      <c r="P26" s="886">
        <f>IF(K26&gt;=0,L26+O26,"")</f>
        <v>200</v>
      </c>
      <c r="Q26" s="891">
        <f>IF(J26&gt;0,J26+P26,"0.00")</f>
        <v>1152</v>
      </c>
      <c r="R26" s="892">
        <v>18.75</v>
      </c>
      <c r="S26" s="886">
        <f t="shared" si="0"/>
        <v>0.78125</v>
      </c>
      <c r="T26" s="852"/>
      <c r="U26" s="853"/>
      <c r="V26" s="853"/>
    </row>
    <row r="27" spans="1:22" s="854" customFormat="1" ht="12.75" customHeight="1">
      <c r="A27" s="896"/>
      <c r="B27" s="884" t="s">
        <v>187</v>
      </c>
      <c r="C27" s="884" t="s">
        <v>822</v>
      </c>
      <c r="D27" s="884" t="s">
        <v>213</v>
      </c>
      <c r="E27" s="885" t="s">
        <v>218</v>
      </c>
      <c r="F27" s="884" t="s">
        <v>30</v>
      </c>
      <c r="G27" s="884" t="s">
        <v>215</v>
      </c>
      <c r="H27" s="885" t="s">
        <v>219</v>
      </c>
      <c r="I27" s="884" t="s">
        <v>107</v>
      </c>
      <c r="J27" s="886">
        <v>957.2</v>
      </c>
      <c r="K27" s="887">
        <v>24</v>
      </c>
      <c r="L27" s="888">
        <v>200</v>
      </c>
      <c r="M27" s="892">
        <v>142.83</v>
      </c>
      <c r="N27" s="890">
        <f>IF(M27&lt;&gt;0,M27/L27,"0")</f>
        <v>0.7141500000000001</v>
      </c>
      <c r="O27" s="892">
        <v>0</v>
      </c>
      <c r="P27" s="886">
        <f>IF(K27&gt;=0,L27+O27,"")</f>
        <v>200</v>
      </c>
      <c r="Q27" s="891">
        <f>IF(J27&gt;0,J27+P27,"0.00")</f>
        <v>1157.2</v>
      </c>
      <c r="R27" s="892">
        <v>38.5</v>
      </c>
      <c r="S27" s="886">
        <f t="shared" si="0"/>
        <v>1.6041666666666667</v>
      </c>
      <c r="T27" s="852"/>
      <c r="U27" s="853"/>
      <c r="V27" s="853"/>
    </row>
    <row r="28" spans="1:22" s="854" customFormat="1" ht="12.75" customHeight="1">
      <c r="A28" s="896"/>
      <c r="B28" s="884" t="s">
        <v>187</v>
      </c>
      <c r="C28" s="884" t="s">
        <v>823</v>
      </c>
      <c r="D28" s="884" t="s">
        <v>213</v>
      </c>
      <c r="E28" s="885" t="s">
        <v>220</v>
      </c>
      <c r="F28" s="884" t="s">
        <v>30</v>
      </c>
      <c r="G28" s="884" t="s">
        <v>215</v>
      </c>
      <c r="H28" s="885" t="s">
        <v>221</v>
      </c>
      <c r="I28" s="884" t="s">
        <v>107</v>
      </c>
      <c r="J28" s="886">
        <v>955.1</v>
      </c>
      <c r="K28" s="887">
        <v>12</v>
      </c>
      <c r="L28" s="888">
        <v>43.9</v>
      </c>
      <c r="M28" s="889">
        <v>39.75</v>
      </c>
      <c r="N28" s="890">
        <f>IF(M28&lt;&gt;0,M28/L28,"0")</f>
        <v>0.9054669703872438</v>
      </c>
      <c r="O28" s="886">
        <v>157.1</v>
      </c>
      <c r="P28" s="886">
        <f>IF(K28&gt;=0,L28+O28,"")</f>
        <v>201</v>
      </c>
      <c r="Q28" s="891">
        <f>IF(J28&gt;0,J28+P28,"0.00")</f>
        <v>1156.1</v>
      </c>
      <c r="R28" s="892">
        <v>45.5</v>
      </c>
      <c r="S28" s="886">
        <f t="shared" si="0"/>
        <v>1.8958333333333333</v>
      </c>
      <c r="T28" s="852"/>
      <c r="U28" s="853"/>
      <c r="V28" s="853"/>
    </row>
    <row r="29" spans="1:22" s="854" customFormat="1" ht="12.75" customHeight="1">
      <c r="A29" s="896"/>
      <c r="B29" s="882" t="s">
        <v>187</v>
      </c>
      <c r="C29" s="882" t="s">
        <v>824</v>
      </c>
      <c r="D29" s="882" t="s">
        <v>213</v>
      </c>
      <c r="E29" s="883" t="s">
        <v>220</v>
      </c>
      <c r="F29" s="882" t="s">
        <v>30</v>
      </c>
      <c r="G29" s="882" t="s">
        <v>215</v>
      </c>
      <c r="H29" s="883" t="s">
        <v>219</v>
      </c>
      <c r="I29" s="882" t="s">
        <v>107</v>
      </c>
      <c r="J29" s="902">
        <v>955.1</v>
      </c>
      <c r="K29" s="903">
        <v>0</v>
      </c>
      <c r="L29" s="902">
        <v>0</v>
      </c>
      <c r="M29" s="904">
        <v>0</v>
      </c>
      <c r="N29" s="890">
        <v>0</v>
      </c>
      <c r="O29" s="902">
        <v>200</v>
      </c>
      <c r="P29" s="905">
        <f>IF(K29&gt;=0,L29+O29,"")</f>
        <v>200</v>
      </c>
      <c r="Q29" s="906">
        <f>IF(J29&gt;0,J29+P29,"0.00")</f>
        <v>1155.1</v>
      </c>
      <c r="R29" s="892">
        <v>41.5</v>
      </c>
      <c r="S29" s="886">
        <f t="shared" si="0"/>
        <v>1.7291666666666667</v>
      </c>
      <c r="T29" s="852"/>
      <c r="U29" s="853"/>
      <c r="V29" s="853"/>
    </row>
    <row r="30" spans="1:22" s="854" customFormat="1" ht="12.75" customHeight="1">
      <c r="A30" s="863"/>
      <c r="B30" s="863"/>
      <c r="C30" s="907"/>
      <c r="D30" s="907"/>
      <c r="E30" s="907"/>
      <c r="F30" s="908"/>
      <c r="G30" s="908"/>
      <c r="H30" s="908"/>
      <c r="I30" s="908"/>
      <c r="J30" s="857" t="s">
        <v>336</v>
      </c>
      <c r="K30" s="858">
        <f>SUM(K25:K29)</f>
        <v>36</v>
      </c>
      <c r="L30" s="859">
        <f>SUM(L25:L29)</f>
        <v>243.9</v>
      </c>
      <c r="M30" s="860">
        <f>SUM(M25:M29)</f>
        <v>182.58</v>
      </c>
      <c r="N30" s="861">
        <f>IF(M30&lt;&gt;0,M30/L30,"N/A")</f>
        <v>0.7485854858548586</v>
      </c>
      <c r="O30" s="859">
        <f>SUM(O25:O29)</f>
        <v>757.1</v>
      </c>
      <c r="P30" s="859">
        <f>SUM(P25:P29)</f>
        <v>1001</v>
      </c>
      <c r="Q30" s="862" t="s">
        <v>147</v>
      </c>
      <c r="R30" s="860">
        <f>IF(I26&gt;"",SUM(R25:R29),"0")</f>
        <v>169.75</v>
      </c>
      <c r="S30" s="859">
        <f t="shared" si="0"/>
        <v>7.072916666666667</v>
      </c>
      <c r="T30" s="852"/>
      <c r="U30" s="853"/>
      <c r="V30" s="853"/>
    </row>
    <row r="31" spans="1:22" s="872" customFormat="1" ht="6" customHeight="1">
      <c r="A31" s="863"/>
      <c r="B31" s="863"/>
      <c r="C31" s="863"/>
      <c r="D31" s="863"/>
      <c r="E31" s="863"/>
      <c r="F31" s="864"/>
      <c r="G31" s="864"/>
      <c r="H31" s="864"/>
      <c r="I31" s="864"/>
      <c r="J31" s="864"/>
      <c r="K31" s="865"/>
      <c r="L31" s="866"/>
      <c r="M31" s="867"/>
      <c r="N31" s="868"/>
      <c r="O31" s="866"/>
      <c r="P31" s="866"/>
      <c r="Q31" s="869"/>
      <c r="R31" s="867"/>
      <c r="S31" s="866"/>
      <c r="T31" s="870"/>
      <c r="U31" s="871"/>
      <c r="V31" s="871"/>
    </row>
    <row r="32" spans="1:22" s="854" customFormat="1" ht="12.75" customHeight="1">
      <c r="A32" s="873" t="s">
        <v>222</v>
      </c>
      <c r="B32" s="898">
        <v>2</v>
      </c>
      <c r="C32" s="898" t="s">
        <v>825</v>
      </c>
      <c r="D32" s="898" t="s">
        <v>213</v>
      </c>
      <c r="E32" s="909" t="s">
        <v>228</v>
      </c>
      <c r="F32" s="898" t="s">
        <v>30</v>
      </c>
      <c r="G32" s="898" t="s">
        <v>215</v>
      </c>
      <c r="H32" s="909" t="s">
        <v>229</v>
      </c>
      <c r="I32" s="898" t="s">
        <v>107</v>
      </c>
      <c r="J32" s="849">
        <v>1171</v>
      </c>
      <c r="K32" s="877">
        <v>0</v>
      </c>
      <c r="L32" s="878">
        <v>0</v>
      </c>
      <c r="M32" s="879">
        <v>0</v>
      </c>
      <c r="N32" s="900">
        <v>0</v>
      </c>
      <c r="O32" s="876">
        <v>350</v>
      </c>
      <c r="P32" s="844">
        <f>IF(K32&gt;=0,L32+O32,"")</f>
        <v>350</v>
      </c>
      <c r="Q32" s="850">
        <f>IF(J32&gt;0,J32+P32,"0.00")</f>
        <v>1521</v>
      </c>
      <c r="R32" s="851">
        <v>34.25</v>
      </c>
      <c r="S32" s="844">
        <f>R32/24</f>
        <v>1.4270833333333333</v>
      </c>
      <c r="T32" s="852"/>
      <c r="U32" s="853"/>
      <c r="V32" s="853"/>
    </row>
    <row r="33" spans="1:22" s="854" customFormat="1" ht="12.75" customHeight="1">
      <c r="A33" s="863"/>
      <c r="B33" s="863"/>
      <c r="C33" s="863"/>
      <c r="D33" s="863"/>
      <c r="E33" s="863"/>
      <c r="F33" s="864"/>
      <c r="G33" s="864"/>
      <c r="H33" s="864"/>
      <c r="I33" s="864"/>
      <c r="J33" s="894" t="s">
        <v>335</v>
      </c>
      <c r="K33" s="858">
        <f>IF(C32&gt;"",SUM(K32:K32),"0")</f>
        <v>0</v>
      </c>
      <c r="L33" s="859">
        <f>IF(D32&gt;"",SUM(L32:L32),"0")</f>
        <v>0</v>
      </c>
      <c r="M33" s="860">
        <f>IF(E32&gt;"",SUM(M32:M32),"0")</f>
        <v>0</v>
      </c>
      <c r="N33" s="895" t="s">
        <v>627</v>
      </c>
      <c r="O33" s="859">
        <f>IF(G32&gt;"",SUM(O32:O32),"0")</f>
        <v>350</v>
      </c>
      <c r="P33" s="859">
        <f>SUM(P32:P32)</f>
        <v>350</v>
      </c>
      <c r="Q33" s="862" t="s">
        <v>147</v>
      </c>
      <c r="R33" s="860">
        <f>IF(I32&gt;"",SUM(R32:R32),"0")</f>
        <v>34.25</v>
      </c>
      <c r="S33" s="859">
        <f>SUM(S32:S32)</f>
        <v>1.4270833333333333</v>
      </c>
      <c r="T33" s="852"/>
      <c r="U33" s="853"/>
      <c r="V33" s="853"/>
    </row>
    <row r="34" spans="1:22" s="854" customFormat="1" ht="6" customHeight="1">
      <c r="A34" s="863"/>
      <c r="B34" s="863"/>
      <c r="C34" s="863"/>
      <c r="D34" s="863"/>
      <c r="E34" s="863"/>
      <c r="F34" s="864"/>
      <c r="G34" s="864"/>
      <c r="H34" s="864"/>
      <c r="I34" s="864"/>
      <c r="J34" s="864"/>
      <c r="K34" s="865"/>
      <c r="L34" s="866"/>
      <c r="M34" s="867"/>
      <c r="N34" s="868"/>
      <c r="O34" s="866"/>
      <c r="P34" s="866"/>
      <c r="Q34" s="869"/>
      <c r="R34" s="867"/>
      <c r="S34" s="866"/>
      <c r="T34" s="852"/>
      <c r="U34" s="853"/>
      <c r="V34" s="853"/>
    </row>
    <row r="35" spans="1:22" s="854" customFormat="1" ht="12.75" customHeight="1">
      <c r="A35" s="873" t="s">
        <v>223</v>
      </c>
      <c r="B35" s="874">
        <v>2</v>
      </c>
      <c r="C35" s="874" t="s">
        <v>826</v>
      </c>
      <c r="D35" s="842" t="s">
        <v>213</v>
      </c>
      <c r="E35" s="843" t="s">
        <v>230</v>
      </c>
      <c r="F35" s="842" t="s">
        <v>30</v>
      </c>
      <c r="G35" s="842" t="s">
        <v>215</v>
      </c>
      <c r="H35" s="843" t="s">
        <v>231</v>
      </c>
      <c r="I35" s="842" t="s">
        <v>107</v>
      </c>
      <c r="J35" s="876">
        <v>1297</v>
      </c>
      <c r="K35" s="877">
        <v>0</v>
      </c>
      <c r="L35" s="878">
        <v>0</v>
      </c>
      <c r="M35" s="879">
        <v>0</v>
      </c>
      <c r="N35" s="900">
        <v>0</v>
      </c>
      <c r="O35" s="876">
        <v>260</v>
      </c>
      <c r="P35" s="844">
        <f>IF(K35&gt;=0,L35+O35,"")</f>
        <v>260</v>
      </c>
      <c r="Q35" s="850">
        <f>IF(J35&gt;0,J35+P35,"0.00")</f>
        <v>1557</v>
      </c>
      <c r="R35" s="851">
        <v>25.75</v>
      </c>
      <c r="S35" s="844">
        <f>R35/24</f>
        <v>1.0729166666666667</v>
      </c>
      <c r="T35" s="852"/>
      <c r="U35" s="853"/>
      <c r="V35" s="853"/>
    </row>
    <row r="36" spans="1:22" s="854" customFormat="1" ht="12.75" customHeight="1">
      <c r="A36" s="881"/>
      <c r="B36" s="910" t="s">
        <v>188</v>
      </c>
      <c r="C36" s="910" t="s">
        <v>202</v>
      </c>
      <c r="D36" s="910" t="s">
        <v>213</v>
      </c>
      <c r="E36" s="911" t="s">
        <v>449</v>
      </c>
      <c r="F36" s="910" t="s">
        <v>30</v>
      </c>
      <c r="G36" s="910" t="s">
        <v>215</v>
      </c>
      <c r="H36" s="911" t="s">
        <v>450</v>
      </c>
      <c r="I36" s="910" t="s">
        <v>107</v>
      </c>
      <c r="J36" s="912">
        <v>1295.8</v>
      </c>
      <c r="K36" s="887">
        <v>31</v>
      </c>
      <c r="L36" s="888">
        <v>211.6</v>
      </c>
      <c r="M36" s="889">
        <v>180.28</v>
      </c>
      <c r="N36" s="890">
        <f>IF(M36&lt;&gt;0,M36/L36,"0")</f>
        <v>0.851984877126654</v>
      </c>
      <c r="O36" s="886">
        <v>0</v>
      </c>
      <c r="P36" s="886">
        <f>IF(K36&gt;=0,L36+O36,"")</f>
        <v>211.6</v>
      </c>
      <c r="Q36" s="891">
        <f>IF(J36&gt;0,J36+P36,"0.00")</f>
        <v>1507.3999999999999</v>
      </c>
      <c r="R36" s="892">
        <v>51</v>
      </c>
      <c r="S36" s="886">
        <f>R36/24</f>
        <v>2.125</v>
      </c>
      <c r="T36" s="852"/>
      <c r="U36" s="853"/>
      <c r="V36" s="853"/>
    </row>
    <row r="37" spans="1:22" s="854" customFormat="1" ht="12.75" customHeight="1">
      <c r="A37" s="896"/>
      <c r="B37" s="884" t="s">
        <v>188</v>
      </c>
      <c r="C37" s="884" t="s">
        <v>827</v>
      </c>
      <c r="D37" s="884" t="s">
        <v>213</v>
      </c>
      <c r="E37" s="885" t="s">
        <v>479</v>
      </c>
      <c r="F37" s="884" t="s">
        <v>30</v>
      </c>
      <c r="G37" s="884" t="s">
        <v>215</v>
      </c>
      <c r="H37" s="885" t="s">
        <v>480</v>
      </c>
      <c r="I37" s="884" t="s">
        <v>107</v>
      </c>
      <c r="J37" s="886">
        <v>1295.8</v>
      </c>
      <c r="K37" s="887">
        <v>0</v>
      </c>
      <c r="L37" s="888">
        <v>0</v>
      </c>
      <c r="M37" s="889">
        <v>0</v>
      </c>
      <c r="N37" s="890">
        <v>0</v>
      </c>
      <c r="O37" s="886">
        <v>191.2</v>
      </c>
      <c r="P37" s="886">
        <f>IF(K37&gt;=0,L37+O37,"")</f>
        <v>191.2</v>
      </c>
      <c r="Q37" s="891">
        <f>IF(J37&gt;0,J37+P37,"0.00")</f>
        <v>1487</v>
      </c>
      <c r="R37" s="892">
        <v>15.25</v>
      </c>
      <c r="S37" s="886">
        <f>R37/24</f>
        <v>0.6354166666666666</v>
      </c>
      <c r="T37" s="852"/>
      <c r="U37" s="853"/>
      <c r="V37" s="853"/>
    </row>
    <row r="38" spans="1:22" s="854" customFormat="1" ht="12.75" customHeight="1">
      <c r="A38" s="896"/>
      <c r="B38" s="913" t="s">
        <v>188</v>
      </c>
      <c r="C38" s="914" t="s">
        <v>828</v>
      </c>
      <c r="D38" s="913" t="s">
        <v>213</v>
      </c>
      <c r="E38" s="885" t="s">
        <v>479</v>
      </c>
      <c r="F38" s="913" t="s">
        <v>30</v>
      </c>
      <c r="G38" s="913" t="s">
        <v>215</v>
      </c>
      <c r="H38" s="915" t="s">
        <v>450</v>
      </c>
      <c r="I38" s="913" t="s">
        <v>107</v>
      </c>
      <c r="J38" s="905">
        <v>1295.8</v>
      </c>
      <c r="K38" s="887">
        <v>4</v>
      </c>
      <c r="L38" s="888">
        <v>28.8</v>
      </c>
      <c r="M38" s="889">
        <v>32.65</v>
      </c>
      <c r="N38" s="890">
        <f>IF(M38&lt;&gt;0,M38/L38,"0")</f>
        <v>1.1336805555555556</v>
      </c>
      <c r="O38" s="886">
        <v>231.2</v>
      </c>
      <c r="P38" s="886">
        <f>IF(K38&gt;=0,L38+O38,"")</f>
        <v>260</v>
      </c>
      <c r="Q38" s="891">
        <f>IF(J38&gt;0,J38+P38,"0.00")</f>
        <v>1555.8</v>
      </c>
      <c r="R38" s="892">
        <v>58</v>
      </c>
      <c r="S38" s="886">
        <f>R38/24</f>
        <v>2.4166666666666665</v>
      </c>
      <c r="T38" s="852"/>
      <c r="U38" s="853"/>
      <c r="V38" s="853"/>
    </row>
    <row r="39" spans="1:22" s="854" customFormat="1" ht="12.75" customHeight="1">
      <c r="A39" s="863"/>
      <c r="B39" s="863"/>
      <c r="C39" s="907"/>
      <c r="D39" s="907"/>
      <c r="E39" s="907"/>
      <c r="F39" s="908"/>
      <c r="G39" s="908"/>
      <c r="H39" s="908"/>
      <c r="I39" s="908"/>
      <c r="J39" s="857" t="s">
        <v>334</v>
      </c>
      <c r="K39" s="858">
        <f>IF(C35&gt;"",SUM(K35:K38),"0")</f>
        <v>35</v>
      </c>
      <c r="L39" s="859">
        <f>IF(D35&gt;"",SUM(L35:L38),"0")</f>
        <v>240.4</v>
      </c>
      <c r="M39" s="860">
        <f>IF(E35&gt;"",SUM(M35:M38),"0")</f>
        <v>212.93</v>
      </c>
      <c r="N39" s="861">
        <f>IF(M39&lt;&gt;0,M39/L39,"N/A")</f>
        <v>0.8857321131447587</v>
      </c>
      <c r="O39" s="859">
        <f>IF(G35&gt;"",SUM(O35:O38),"0")</f>
        <v>682.4</v>
      </c>
      <c r="P39" s="859">
        <f>IF(H35&gt;"",SUM(P35:P38),"0")</f>
        <v>922.8</v>
      </c>
      <c r="Q39" s="862" t="s">
        <v>147</v>
      </c>
      <c r="R39" s="860">
        <f>IF(I35&gt;"",SUM(R35:R38),"0")</f>
        <v>150</v>
      </c>
      <c r="S39" s="859">
        <f>SUM(S35:S38)</f>
        <v>6.25</v>
      </c>
      <c r="T39" s="852"/>
      <c r="U39" s="853"/>
      <c r="V39" s="853"/>
    </row>
    <row r="40" spans="1:22" s="854" customFormat="1" ht="6" customHeight="1">
      <c r="A40" s="863"/>
      <c r="B40" s="863"/>
      <c r="C40" s="863"/>
      <c r="D40" s="863"/>
      <c r="E40" s="863"/>
      <c r="F40" s="864"/>
      <c r="G40" s="864"/>
      <c r="H40" s="864"/>
      <c r="I40" s="864"/>
      <c r="J40" s="864"/>
      <c r="K40" s="865"/>
      <c r="L40" s="866"/>
      <c r="M40" s="867"/>
      <c r="N40" s="868"/>
      <c r="O40" s="866"/>
      <c r="P40" s="866"/>
      <c r="Q40" s="869"/>
      <c r="R40" s="867"/>
      <c r="S40" s="866"/>
      <c r="T40" s="852"/>
      <c r="U40" s="853"/>
      <c r="V40" s="853"/>
    </row>
    <row r="41" spans="1:22" s="854" customFormat="1" ht="12.75" customHeight="1">
      <c r="A41" s="873" t="s">
        <v>224</v>
      </c>
      <c r="B41" s="898">
        <v>2</v>
      </c>
      <c r="C41" s="874" t="s">
        <v>829</v>
      </c>
      <c r="D41" s="874" t="s">
        <v>235</v>
      </c>
      <c r="E41" s="875" t="s">
        <v>232</v>
      </c>
      <c r="F41" s="874" t="s">
        <v>30</v>
      </c>
      <c r="G41" s="874" t="s">
        <v>233</v>
      </c>
      <c r="H41" s="875" t="s">
        <v>234</v>
      </c>
      <c r="I41" s="874" t="s">
        <v>107</v>
      </c>
      <c r="J41" s="876">
        <v>1700</v>
      </c>
      <c r="K41" s="877">
        <v>0</v>
      </c>
      <c r="L41" s="878">
        <v>0</v>
      </c>
      <c r="M41" s="879">
        <v>0</v>
      </c>
      <c r="N41" s="900">
        <v>0</v>
      </c>
      <c r="O41" s="844">
        <v>350</v>
      </c>
      <c r="P41" s="844">
        <f>IF(K41&gt;=0,L41+O41,"")</f>
        <v>350</v>
      </c>
      <c r="Q41" s="850">
        <f>IF(J41&gt;0,J41+P41,"0.00")</f>
        <v>2050</v>
      </c>
      <c r="R41" s="851">
        <v>34.25</v>
      </c>
      <c r="S41" s="844">
        <f>R41/24</f>
        <v>1.4270833333333333</v>
      </c>
      <c r="T41" s="852"/>
      <c r="U41" s="853"/>
      <c r="V41" s="853"/>
    </row>
    <row r="42" spans="1:22" s="854" customFormat="1" ht="12.75" customHeight="1">
      <c r="A42" s="893"/>
      <c r="B42" s="893"/>
      <c r="C42" s="855"/>
      <c r="D42" s="855"/>
      <c r="E42" s="855"/>
      <c r="F42" s="856"/>
      <c r="G42" s="856"/>
      <c r="H42" s="856"/>
      <c r="I42" s="856"/>
      <c r="J42" s="856" t="s">
        <v>333</v>
      </c>
      <c r="K42" s="858">
        <f>IF(C41&gt;"",SUM(K41:K41),"0")</f>
        <v>0</v>
      </c>
      <c r="L42" s="859">
        <f>IF(D41&gt;"",SUM(L41:L41),"0")</f>
        <v>0</v>
      </c>
      <c r="M42" s="860">
        <f>IF(E41&gt;"",SUM(M41:M41),"0")</f>
        <v>0</v>
      </c>
      <c r="N42" s="895" t="s">
        <v>627</v>
      </c>
      <c r="O42" s="859">
        <f>IF(G41&gt;"",SUM(O41:O41),"0")</f>
        <v>350</v>
      </c>
      <c r="P42" s="859">
        <f>SUM(P41:P41)</f>
        <v>350</v>
      </c>
      <c r="Q42" s="862" t="s">
        <v>147</v>
      </c>
      <c r="R42" s="860">
        <f>IF(I41&gt;"",SUM(R41:R41),"0")</f>
        <v>34.25</v>
      </c>
      <c r="S42" s="859">
        <f>SUM(S41:S41)</f>
        <v>1.4270833333333333</v>
      </c>
      <c r="T42" s="852"/>
      <c r="U42" s="853"/>
      <c r="V42" s="853"/>
    </row>
    <row r="43" spans="1:22" s="854" customFormat="1" ht="6" customHeight="1">
      <c r="A43" s="863"/>
      <c r="B43" s="863"/>
      <c r="C43" s="863"/>
      <c r="D43" s="863"/>
      <c r="E43" s="863"/>
      <c r="F43" s="864"/>
      <c r="G43" s="864"/>
      <c r="H43" s="864"/>
      <c r="I43" s="864"/>
      <c r="J43" s="864"/>
      <c r="K43" s="865"/>
      <c r="L43" s="866"/>
      <c r="M43" s="867"/>
      <c r="N43" s="868"/>
      <c r="O43" s="866"/>
      <c r="P43" s="866"/>
      <c r="Q43" s="869"/>
      <c r="R43" s="867"/>
      <c r="S43" s="866"/>
      <c r="T43" s="852"/>
      <c r="U43" s="853"/>
      <c r="V43" s="853"/>
    </row>
    <row r="44" spans="1:22" s="854" customFormat="1" ht="12.75" customHeight="1">
      <c r="A44" s="873" t="s">
        <v>241</v>
      </c>
      <c r="B44" s="898">
        <v>2</v>
      </c>
      <c r="C44" s="874" t="s">
        <v>830</v>
      </c>
      <c r="D44" s="874" t="s">
        <v>235</v>
      </c>
      <c r="E44" s="875" t="s">
        <v>236</v>
      </c>
      <c r="F44" s="874" t="s">
        <v>30</v>
      </c>
      <c r="G44" s="874" t="s">
        <v>233</v>
      </c>
      <c r="H44" s="875" t="s">
        <v>237</v>
      </c>
      <c r="I44" s="874" t="s">
        <v>107</v>
      </c>
      <c r="J44" s="876">
        <v>1946</v>
      </c>
      <c r="K44" s="845">
        <v>0</v>
      </c>
      <c r="L44" s="846">
        <v>0</v>
      </c>
      <c r="M44" s="847">
        <v>0</v>
      </c>
      <c r="N44" s="900">
        <v>0</v>
      </c>
      <c r="O44" s="844">
        <v>330</v>
      </c>
      <c r="P44" s="844">
        <f>IF(K44&gt;=0,L44+O44,"")</f>
        <v>330</v>
      </c>
      <c r="Q44" s="850">
        <f>IF(J44&gt;0,J44+P44,"0.00")</f>
        <v>2276</v>
      </c>
      <c r="R44" s="851">
        <v>32.25</v>
      </c>
      <c r="S44" s="844">
        <f>R44/24</f>
        <v>1.34375</v>
      </c>
      <c r="T44" s="852"/>
      <c r="U44" s="853"/>
      <c r="V44" s="853"/>
    </row>
    <row r="45" spans="1:22" s="854" customFormat="1" ht="12.75" customHeight="1">
      <c r="A45" s="893"/>
      <c r="B45" s="893"/>
      <c r="C45" s="855"/>
      <c r="D45" s="855"/>
      <c r="E45" s="855"/>
      <c r="F45" s="856"/>
      <c r="G45" s="856"/>
      <c r="H45" s="856"/>
      <c r="I45" s="856"/>
      <c r="J45" s="857" t="s">
        <v>332</v>
      </c>
      <c r="K45" s="858">
        <f>IF(C44&gt;"",SUM(K44:K44),"0")</f>
        <v>0</v>
      </c>
      <c r="L45" s="859">
        <f>IF(D44&gt;"",SUM(L44:L44),"0")</f>
        <v>0</v>
      </c>
      <c r="M45" s="860">
        <f>IF(E44&gt;"",SUM(M44:M44),"0")</f>
        <v>0</v>
      </c>
      <c r="N45" s="895" t="s">
        <v>627</v>
      </c>
      <c r="O45" s="859">
        <f>IF(G44&gt;"",SUM(O44:O44),"0")</f>
        <v>330</v>
      </c>
      <c r="P45" s="859">
        <f>SUM(P44:P44)</f>
        <v>330</v>
      </c>
      <c r="Q45" s="862" t="s">
        <v>147</v>
      </c>
      <c r="R45" s="860">
        <f>IF(I44&gt;"",SUM(R44:R44),"0")</f>
        <v>32.25</v>
      </c>
      <c r="S45" s="859">
        <f>SUM(S44:S44)</f>
        <v>1.34375</v>
      </c>
      <c r="T45" s="852"/>
      <c r="U45" s="853"/>
      <c r="V45" s="853"/>
    </row>
    <row r="46" spans="1:22" s="854" customFormat="1" ht="6" customHeight="1">
      <c r="A46" s="863"/>
      <c r="B46" s="863"/>
      <c r="C46" s="863"/>
      <c r="D46" s="863"/>
      <c r="E46" s="863"/>
      <c r="F46" s="864"/>
      <c r="G46" s="864"/>
      <c r="H46" s="864"/>
      <c r="I46" s="864"/>
      <c r="J46" s="864"/>
      <c r="K46" s="865"/>
      <c r="L46" s="866"/>
      <c r="M46" s="867"/>
      <c r="N46" s="868"/>
      <c r="O46" s="866"/>
      <c r="P46" s="866"/>
      <c r="Q46" s="869"/>
      <c r="R46" s="867"/>
      <c r="S46" s="866"/>
      <c r="T46" s="852"/>
      <c r="U46" s="853"/>
      <c r="V46" s="853"/>
    </row>
    <row r="47" spans="1:22" s="854" customFormat="1" ht="12.75" customHeight="1">
      <c r="A47" s="873" t="s">
        <v>225</v>
      </c>
      <c r="B47" s="874">
        <v>2</v>
      </c>
      <c r="C47" s="874" t="s">
        <v>831</v>
      </c>
      <c r="D47" s="842" t="s">
        <v>190</v>
      </c>
      <c r="E47" s="843" t="s">
        <v>238</v>
      </c>
      <c r="F47" s="842" t="s">
        <v>30</v>
      </c>
      <c r="G47" s="842" t="s">
        <v>196</v>
      </c>
      <c r="H47" s="843" t="s">
        <v>239</v>
      </c>
      <c r="I47" s="842" t="s">
        <v>107</v>
      </c>
      <c r="J47" s="876">
        <v>1049</v>
      </c>
      <c r="K47" s="877">
        <v>0</v>
      </c>
      <c r="L47" s="878">
        <v>0</v>
      </c>
      <c r="M47" s="879">
        <v>0</v>
      </c>
      <c r="N47" s="900">
        <v>0</v>
      </c>
      <c r="O47" s="876">
        <v>205.5</v>
      </c>
      <c r="P47" s="844">
        <f>IF(K47&gt;=0,L47+O47,"")</f>
        <v>205.5</v>
      </c>
      <c r="Q47" s="850">
        <f>IF(J47&gt;0,J47+P47,"0.00")</f>
        <v>1254.5</v>
      </c>
      <c r="R47" s="851">
        <v>26.75</v>
      </c>
      <c r="S47" s="844">
        <f>R47/24</f>
        <v>1.1145833333333333</v>
      </c>
      <c r="T47" s="852"/>
      <c r="U47" s="853"/>
      <c r="V47" s="853"/>
    </row>
    <row r="48" spans="1:22" s="854" customFormat="1" ht="12.75" customHeight="1">
      <c r="A48" s="881"/>
      <c r="B48" s="884" t="s">
        <v>187</v>
      </c>
      <c r="C48" s="884" t="s">
        <v>832</v>
      </c>
      <c r="D48" s="884" t="s">
        <v>190</v>
      </c>
      <c r="E48" s="885" t="s">
        <v>243</v>
      </c>
      <c r="F48" s="884" t="s">
        <v>30</v>
      </c>
      <c r="G48" s="884" t="s">
        <v>196</v>
      </c>
      <c r="H48" s="885" t="s">
        <v>244</v>
      </c>
      <c r="I48" s="884" t="s">
        <v>107</v>
      </c>
      <c r="J48" s="886">
        <v>1049.4</v>
      </c>
      <c r="K48" s="887">
        <v>31</v>
      </c>
      <c r="L48" s="888">
        <v>204.9</v>
      </c>
      <c r="M48" s="889">
        <v>55.53</v>
      </c>
      <c r="N48" s="890">
        <f>M48/L48</f>
        <v>0.27101024890190334</v>
      </c>
      <c r="O48" s="886">
        <v>0</v>
      </c>
      <c r="P48" s="886">
        <f>IF(K48&gt;=0,L48+O48,"")</f>
        <v>204.9</v>
      </c>
      <c r="Q48" s="891">
        <f>IF(J48&gt;0,J48+P48,"0.00")</f>
        <v>1254.3000000000002</v>
      </c>
      <c r="R48" s="892">
        <v>61.25</v>
      </c>
      <c r="S48" s="886">
        <f>R48/24</f>
        <v>2.5520833333333335</v>
      </c>
      <c r="T48" s="852"/>
      <c r="U48" s="853"/>
      <c r="V48" s="853"/>
    </row>
    <row r="49" spans="1:22" s="854" customFormat="1" ht="12.75" customHeight="1">
      <c r="A49" s="896"/>
      <c r="B49" s="910" t="s">
        <v>187</v>
      </c>
      <c r="C49" s="910" t="s">
        <v>833</v>
      </c>
      <c r="D49" s="884" t="s">
        <v>190</v>
      </c>
      <c r="E49" s="911">
        <v>51.8647</v>
      </c>
      <c r="F49" s="884" t="s">
        <v>30</v>
      </c>
      <c r="G49" s="884" t="s">
        <v>196</v>
      </c>
      <c r="H49" s="911">
        <v>50.0709</v>
      </c>
      <c r="I49" s="884" t="s">
        <v>107</v>
      </c>
      <c r="J49" s="912" t="s">
        <v>348</v>
      </c>
      <c r="K49" s="916">
        <v>1</v>
      </c>
      <c r="L49" s="917">
        <v>9.5</v>
      </c>
      <c r="M49" s="918">
        <v>8.82</v>
      </c>
      <c r="N49" s="890">
        <f>M49/L49</f>
        <v>0.9284210526315789</v>
      </c>
      <c r="O49" s="912" t="s">
        <v>344</v>
      </c>
      <c r="P49" s="886">
        <v>32.6</v>
      </c>
      <c r="Q49" s="919" t="s">
        <v>626</v>
      </c>
      <c r="R49" s="920">
        <v>1.5</v>
      </c>
      <c r="S49" s="886">
        <f>R49/24</f>
        <v>0.0625</v>
      </c>
      <c r="T49" s="852"/>
      <c r="U49" s="853"/>
      <c r="V49" s="853"/>
    </row>
    <row r="50" spans="1:22" s="854" customFormat="1" ht="12.75" customHeight="1">
      <c r="A50" s="896"/>
      <c r="B50" s="882" t="s">
        <v>187</v>
      </c>
      <c r="C50" s="884" t="s">
        <v>834</v>
      </c>
      <c r="D50" s="884" t="s">
        <v>190</v>
      </c>
      <c r="E50" s="911">
        <v>51.8647</v>
      </c>
      <c r="F50" s="884" t="s">
        <v>30</v>
      </c>
      <c r="G50" s="884" t="s">
        <v>196</v>
      </c>
      <c r="H50" s="911">
        <v>50.0709</v>
      </c>
      <c r="I50" s="884" t="s">
        <v>107</v>
      </c>
      <c r="J50" s="886">
        <v>1050.4</v>
      </c>
      <c r="K50" s="921">
        <v>29</v>
      </c>
      <c r="L50" s="922">
        <v>203.8</v>
      </c>
      <c r="M50" s="923">
        <v>127.43</v>
      </c>
      <c r="N50" s="924">
        <f>M50/L50</f>
        <v>0.625269872423945</v>
      </c>
      <c r="O50" s="902">
        <v>0</v>
      </c>
      <c r="P50" s="912">
        <v>32.6</v>
      </c>
      <c r="Q50" s="925">
        <f>IF(J50&gt;0,J50+P50,"0.00")</f>
        <v>1083</v>
      </c>
      <c r="R50" s="904">
        <v>77.25</v>
      </c>
      <c r="S50" s="902">
        <f>R50/24</f>
        <v>3.21875</v>
      </c>
      <c r="T50" s="852"/>
      <c r="U50" s="853"/>
      <c r="V50" s="853"/>
    </row>
    <row r="51" spans="1:22" s="854" customFormat="1" ht="12.75" customHeight="1">
      <c r="A51" s="893"/>
      <c r="B51" s="893"/>
      <c r="C51" s="855"/>
      <c r="D51" s="855"/>
      <c r="E51" s="855"/>
      <c r="F51" s="856"/>
      <c r="G51" s="856"/>
      <c r="H51" s="856"/>
      <c r="I51" s="856"/>
      <c r="J51" s="857" t="s">
        <v>331</v>
      </c>
      <c r="K51" s="926">
        <f>IF(C47&gt;"",SUM(K47:K50),"0")</f>
        <v>61</v>
      </c>
      <c r="L51" s="927">
        <f>IF(D47&gt;"",SUM(L47:L50),"0")</f>
        <v>418.20000000000005</v>
      </c>
      <c r="M51" s="928">
        <f>IF(E47&gt;"",SUM(M47:M50),"0")</f>
        <v>191.78</v>
      </c>
      <c r="N51" s="861">
        <f>M51/L51</f>
        <v>0.4585844093735055</v>
      </c>
      <c r="O51" s="927">
        <v>228.6</v>
      </c>
      <c r="P51" s="859">
        <f>IF(H47&gt;"",SUM(P47:P50),"0")</f>
        <v>475.6</v>
      </c>
      <c r="Q51" s="929" t="s">
        <v>147</v>
      </c>
      <c r="R51" s="928">
        <f>IF(I47&gt;"",SUM(R47:R50),"0")</f>
        <v>166.75</v>
      </c>
      <c r="S51" s="927">
        <f>R51/24</f>
        <v>6.947916666666667</v>
      </c>
      <c r="T51" s="852"/>
      <c r="U51" s="853"/>
      <c r="V51" s="853"/>
    </row>
    <row r="52" spans="1:22" s="854" customFormat="1" ht="12.75" customHeight="1">
      <c r="A52" s="1174" t="s">
        <v>506</v>
      </c>
      <c r="B52" s="1174"/>
      <c r="C52" s="1174"/>
      <c r="D52" s="1174"/>
      <c r="E52" s="1174"/>
      <c r="F52" s="1174"/>
      <c r="G52" s="1174"/>
      <c r="H52" s="1174"/>
      <c r="I52" s="1174"/>
      <c r="J52" s="1174"/>
      <c r="K52" s="1174"/>
      <c r="L52" s="1174"/>
      <c r="M52" s="1174"/>
      <c r="N52" s="1174"/>
      <c r="O52" s="1174"/>
      <c r="P52" s="1174"/>
      <c r="Q52" s="1174"/>
      <c r="R52" s="1174"/>
      <c r="S52" s="1174"/>
      <c r="T52" s="852"/>
      <c r="U52" s="853"/>
      <c r="V52" s="853"/>
    </row>
    <row r="53" spans="1:22" s="854" customFormat="1" ht="6" customHeight="1">
      <c r="A53" s="863"/>
      <c r="B53" s="863"/>
      <c r="C53" s="863"/>
      <c r="D53" s="863"/>
      <c r="E53" s="863"/>
      <c r="F53" s="864"/>
      <c r="G53" s="864"/>
      <c r="H53" s="864"/>
      <c r="I53" s="864"/>
      <c r="J53" s="864"/>
      <c r="K53" s="930"/>
      <c r="L53" s="931"/>
      <c r="M53" s="932"/>
      <c r="N53" s="933"/>
      <c r="O53" s="931"/>
      <c r="P53" s="931"/>
      <c r="Q53" s="934"/>
      <c r="R53" s="932"/>
      <c r="S53" s="931"/>
      <c r="T53" s="852"/>
      <c r="U53" s="853"/>
      <c r="V53" s="853"/>
    </row>
    <row r="54" spans="1:22" s="854" customFormat="1" ht="12.75" customHeight="1">
      <c r="A54" s="873" t="s">
        <v>226</v>
      </c>
      <c r="B54" s="898">
        <v>2</v>
      </c>
      <c r="C54" s="874" t="s">
        <v>835</v>
      </c>
      <c r="D54" s="874" t="s">
        <v>190</v>
      </c>
      <c r="E54" s="875" t="s">
        <v>242</v>
      </c>
      <c r="F54" s="874" t="s">
        <v>30</v>
      </c>
      <c r="G54" s="874" t="s">
        <v>196</v>
      </c>
      <c r="H54" s="875" t="s">
        <v>240</v>
      </c>
      <c r="I54" s="874" t="s">
        <v>107</v>
      </c>
      <c r="J54" s="876">
        <v>1018</v>
      </c>
      <c r="K54" s="845">
        <v>0</v>
      </c>
      <c r="L54" s="846">
        <v>0</v>
      </c>
      <c r="M54" s="847">
        <v>0</v>
      </c>
      <c r="N54" s="900">
        <v>0</v>
      </c>
      <c r="O54" s="844">
        <v>200</v>
      </c>
      <c r="P54" s="844">
        <f>IF(K54&gt;=0,L54+O54,"")</f>
        <v>200</v>
      </c>
      <c r="Q54" s="850">
        <f>IF(J54&gt;0,J54+P54,"0.00")</f>
        <v>1218</v>
      </c>
      <c r="R54" s="851">
        <v>14.5</v>
      </c>
      <c r="S54" s="844">
        <f>R54/24</f>
        <v>0.6041666666666666</v>
      </c>
      <c r="T54" s="852"/>
      <c r="U54" s="853"/>
      <c r="V54" s="853"/>
    </row>
    <row r="55" spans="1:22" s="854" customFormat="1" ht="12.75" customHeight="1">
      <c r="A55" s="893"/>
      <c r="B55" s="893"/>
      <c r="C55" s="855"/>
      <c r="D55" s="855"/>
      <c r="E55" s="855"/>
      <c r="F55" s="856"/>
      <c r="G55" s="856"/>
      <c r="H55" s="856"/>
      <c r="I55" s="856"/>
      <c r="J55" s="857" t="s">
        <v>330</v>
      </c>
      <c r="K55" s="858">
        <f>IF(C54&gt;"",SUM(K54:K54),"0")</f>
        <v>0</v>
      </c>
      <c r="L55" s="859">
        <f>IF(D54&gt;"",SUM(L54:L54),"0")</f>
        <v>0</v>
      </c>
      <c r="M55" s="860">
        <f>IF(E54&gt;"",SUM(M54:M54),"0")</f>
        <v>0</v>
      </c>
      <c r="N55" s="895" t="s">
        <v>627</v>
      </c>
      <c r="O55" s="859">
        <f>IF(G54&gt;"",SUM(O54:O54),"0")</f>
        <v>200</v>
      </c>
      <c r="P55" s="859">
        <f>SUM(P54:P54)</f>
        <v>200</v>
      </c>
      <c r="Q55" s="862" t="s">
        <v>147</v>
      </c>
      <c r="R55" s="860">
        <f>IF(I54&gt;"",SUM(R54:R54),"0")</f>
        <v>14.5</v>
      </c>
      <c r="S55" s="859">
        <f>SUM(S54:S54)</f>
        <v>0.6041666666666666</v>
      </c>
      <c r="T55" s="852"/>
      <c r="U55" s="853"/>
      <c r="V55" s="853"/>
    </row>
    <row r="56" spans="1:22" s="854" customFormat="1" ht="6" customHeight="1">
      <c r="A56" s="935"/>
      <c r="B56" s="935"/>
      <c r="C56" s="935"/>
      <c r="D56" s="935"/>
      <c r="E56" s="935"/>
      <c r="F56" s="936"/>
      <c r="G56" s="936"/>
      <c r="H56" s="936"/>
      <c r="I56" s="936"/>
      <c r="J56" s="936"/>
      <c r="K56" s="937"/>
      <c r="L56" s="938"/>
      <c r="M56" s="939"/>
      <c r="N56" s="940"/>
      <c r="O56" s="938"/>
      <c r="P56" s="938"/>
      <c r="Q56" s="941"/>
      <c r="R56" s="939"/>
      <c r="S56" s="938"/>
      <c r="T56" s="852"/>
      <c r="U56" s="853"/>
      <c r="V56" s="853"/>
    </row>
    <row r="57" spans="1:22" s="854" customFormat="1" ht="12.75" customHeight="1">
      <c r="A57" s="873" t="s">
        <v>345</v>
      </c>
      <c r="B57" s="898" t="s">
        <v>187</v>
      </c>
      <c r="C57" s="898" t="s">
        <v>836</v>
      </c>
      <c r="D57" s="898" t="s">
        <v>190</v>
      </c>
      <c r="E57" s="909" t="s">
        <v>317</v>
      </c>
      <c r="F57" s="898" t="s">
        <v>30</v>
      </c>
      <c r="G57" s="898" t="s">
        <v>196</v>
      </c>
      <c r="H57" s="909" t="s">
        <v>318</v>
      </c>
      <c r="I57" s="898" t="s">
        <v>107</v>
      </c>
      <c r="J57" s="849">
        <v>1045.8</v>
      </c>
      <c r="K57" s="942">
        <v>13</v>
      </c>
      <c r="L57" s="943">
        <v>62.1</v>
      </c>
      <c r="M57" s="944">
        <v>50.23</v>
      </c>
      <c r="N57" s="848">
        <f>M57/L57</f>
        <v>0.8088566827697262</v>
      </c>
      <c r="O57" s="849">
        <v>88.8</v>
      </c>
      <c r="P57" s="849">
        <f>IF(K57&gt;=0,L57+O57,"")</f>
        <v>150.9</v>
      </c>
      <c r="Q57" s="945">
        <f>IF(J57&gt;0,J57+P57,"0.00")</f>
        <v>1196.7</v>
      </c>
      <c r="R57" s="946">
        <v>30</v>
      </c>
      <c r="S57" s="844">
        <f>R57/24</f>
        <v>1.25</v>
      </c>
      <c r="T57" s="852"/>
      <c r="U57" s="853"/>
      <c r="V57" s="853"/>
    </row>
    <row r="58" spans="1:22" s="854" customFormat="1" ht="12.75" customHeight="1">
      <c r="A58" s="893"/>
      <c r="B58" s="893"/>
      <c r="C58" s="893"/>
      <c r="D58" s="893"/>
      <c r="E58" s="893"/>
      <c r="F58" s="894"/>
      <c r="G58" s="894"/>
      <c r="H58" s="894"/>
      <c r="I58" s="894"/>
      <c r="J58" s="947" t="s">
        <v>329</v>
      </c>
      <c r="K58" s="926">
        <f>K57</f>
        <v>13</v>
      </c>
      <c r="L58" s="927">
        <f>L57</f>
        <v>62.1</v>
      </c>
      <c r="M58" s="928">
        <f>M57</f>
        <v>50.23</v>
      </c>
      <c r="N58" s="861">
        <f>M58/L58</f>
        <v>0.8088566827697262</v>
      </c>
      <c r="O58" s="927">
        <f>O57</f>
        <v>88.8</v>
      </c>
      <c r="P58" s="927">
        <f>P57</f>
        <v>150.9</v>
      </c>
      <c r="Q58" s="929" t="s">
        <v>147</v>
      </c>
      <c r="R58" s="928">
        <f>R57</f>
        <v>30</v>
      </c>
      <c r="S58" s="859">
        <f>SUM(S57:S57)</f>
        <v>1.25</v>
      </c>
      <c r="T58" s="852"/>
      <c r="U58" s="853"/>
      <c r="V58" s="853"/>
    </row>
    <row r="59" spans="1:22" s="872" customFormat="1" ht="6" customHeight="1">
      <c r="A59" s="893"/>
      <c r="B59" s="893"/>
      <c r="C59" s="893"/>
      <c r="D59" s="893"/>
      <c r="E59" s="893"/>
      <c r="F59" s="894"/>
      <c r="G59" s="894"/>
      <c r="H59" s="894"/>
      <c r="I59" s="894"/>
      <c r="J59" s="894"/>
      <c r="K59" s="948"/>
      <c r="L59" s="949"/>
      <c r="M59" s="950"/>
      <c r="N59" s="951"/>
      <c r="O59" s="949"/>
      <c r="P59" s="949"/>
      <c r="Q59" s="952"/>
      <c r="R59" s="950"/>
      <c r="S59" s="949"/>
      <c r="T59" s="870"/>
      <c r="U59" s="871"/>
      <c r="V59" s="871"/>
    </row>
    <row r="60" spans="1:22" s="854" customFormat="1" ht="12.75" customHeight="1">
      <c r="A60" s="873" t="s">
        <v>346</v>
      </c>
      <c r="B60" s="898" t="s">
        <v>187</v>
      </c>
      <c r="C60" s="898" t="s">
        <v>837</v>
      </c>
      <c r="D60" s="898" t="s">
        <v>190</v>
      </c>
      <c r="E60" s="909" t="s">
        <v>342</v>
      </c>
      <c r="F60" s="898" t="s">
        <v>30</v>
      </c>
      <c r="G60" s="898" t="s">
        <v>196</v>
      </c>
      <c r="H60" s="909" t="s">
        <v>343</v>
      </c>
      <c r="I60" s="898" t="s">
        <v>107</v>
      </c>
      <c r="J60" s="849">
        <v>1044</v>
      </c>
      <c r="K60" s="942">
        <v>0</v>
      </c>
      <c r="L60" s="943">
        <v>0</v>
      </c>
      <c r="M60" s="944">
        <v>0</v>
      </c>
      <c r="N60" s="848">
        <v>0</v>
      </c>
      <c r="O60" s="849">
        <v>200</v>
      </c>
      <c r="P60" s="849">
        <f>IF(K60&gt;=0,L60+O60,"")</f>
        <v>200</v>
      </c>
      <c r="Q60" s="945">
        <f>IF(J60&gt;0,J60+P60,"0.00")</f>
        <v>1244</v>
      </c>
      <c r="R60" s="946">
        <v>29</v>
      </c>
      <c r="S60" s="849">
        <f>R60/24</f>
        <v>1.2083333333333333</v>
      </c>
      <c r="T60" s="852"/>
      <c r="U60" s="853"/>
      <c r="V60" s="853"/>
    </row>
    <row r="61" spans="1:22" s="854" customFormat="1" ht="12.75" customHeight="1">
      <c r="A61" s="893"/>
      <c r="B61" s="893"/>
      <c r="C61" s="893"/>
      <c r="D61" s="893"/>
      <c r="E61" s="893"/>
      <c r="F61" s="894"/>
      <c r="G61" s="894"/>
      <c r="H61" s="894"/>
      <c r="I61" s="894"/>
      <c r="J61" s="947" t="s">
        <v>341</v>
      </c>
      <c r="K61" s="926">
        <f>K60</f>
        <v>0</v>
      </c>
      <c r="L61" s="927">
        <f aca="true" t="shared" si="1" ref="L61:R61">L60</f>
        <v>0</v>
      </c>
      <c r="M61" s="928">
        <f t="shared" si="1"/>
        <v>0</v>
      </c>
      <c r="N61" s="953">
        <v>0</v>
      </c>
      <c r="O61" s="927">
        <f t="shared" si="1"/>
        <v>200</v>
      </c>
      <c r="P61" s="927">
        <f t="shared" si="1"/>
        <v>200</v>
      </c>
      <c r="Q61" s="929" t="s">
        <v>147</v>
      </c>
      <c r="R61" s="928">
        <f t="shared" si="1"/>
        <v>29</v>
      </c>
      <c r="S61" s="859">
        <f>SUM(S60:S60)</f>
        <v>1.2083333333333333</v>
      </c>
      <c r="T61" s="852"/>
      <c r="U61" s="853"/>
      <c r="V61" s="853"/>
    </row>
    <row r="62" spans="1:22" s="872" customFormat="1" ht="6" customHeight="1">
      <c r="A62" s="893"/>
      <c r="B62" s="893"/>
      <c r="C62" s="893"/>
      <c r="D62" s="893"/>
      <c r="E62" s="893"/>
      <c r="F62" s="894"/>
      <c r="G62" s="894"/>
      <c r="H62" s="894"/>
      <c r="I62" s="894"/>
      <c r="J62" s="894"/>
      <c r="K62" s="948"/>
      <c r="L62" s="949"/>
      <c r="M62" s="950"/>
      <c r="N62" s="951"/>
      <c r="O62" s="949"/>
      <c r="P62" s="949"/>
      <c r="Q62" s="952"/>
      <c r="R62" s="950"/>
      <c r="S62" s="949"/>
      <c r="T62" s="870"/>
      <c r="U62" s="871"/>
      <c r="V62" s="871"/>
    </row>
    <row r="63" spans="1:22" s="854" customFormat="1" ht="12.75" customHeight="1">
      <c r="A63" s="873" t="s">
        <v>476</v>
      </c>
      <c r="B63" s="898" t="s">
        <v>188</v>
      </c>
      <c r="C63" s="898" t="s">
        <v>838</v>
      </c>
      <c r="D63" s="898" t="s">
        <v>213</v>
      </c>
      <c r="E63" s="909" t="s">
        <v>526</v>
      </c>
      <c r="F63" s="898" t="s">
        <v>30</v>
      </c>
      <c r="G63" s="898" t="s">
        <v>215</v>
      </c>
      <c r="H63" s="909" t="s">
        <v>527</v>
      </c>
      <c r="I63" s="898" t="s">
        <v>107</v>
      </c>
      <c r="J63" s="849">
        <v>906.6</v>
      </c>
      <c r="K63" s="942">
        <v>23</v>
      </c>
      <c r="L63" s="943">
        <v>180</v>
      </c>
      <c r="M63" s="944">
        <v>152.76</v>
      </c>
      <c r="N63" s="848">
        <f>M63/L63</f>
        <v>0.8486666666666666</v>
      </c>
      <c r="O63" s="849">
        <v>0</v>
      </c>
      <c r="P63" s="849">
        <f>IF(K63&gt;=0,L63+O63,"")</f>
        <v>180</v>
      </c>
      <c r="Q63" s="945">
        <f>IF(J63&gt;0,J63+P63,"0.00")</f>
        <v>1086.6</v>
      </c>
      <c r="R63" s="946">
        <v>57.75</v>
      </c>
      <c r="S63" s="844">
        <f>R63/24</f>
        <v>2.40625</v>
      </c>
      <c r="T63" s="852"/>
      <c r="U63" s="853"/>
      <c r="V63" s="853"/>
    </row>
    <row r="64" spans="1:22" s="854" customFormat="1" ht="12.75" customHeight="1">
      <c r="A64" s="893"/>
      <c r="B64" s="893"/>
      <c r="C64" s="893"/>
      <c r="D64" s="893"/>
      <c r="E64" s="893"/>
      <c r="F64" s="894"/>
      <c r="G64" s="894"/>
      <c r="H64" s="894"/>
      <c r="I64" s="894"/>
      <c r="J64" s="947" t="s">
        <v>448</v>
      </c>
      <c r="K64" s="926">
        <f>K63</f>
        <v>23</v>
      </c>
      <c r="L64" s="927">
        <f>L63</f>
        <v>180</v>
      </c>
      <c r="M64" s="928">
        <f>M63</f>
        <v>152.76</v>
      </c>
      <c r="N64" s="953">
        <f>M64/L64</f>
        <v>0.8486666666666666</v>
      </c>
      <c r="O64" s="927">
        <f>O63</f>
        <v>0</v>
      </c>
      <c r="P64" s="927">
        <f>P63</f>
        <v>180</v>
      </c>
      <c r="Q64" s="929" t="s">
        <v>147</v>
      </c>
      <c r="R64" s="928">
        <f>R63</f>
        <v>57.75</v>
      </c>
      <c r="S64" s="859">
        <f>SUM(S63:S63)</f>
        <v>2.40625</v>
      </c>
      <c r="T64" s="852"/>
      <c r="U64" s="853"/>
      <c r="V64" s="853"/>
    </row>
    <row r="65" spans="1:22" s="872" customFormat="1" ht="6" customHeight="1">
      <c r="A65" s="893"/>
      <c r="B65" s="893"/>
      <c r="C65" s="893"/>
      <c r="D65" s="893"/>
      <c r="E65" s="893"/>
      <c r="F65" s="894"/>
      <c r="G65" s="894"/>
      <c r="H65" s="894"/>
      <c r="I65" s="894"/>
      <c r="J65" s="894"/>
      <c r="K65" s="948"/>
      <c r="L65" s="949"/>
      <c r="M65" s="950"/>
      <c r="N65" s="951"/>
      <c r="O65" s="949"/>
      <c r="P65" s="949"/>
      <c r="Q65" s="952"/>
      <c r="R65" s="950"/>
      <c r="S65" s="949"/>
      <c r="T65" s="870"/>
      <c r="U65" s="871"/>
      <c r="V65" s="871"/>
    </row>
    <row r="66" spans="1:22" s="854" customFormat="1" ht="12.75" customHeight="1">
      <c r="A66" s="873" t="s">
        <v>477</v>
      </c>
      <c r="B66" s="898" t="s">
        <v>188</v>
      </c>
      <c r="C66" s="898" t="s">
        <v>839</v>
      </c>
      <c r="D66" s="898" t="s">
        <v>213</v>
      </c>
      <c r="E66" s="909" t="s">
        <v>530</v>
      </c>
      <c r="F66" s="898" t="s">
        <v>30</v>
      </c>
      <c r="G66" s="898" t="s">
        <v>215</v>
      </c>
      <c r="H66" s="909" t="s">
        <v>531</v>
      </c>
      <c r="I66" s="898" t="s">
        <v>107</v>
      </c>
      <c r="J66" s="849">
        <v>937.9</v>
      </c>
      <c r="K66" s="942">
        <v>25</v>
      </c>
      <c r="L66" s="943">
        <v>200</v>
      </c>
      <c r="M66" s="944">
        <v>170.61</v>
      </c>
      <c r="N66" s="848">
        <f>M66/L66</f>
        <v>0.8530500000000001</v>
      </c>
      <c r="O66" s="849">
        <v>0</v>
      </c>
      <c r="P66" s="849">
        <f>IF(K66&gt;=0,L66+O66,"")</f>
        <v>200</v>
      </c>
      <c r="Q66" s="945">
        <f>IF(J66&gt;0,J66+P66,"0.00")</f>
        <v>1137.9</v>
      </c>
      <c r="R66" s="946">
        <v>50</v>
      </c>
      <c r="S66" s="844">
        <f>R66/24</f>
        <v>2.0833333333333335</v>
      </c>
      <c r="T66" s="852"/>
      <c r="U66" s="853"/>
      <c r="V66" s="853"/>
    </row>
    <row r="67" spans="1:22" s="854" customFormat="1" ht="12.75" customHeight="1">
      <c r="A67" s="893"/>
      <c r="B67" s="893"/>
      <c r="C67" s="893"/>
      <c r="D67" s="893"/>
      <c r="E67" s="893"/>
      <c r="F67" s="894"/>
      <c r="G67" s="894"/>
      <c r="H67" s="894"/>
      <c r="I67" s="894"/>
      <c r="J67" s="947" t="s">
        <v>622</v>
      </c>
      <c r="K67" s="926">
        <f>K66</f>
        <v>25</v>
      </c>
      <c r="L67" s="927">
        <f>L66</f>
        <v>200</v>
      </c>
      <c r="M67" s="928">
        <f>M66</f>
        <v>170.61</v>
      </c>
      <c r="N67" s="953">
        <f>M67/L67</f>
        <v>0.8530500000000001</v>
      </c>
      <c r="O67" s="927">
        <f>O66</f>
        <v>0</v>
      </c>
      <c r="P67" s="927">
        <f>P66</f>
        <v>200</v>
      </c>
      <c r="Q67" s="929" t="s">
        <v>147</v>
      </c>
      <c r="R67" s="928">
        <f>R66</f>
        <v>50</v>
      </c>
      <c r="S67" s="859">
        <f>SUM(S66:S66)</f>
        <v>2.0833333333333335</v>
      </c>
      <c r="T67" s="852"/>
      <c r="U67" s="853"/>
      <c r="V67" s="853"/>
    </row>
    <row r="68" spans="1:22" s="872" customFormat="1" ht="6" customHeight="1">
      <c r="A68" s="893"/>
      <c r="B68" s="893"/>
      <c r="C68" s="893"/>
      <c r="D68" s="893"/>
      <c r="E68" s="893"/>
      <c r="F68" s="894"/>
      <c r="G68" s="894"/>
      <c r="H68" s="894"/>
      <c r="I68" s="894"/>
      <c r="J68" s="894"/>
      <c r="K68" s="948"/>
      <c r="L68" s="949"/>
      <c r="M68" s="950"/>
      <c r="N68" s="951"/>
      <c r="O68" s="949"/>
      <c r="P68" s="949"/>
      <c r="Q68" s="952"/>
      <c r="R68" s="950"/>
      <c r="S68" s="949"/>
      <c r="T68" s="870"/>
      <c r="U68" s="871"/>
      <c r="V68" s="871"/>
    </row>
    <row r="69" spans="1:22" s="854" customFormat="1" ht="12.75" customHeight="1">
      <c r="A69" s="873" t="s">
        <v>536</v>
      </c>
      <c r="B69" s="898" t="s">
        <v>188</v>
      </c>
      <c r="C69" s="898" t="s">
        <v>840</v>
      </c>
      <c r="D69" s="898" t="s">
        <v>213</v>
      </c>
      <c r="E69" s="909" t="s">
        <v>563</v>
      </c>
      <c r="F69" s="898" t="s">
        <v>30</v>
      </c>
      <c r="G69" s="898" t="s">
        <v>215</v>
      </c>
      <c r="H69" s="909" t="s">
        <v>564</v>
      </c>
      <c r="I69" s="898" t="s">
        <v>107</v>
      </c>
      <c r="J69" s="849">
        <v>1264.5</v>
      </c>
      <c r="K69" s="942">
        <v>28</v>
      </c>
      <c r="L69" s="943">
        <v>217</v>
      </c>
      <c r="M69" s="944">
        <v>166.86</v>
      </c>
      <c r="N69" s="848">
        <f>M69/L69</f>
        <v>0.7689400921658986</v>
      </c>
      <c r="O69" s="849">
        <v>0</v>
      </c>
      <c r="P69" s="849">
        <f>IF(K69&gt;=0,L69+O69,"")</f>
        <v>217</v>
      </c>
      <c r="Q69" s="945">
        <f>IF(J69&gt;0,J69+P69,"0.00")</f>
        <v>1481.5</v>
      </c>
      <c r="R69" s="946">
        <v>59.5</v>
      </c>
      <c r="S69" s="844">
        <f>R69/24</f>
        <v>2.4791666666666665</v>
      </c>
      <c r="T69" s="852"/>
      <c r="U69" s="853"/>
      <c r="V69" s="853"/>
    </row>
    <row r="70" spans="1:22" s="854" customFormat="1" ht="12.75" customHeight="1">
      <c r="A70" s="893"/>
      <c r="B70" s="893"/>
      <c r="C70" s="893"/>
      <c r="D70" s="893"/>
      <c r="E70" s="893"/>
      <c r="F70" s="894"/>
      <c r="G70" s="894"/>
      <c r="H70" s="894"/>
      <c r="I70" s="894"/>
      <c r="J70" s="947" t="s">
        <v>623</v>
      </c>
      <c r="K70" s="926">
        <f>K69</f>
        <v>28</v>
      </c>
      <c r="L70" s="927">
        <f>L69</f>
        <v>217</v>
      </c>
      <c r="M70" s="928">
        <f>M69</f>
        <v>166.86</v>
      </c>
      <c r="N70" s="953">
        <f>M70/L70</f>
        <v>0.7689400921658986</v>
      </c>
      <c r="O70" s="927">
        <f>O69</f>
        <v>0</v>
      </c>
      <c r="P70" s="927">
        <f>P69</f>
        <v>217</v>
      </c>
      <c r="Q70" s="929" t="s">
        <v>147</v>
      </c>
      <c r="R70" s="928">
        <f>R69</f>
        <v>59.5</v>
      </c>
      <c r="S70" s="859">
        <f>SUM(S69:S69)</f>
        <v>2.4791666666666665</v>
      </c>
      <c r="T70" s="852"/>
      <c r="U70" s="853"/>
      <c r="V70" s="853"/>
    </row>
    <row r="71" spans="1:22" s="872" customFormat="1" ht="6" customHeight="1">
      <c r="A71" s="893"/>
      <c r="B71" s="893"/>
      <c r="C71" s="893"/>
      <c r="D71" s="893"/>
      <c r="E71" s="893"/>
      <c r="F71" s="894"/>
      <c r="G71" s="894"/>
      <c r="H71" s="894"/>
      <c r="I71" s="894"/>
      <c r="J71" s="894"/>
      <c r="K71" s="948"/>
      <c r="L71" s="949"/>
      <c r="M71" s="950"/>
      <c r="N71" s="951"/>
      <c r="O71" s="949"/>
      <c r="P71" s="949"/>
      <c r="Q71" s="952"/>
      <c r="R71" s="950"/>
      <c r="S71" s="949"/>
      <c r="T71" s="870"/>
      <c r="U71" s="871"/>
      <c r="V71" s="871"/>
    </row>
    <row r="72" spans="1:22" s="854" customFormat="1" ht="12.75" customHeight="1">
      <c r="A72" s="873" t="s">
        <v>227</v>
      </c>
      <c r="B72" s="842">
        <v>4</v>
      </c>
      <c r="C72" s="842" t="s">
        <v>841</v>
      </c>
      <c r="D72" s="842" t="s">
        <v>598</v>
      </c>
      <c r="E72" s="843" t="s">
        <v>599</v>
      </c>
      <c r="F72" s="842" t="s">
        <v>30</v>
      </c>
      <c r="G72" s="842" t="s">
        <v>600</v>
      </c>
      <c r="H72" s="843" t="s">
        <v>601</v>
      </c>
      <c r="I72" s="842" t="s">
        <v>107</v>
      </c>
      <c r="J72" s="844">
        <v>1356</v>
      </c>
      <c r="K72" s="845">
        <v>83</v>
      </c>
      <c r="L72" s="846">
        <v>691.6</v>
      </c>
      <c r="M72" s="847">
        <v>563.55</v>
      </c>
      <c r="N72" s="900">
        <f>M72/L72</f>
        <v>0.8148496240601503</v>
      </c>
      <c r="O72" s="844">
        <v>0</v>
      </c>
      <c r="P72" s="844">
        <f>IF(K72&gt;=0,L72+O72,"")</f>
        <v>691.6</v>
      </c>
      <c r="Q72" s="850">
        <f>IF(J72&gt;0,J72+P72,"0.00")</f>
        <v>2047.6</v>
      </c>
      <c r="R72" s="851">
        <v>149.25</v>
      </c>
      <c r="S72" s="844">
        <f>R72/24</f>
        <v>6.21875</v>
      </c>
      <c r="T72" s="852"/>
      <c r="U72" s="853"/>
      <c r="V72" s="853"/>
    </row>
    <row r="73" spans="1:22" s="854" customFormat="1" ht="12.75" customHeight="1">
      <c r="A73" s="893"/>
      <c r="B73" s="882">
        <v>4</v>
      </c>
      <c r="C73" s="954" t="s">
        <v>842</v>
      </c>
      <c r="D73" s="882" t="s">
        <v>598</v>
      </c>
      <c r="E73" s="883" t="s">
        <v>635</v>
      </c>
      <c r="F73" s="882" t="s">
        <v>30</v>
      </c>
      <c r="G73" s="882" t="s">
        <v>600</v>
      </c>
      <c r="H73" s="883" t="s">
        <v>601</v>
      </c>
      <c r="I73" s="882" t="s">
        <v>107</v>
      </c>
      <c r="J73" s="902">
        <v>1356</v>
      </c>
      <c r="K73" s="921">
        <v>0</v>
      </c>
      <c r="L73" s="922">
        <v>0</v>
      </c>
      <c r="M73" s="923">
        <v>0</v>
      </c>
      <c r="N73" s="955">
        <v>0</v>
      </c>
      <c r="O73" s="902">
        <v>718</v>
      </c>
      <c r="P73" s="902">
        <f>IF(K73&gt;=0,L73+O73,"")</f>
        <v>718</v>
      </c>
      <c r="Q73" s="925">
        <f>IF(J73&gt;0,J73+P73,"0.00")</f>
        <v>2074</v>
      </c>
      <c r="R73" s="904">
        <v>72.25</v>
      </c>
      <c r="S73" s="902">
        <f>R73/24</f>
        <v>3.0104166666666665</v>
      </c>
      <c r="T73" s="852"/>
      <c r="U73" s="853"/>
      <c r="V73" s="853"/>
    </row>
    <row r="74" spans="1:22" s="854" customFormat="1" ht="12.75" customHeight="1">
      <c r="A74" s="893"/>
      <c r="B74" s="893"/>
      <c r="C74" s="893"/>
      <c r="D74" s="893"/>
      <c r="E74" s="893"/>
      <c r="F74" s="894"/>
      <c r="G74" s="894"/>
      <c r="H74" s="894"/>
      <c r="I74" s="894"/>
      <c r="J74" s="947" t="s">
        <v>624</v>
      </c>
      <c r="K74" s="926">
        <f>SUM(K72:K73)</f>
        <v>83</v>
      </c>
      <c r="L74" s="927">
        <f>SUM(L72:L73)</f>
        <v>691.6</v>
      </c>
      <c r="M74" s="928">
        <f>M72</f>
        <v>563.55</v>
      </c>
      <c r="N74" s="953">
        <f>M74/L74</f>
        <v>0.8148496240601503</v>
      </c>
      <c r="O74" s="928">
        <f>SUM(O72:O73)</f>
        <v>718</v>
      </c>
      <c r="P74" s="928">
        <f>SUM(P72:P73)</f>
        <v>1409.6</v>
      </c>
      <c r="Q74" s="929" t="s">
        <v>147</v>
      </c>
      <c r="R74" s="928">
        <f>SUM(R72:R73)</f>
        <v>221.5</v>
      </c>
      <c r="S74" s="927">
        <f>SUM(S72:S73)</f>
        <v>9.229166666666666</v>
      </c>
      <c r="T74" s="852"/>
      <c r="U74" s="853"/>
      <c r="V74" s="853"/>
    </row>
    <row r="75" spans="1:22" s="958" customFormat="1" ht="6" customHeight="1">
      <c r="A75" s="863"/>
      <c r="B75" s="863"/>
      <c r="C75" s="863"/>
      <c r="D75" s="863"/>
      <c r="E75" s="863"/>
      <c r="F75" s="864"/>
      <c r="G75" s="864"/>
      <c r="H75" s="864"/>
      <c r="I75" s="864"/>
      <c r="J75" s="864"/>
      <c r="K75" s="865"/>
      <c r="L75" s="866"/>
      <c r="M75" s="867"/>
      <c r="N75" s="868"/>
      <c r="O75" s="866"/>
      <c r="P75" s="866"/>
      <c r="Q75" s="869"/>
      <c r="R75" s="867"/>
      <c r="S75" s="866"/>
      <c r="T75" s="956"/>
      <c r="U75" s="957"/>
      <c r="V75" s="957"/>
    </row>
    <row r="76" spans="1:22" s="854" customFormat="1" ht="12.75" customHeight="1">
      <c r="A76" s="873" t="s">
        <v>620</v>
      </c>
      <c r="B76" s="898">
        <v>4</v>
      </c>
      <c r="C76" s="898" t="s">
        <v>843</v>
      </c>
      <c r="D76" s="898" t="s">
        <v>649</v>
      </c>
      <c r="E76" s="909" t="s">
        <v>650</v>
      </c>
      <c r="F76" s="898" t="s">
        <v>30</v>
      </c>
      <c r="G76" s="898" t="s">
        <v>233</v>
      </c>
      <c r="H76" s="909" t="s">
        <v>651</v>
      </c>
      <c r="I76" s="898" t="s">
        <v>107</v>
      </c>
      <c r="J76" s="849">
        <v>1386.1</v>
      </c>
      <c r="K76" s="942">
        <v>20</v>
      </c>
      <c r="L76" s="943">
        <v>186</v>
      </c>
      <c r="M76" s="944">
        <v>181.61</v>
      </c>
      <c r="N76" s="848">
        <f>M76/L76</f>
        <v>0.9763978494623656</v>
      </c>
      <c r="O76" s="849">
        <v>4</v>
      </c>
      <c r="P76" s="849">
        <f>IF(K76&gt;=0,L76+O76,"")</f>
        <v>190</v>
      </c>
      <c r="Q76" s="945">
        <f>IF(J76&gt;0,J76+P76,"0.00")</f>
        <v>1576.1</v>
      </c>
      <c r="R76" s="946">
        <v>37.5</v>
      </c>
      <c r="S76" s="844">
        <f>R76/24</f>
        <v>1.5625</v>
      </c>
      <c r="T76" s="852"/>
      <c r="U76" s="853"/>
      <c r="V76" s="853"/>
    </row>
    <row r="77" spans="1:22" s="854" customFormat="1" ht="12.75" customHeight="1">
      <c r="A77" s="893"/>
      <c r="B77" s="893"/>
      <c r="C77" s="893"/>
      <c r="D77" s="893"/>
      <c r="E77" s="893"/>
      <c r="F77" s="894"/>
      <c r="G77" s="894"/>
      <c r="H77" s="894"/>
      <c r="I77" s="894"/>
      <c r="J77" s="947" t="s">
        <v>645</v>
      </c>
      <c r="K77" s="926">
        <f>K76</f>
        <v>20</v>
      </c>
      <c r="L77" s="927">
        <f>L76</f>
        <v>186</v>
      </c>
      <c r="M77" s="928">
        <f>M76</f>
        <v>181.61</v>
      </c>
      <c r="N77" s="953">
        <f>M77/L77</f>
        <v>0.9763978494623656</v>
      </c>
      <c r="O77" s="927">
        <f>O76</f>
        <v>4</v>
      </c>
      <c r="P77" s="927">
        <f>P76</f>
        <v>190</v>
      </c>
      <c r="Q77" s="929" t="s">
        <v>147</v>
      </c>
      <c r="R77" s="928">
        <f>R76</f>
        <v>37.5</v>
      </c>
      <c r="S77" s="859">
        <f>SUM(S76:S76)</f>
        <v>1.5625</v>
      </c>
      <c r="T77" s="852"/>
      <c r="U77" s="853"/>
      <c r="V77" s="853"/>
    </row>
    <row r="78" spans="1:22" s="958" customFormat="1" ht="6" customHeight="1">
      <c r="A78" s="863"/>
      <c r="B78" s="863"/>
      <c r="C78" s="863"/>
      <c r="D78" s="863"/>
      <c r="E78" s="863"/>
      <c r="F78" s="864"/>
      <c r="G78" s="864"/>
      <c r="H78" s="864"/>
      <c r="I78" s="864"/>
      <c r="J78" s="864"/>
      <c r="K78" s="865"/>
      <c r="L78" s="866"/>
      <c r="M78" s="867"/>
      <c r="N78" s="868"/>
      <c r="O78" s="866"/>
      <c r="P78" s="866"/>
      <c r="Q78" s="869"/>
      <c r="R78" s="867"/>
      <c r="S78" s="866"/>
      <c r="T78" s="956"/>
      <c r="U78" s="957"/>
      <c r="V78" s="957"/>
    </row>
    <row r="79" spans="1:22" s="854" customFormat="1" ht="12.75" customHeight="1">
      <c r="A79" s="873" t="s">
        <v>692</v>
      </c>
      <c r="B79" s="842">
        <v>4</v>
      </c>
      <c r="C79" s="842" t="s">
        <v>844</v>
      </c>
      <c r="D79" s="842" t="s">
        <v>235</v>
      </c>
      <c r="E79" s="843" t="s">
        <v>677</v>
      </c>
      <c r="F79" s="842" t="s">
        <v>30</v>
      </c>
      <c r="G79" s="842" t="s">
        <v>233</v>
      </c>
      <c r="H79" s="843" t="s">
        <v>678</v>
      </c>
      <c r="I79" s="842" t="s">
        <v>107</v>
      </c>
      <c r="J79" s="844">
        <v>1434.2</v>
      </c>
      <c r="K79" s="845">
        <v>38</v>
      </c>
      <c r="L79" s="846">
        <v>296</v>
      </c>
      <c r="M79" s="847">
        <v>271.28</v>
      </c>
      <c r="N79" s="900">
        <f>M79/L79</f>
        <v>0.9164864864864863</v>
      </c>
      <c r="O79" s="844">
        <v>9</v>
      </c>
      <c r="P79" s="844">
        <f>IF(K79&gt;=0,L79+O79,"")</f>
        <v>305</v>
      </c>
      <c r="Q79" s="850">
        <f>IF(J79&gt;0,J79+P79,"0.00")</f>
        <v>1739.2</v>
      </c>
      <c r="R79" s="851">
        <v>71.75</v>
      </c>
      <c r="S79" s="844">
        <f>R79/24</f>
        <v>2.9895833333333335</v>
      </c>
      <c r="T79" s="852"/>
      <c r="U79" s="853"/>
      <c r="V79" s="853"/>
    </row>
    <row r="80" spans="1:22" s="854" customFormat="1" ht="12.75" customHeight="1">
      <c r="A80" s="959"/>
      <c r="B80" s="882">
        <v>4</v>
      </c>
      <c r="C80" s="882" t="s">
        <v>845</v>
      </c>
      <c r="D80" s="882" t="s">
        <v>235</v>
      </c>
      <c r="E80" s="883" t="s">
        <v>687</v>
      </c>
      <c r="F80" s="882" t="s">
        <v>30</v>
      </c>
      <c r="G80" s="882" t="s">
        <v>233</v>
      </c>
      <c r="H80" s="883" t="s">
        <v>686</v>
      </c>
      <c r="I80" s="882" t="s">
        <v>107</v>
      </c>
      <c r="J80" s="902">
        <v>1433.2</v>
      </c>
      <c r="K80" s="921">
        <v>3</v>
      </c>
      <c r="L80" s="922">
        <v>26.3</v>
      </c>
      <c r="M80" s="923">
        <v>25.68</v>
      </c>
      <c r="N80" s="955">
        <f>M80/L80</f>
        <v>0.976425855513308</v>
      </c>
      <c r="O80" s="902">
        <v>253.7</v>
      </c>
      <c r="P80" s="902">
        <f>IF(K80&gt;=0,L80+O80,"")</f>
        <v>280</v>
      </c>
      <c r="Q80" s="925">
        <f>IF(J80&gt;0,J80+P80,"0.00")</f>
        <v>1713.2</v>
      </c>
      <c r="R80" s="904">
        <v>37.5</v>
      </c>
      <c r="S80" s="902">
        <f>R80/24</f>
        <v>1.5625</v>
      </c>
      <c r="T80" s="852"/>
      <c r="U80" s="853"/>
      <c r="V80" s="853"/>
    </row>
    <row r="81" spans="1:22" s="854" customFormat="1" ht="12.75" customHeight="1">
      <c r="A81" s="893"/>
      <c r="B81" s="893"/>
      <c r="C81" s="893"/>
      <c r="D81" s="893"/>
      <c r="E81" s="893"/>
      <c r="F81" s="894"/>
      <c r="G81" s="894"/>
      <c r="H81" s="894"/>
      <c r="I81" s="894"/>
      <c r="J81" s="947" t="s">
        <v>679</v>
      </c>
      <c r="K81" s="926">
        <f>K79+K80</f>
        <v>41</v>
      </c>
      <c r="L81" s="927">
        <f>L79+L80</f>
        <v>322.3</v>
      </c>
      <c r="M81" s="928">
        <f>M79+M80</f>
        <v>296.96</v>
      </c>
      <c r="N81" s="953">
        <f>M81/L81</f>
        <v>0.9213775985107042</v>
      </c>
      <c r="O81" s="927">
        <f>O79+O80</f>
        <v>262.7</v>
      </c>
      <c r="P81" s="927">
        <f>P79+P80</f>
        <v>585</v>
      </c>
      <c r="Q81" s="929" t="s">
        <v>147</v>
      </c>
      <c r="R81" s="928">
        <f>R79+R80</f>
        <v>109.25</v>
      </c>
      <c r="S81" s="859">
        <f>SUM(S79:S80)</f>
        <v>4.552083333333334</v>
      </c>
      <c r="T81" s="852"/>
      <c r="U81" s="853"/>
      <c r="V81" s="853"/>
    </row>
    <row r="82" spans="1:22" s="958" customFormat="1" ht="6" customHeight="1">
      <c r="A82" s="863"/>
      <c r="B82" s="863"/>
      <c r="C82" s="863"/>
      <c r="D82" s="863"/>
      <c r="E82" s="863"/>
      <c r="F82" s="864"/>
      <c r="G82" s="864"/>
      <c r="H82" s="864"/>
      <c r="I82" s="864"/>
      <c r="J82" s="864"/>
      <c r="K82" s="865"/>
      <c r="L82" s="866"/>
      <c r="M82" s="867"/>
      <c r="N82" s="868"/>
      <c r="O82" s="866"/>
      <c r="P82" s="866"/>
      <c r="Q82" s="869"/>
      <c r="R82" s="867"/>
      <c r="S82" s="866"/>
      <c r="T82" s="956"/>
      <c r="U82" s="957"/>
      <c r="V82" s="957"/>
    </row>
    <row r="83" spans="1:22" s="854" customFormat="1" ht="12.75" customHeight="1">
      <c r="A83" s="873" t="s">
        <v>660</v>
      </c>
      <c r="B83" s="842">
        <v>4</v>
      </c>
      <c r="C83" s="842" t="s">
        <v>846</v>
      </c>
      <c r="D83" s="842" t="s">
        <v>190</v>
      </c>
      <c r="E83" s="843" t="s">
        <v>696</v>
      </c>
      <c r="F83" s="842" t="s">
        <v>30</v>
      </c>
      <c r="G83" s="842" t="s">
        <v>196</v>
      </c>
      <c r="H83" s="843" t="s">
        <v>697</v>
      </c>
      <c r="I83" s="842" t="s">
        <v>107</v>
      </c>
      <c r="J83" s="844">
        <v>1157.9</v>
      </c>
      <c r="K83" s="845">
        <v>20</v>
      </c>
      <c r="L83" s="846">
        <v>148.8</v>
      </c>
      <c r="M83" s="847">
        <v>69.21</v>
      </c>
      <c r="N83" s="900">
        <f>M83/L83</f>
        <v>0.4651209677419354</v>
      </c>
      <c r="O83" s="844">
        <v>0</v>
      </c>
      <c r="P83" s="844">
        <f>IF(K83&gt;=0,L83+O83,"")</f>
        <v>148.8</v>
      </c>
      <c r="Q83" s="850">
        <f>IF(J83&gt;0,J83+P83,"0.00")</f>
        <v>1306.7</v>
      </c>
      <c r="R83" s="851">
        <v>33.75</v>
      </c>
      <c r="S83" s="844">
        <f>R83/24</f>
        <v>1.40625</v>
      </c>
      <c r="T83" s="852"/>
      <c r="U83" s="853"/>
      <c r="V83" s="853"/>
    </row>
    <row r="84" spans="1:22" s="854" customFormat="1" ht="12.75" customHeight="1">
      <c r="A84" s="959"/>
      <c r="B84" s="882">
        <v>4</v>
      </c>
      <c r="C84" s="882" t="s">
        <v>847</v>
      </c>
      <c r="D84" s="882" t="s">
        <v>190</v>
      </c>
      <c r="E84" s="883" t="s">
        <v>703</v>
      </c>
      <c r="F84" s="882" t="s">
        <v>30</v>
      </c>
      <c r="G84" s="882" t="s">
        <v>196</v>
      </c>
      <c r="H84" s="883" t="s">
        <v>704</v>
      </c>
      <c r="I84" s="882" t="s">
        <v>107</v>
      </c>
      <c r="J84" s="902">
        <v>1157.9</v>
      </c>
      <c r="K84" s="921">
        <v>4</v>
      </c>
      <c r="L84" s="922">
        <v>38.5</v>
      </c>
      <c r="M84" s="923">
        <v>3.67</v>
      </c>
      <c r="N84" s="955">
        <f>M84/L84</f>
        <v>0.09532467532467533</v>
      </c>
      <c r="O84" s="902">
        <v>148.8</v>
      </c>
      <c r="P84" s="902">
        <f>IF(K84&gt;=0,L84+O84,"")</f>
        <v>187.3</v>
      </c>
      <c r="Q84" s="925">
        <f>IF(J84&gt;0,J84+P84,"0.00")</f>
        <v>1345.2</v>
      </c>
      <c r="R84" s="904">
        <v>15.75</v>
      </c>
      <c r="S84" s="902">
        <f>R84/24</f>
        <v>0.65625</v>
      </c>
      <c r="T84" s="852"/>
      <c r="U84" s="853"/>
      <c r="V84" s="853"/>
    </row>
    <row r="85" spans="1:22" s="854" customFormat="1" ht="12.75" customHeight="1">
      <c r="A85" s="893"/>
      <c r="B85" s="893"/>
      <c r="C85" s="893"/>
      <c r="D85" s="893"/>
      <c r="E85" s="893"/>
      <c r="F85" s="894"/>
      <c r="G85" s="894"/>
      <c r="H85" s="894"/>
      <c r="I85" s="894"/>
      <c r="J85" s="947" t="s">
        <v>680</v>
      </c>
      <c r="K85" s="926">
        <f>K83+K84</f>
        <v>24</v>
      </c>
      <c r="L85" s="927">
        <f>L83+L84</f>
        <v>187.3</v>
      </c>
      <c r="M85" s="928">
        <f>M83+M84</f>
        <v>72.88</v>
      </c>
      <c r="N85" s="953">
        <f>M85/L85</f>
        <v>0.389108382274426</v>
      </c>
      <c r="O85" s="927">
        <f>O83+O84</f>
        <v>148.8</v>
      </c>
      <c r="P85" s="927">
        <f>P83+P84</f>
        <v>336.1</v>
      </c>
      <c r="Q85" s="929" t="s">
        <v>147</v>
      </c>
      <c r="R85" s="928">
        <f>R83+R84</f>
        <v>49.5</v>
      </c>
      <c r="S85" s="859">
        <f>SUM(S83:S84)</f>
        <v>2.0625</v>
      </c>
      <c r="T85" s="852"/>
      <c r="U85" s="853"/>
      <c r="V85" s="853"/>
    </row>
    <row r="86" spans="1:22" s="958" customFormat="1" ht="6" customHeight="1">
      <c r="A86" s="863"/>
      <c r="B86" s="863"/>
      <c r="C86" s="863"/>
      <c r="D86" s="863"/>
      <c r="E86" s="863"/>
      <c r="F86" s="864"/>
      <c r="G86" s="864"/>
      <c r="H86" s="864"/>
      <c r="I86" s="864"/>
      <c r="J86" s="864"/>
      <c r="K86" s="865"/>
      <c r="L86" s="866"/>
      <c r="M86" s="867"/>
      <c r="N86" s="868"/>
      <c r="O86" s="866"/>
      <c r="P86" s="866"/>
      <c r="Q86" s="869"/>
      <c r="R86" s="867"/>
      <c r="S86" s="866"/>
      <c r="T86" s="956"/>
      <c r="U86" s="957"/>
      <c r="V86" s="957"/>
    </row>
    <row r="87" spans="1:22" s="854" customFormat="1" ht="12.75" customHeight="1">
      <c r="A87" s="873" t="s">
        <v>665</v>
      </c>
      <c r="B87" s="842">
        <v>4</v>
      </c>
      <c r="C87" s="842" t="s">
        <v>848</v>
      </c>
      <c r="D87" s="874" t="s">
        <v>190</v>
      </c>
      <c r="E87" s="875" t="s">
        <v>755</v>
      </c>
      <c r="F87" s="874" t="s">
        <v>30</v>
      </c>
      <c r="G87" s="874" t="s">
        <v>196</v>
      </c>
      <c r="H87" s="875" t="s">
        <v>756</v>
      </c>
      <c r="I87" s="874" t="s">
        <v>107</v>
      </c>
      <c r="J87" s="876">
        <v>1049</v>
      </c>
      <c r="K87" s="845">
        <v>13</v>
      </c>
      <c r="L87" s="846">
        <v>43.1</v>
      </c>
      <c r="M87" s="847">
        <v>30.36</v>
      </c>
      <c r="N87" s="900">
        <f>M87/L87</f>
        <v>0.7044083526682134</v>
      </c>
      <c r="O87" s="844">
        <v>48.4</v>
      </c>
      <c r="P87" s="844">
        <f>IF(K87&gt;=0,L87+O87,"")</f>
        <v>91.5</v>
      </c>
      <c r="Q87" s="850">
        <f>IF(J87&gt;0,J87+P87,"0.00")</f>
        <v>1140.5</v>
      </c>
      <c r="R87" s="851">
        <v>22</v>
      </c>
      <c r="S87" s="844">
        <f>R87/24</f>
        <v>0.9166666666666666</v>
      </c>
      <c r="T87" s="852"/>
      <c r="U87" s="853"/>
      <c r="V87" s="853"/>
    </row>
    <row r="88" spans="1:22" s="854" customFormat="1" ht="12.75" customHeight="1">
      <c r="A88" s="893"/>
      <c r="B88" s="884">
        <v>4</v>
      </c>
      <c r="C88" s="884" t="s">
        <v>849</v>
      </c>
      <c r="D88" s="884" t="s">
        <v>190</v>
      </c>
      <c r="E88" s="885" t="s">
        <v>757</v>
      </c>
      <c r="F88" s="884" t="s">
        <v>30</v>
      </c>
      <c r="G88" s="884" t="s">
        <v>196</v>
      </c>
      <c r="H88" s="885" t="s">
        <v>758</v>
      </c>
      <c r="I88" s="884" t="s">
        <v>107</v>
      </c>
      <c r="J88" s="886">
        <v>1050</v>
      </c>
      <c r="K88" s="887">
        <v>2</v>
      </c>
      <c r="L88" s="888">
        <v>2</v>
      </c>
      <c r="M88" s="889">
        <v>0.5</v>
      </c>
      <c r="N88" s="890">
        <f>M88/L88</f>
        <v>0.25</v>
      </c>
      <c r="O88" s="886">
        <v>198</v>
      </c>
      <c r="P88" s="886">
        <f>IF(K88&gt;=0,L88+O88,"")</f>
        <v>200</v>
      </c>
      <c r="Q88" s="891">
        <f>IF(J88&gt;0,J88+P88,"0.00")</f>
        <v>1250</v>
      </c>
      <c r="R88" s="892">
        <v>33</v>
      </c>
      <c r="S88" s="886">
        <f>R88/24</f>
        <v>1.375</v>
      </c>
      <c r="T88" s="852"/>
      <c r="U88" s="853"/>
      <c r="V88" s="853"/>
    </row>
    <row r="89" spans="1:22" s="854" customFormat="1" ht="12.75" customHeight="1">
      <c r="A89" s="893"/>
      <c r="B89" s="913">
        <v>4</v>
      </c>
      <c r="C89" s="913" t="s">
        <v>754</v>
      </c>
      <c r="D89" s="913" t="s">
        <v>190</v>
      </c>
      <c r="E89" s="915" t="s">
        <v>760</v>
      </c>
      <c r="F89" s="913" t="s">
        <v>30</v>
      </c>
      <c r="G89" s="913" t="s">
        <v>196</v>
      </c>
      <c r="H89" s="915" t="s">
        <v>761</v>
      </c>
      <c r="I89" s="913" t="s">
        <v>107</v>
      </c>
      <c r="J89" s="960">
        <v>1049</v>
      </c>
      <c r="K89" s="961">
        <v>4</v>
      </c>
      <c r="L89" s="962">
        <v>4</v>
      </c>
      <c r="M89" s="918">
        <v>3.88</v>
      </c>
      <c r="N89" s="924">
        <f>M89/L89</f>
        <v>0.97</v>
      </c>
      <c r="O89" s="963">
        <v>74</v>
      </c>
      <c r="P89" s="912">
        <f>IF(K89&gt;=0,L89+O89,"")</f>
        <v>78</v>
      </c>
      <c r="Q89" s="919">
        <f>IF(J89&gt;0,J89+P89,"0.00")</f>
        <v>1127</v>
      </c>
      <c r="R89" s="964">
        <v>21</v>
      </c>
      <c r="S89" s="963">
        <f>R89/24</f>
        <v>0.875</v>
      </c>
      <c r="T89" s="852"/>
      <c r="U89" s="853"/>
      <c r="V89" s="853"/>
    </row>
    <row r="90" spans="1:22" s="854" customFormat="1" ht="12.75" customHeight="1">
      <c r="A90" s="893"/>
      <c r="B90" s="893"/>
      <c r="C90" s="893"/>
      <c r="D90" s="893"/>
      <c r="E90" s="893"/>
      <c r="F90" s="894"/>
      <c r="G90" s="894"/>
      <c r="H90" s="894"/>
      <c r="I90" s="894"/>
      <c r="J90" s="947" t="s">
        <v>681</v>
      </c>
      <c r="K90" s="926">
        <f>SUM(K87:K89)</f>
        <v>19</v>
      </c>
      <c r="L90" s="927">
        <f aca="true" t="shared" si="2" ref="L90:S90">SUM(L87:L89)</f>
        <v>49.1</v>
      </c>
      <c r="M90" s="860">
        <f t="shared" si="2"/>
        <v>34.74</v>
      </c>
      <c r="N90" s="861">
        <f>M90/L90</f>
        <v>0.7075356415478615</v>
      </c>
      <c r="O90" s="859">
        <f t="shared" si="2"/>
        <v>320.4</v>
      </c>
      <c r="P90" s="859">
        <f t="shared" si="2"/>
        <v>369.5</v>
      </c>
      <c r="Q90" s="862" t="s">
        <v>147</v>
      </c>
      <c r="R90" s="928">
        <f t="shared" si="2"/>
        <v>76</v>
      </c>
      <c r="S90" s="859">
        <f t="shared" si="2"/>
        <v>3.1666666666666665</v>
      </c>
      <c r="T90" s="852"/>
      <c r="U90" s="853"/>
      <c r="V90" s="853"/>
    </row>
    <row r="91" spans="1:22" s="872" customFormat="1" ht="6" customHeight="1">
      <c r="A91" s="893"/>
      <c r="B91" s="893"/>
      <c r="C91" s="893"/>
      <c r="D91" s="893"/>
      <c r="E91" s="893"/>
      <c r="F91" s="894"/>
      <c r="G91" s="894"/>
      <c r="H91" s="894"/>
      <c r="I91" s="894"/>
      <c r="J91" s="894"/>
      <c r="K91" s="948"/>
      <c r="L91" s="949"/>
      <c r="M91" s="950"/>
      <c r="N91" s="951"/>
      <c r="O91" s="949"/>
      <c r="P91" s="949"/>
      <c r="Q91" s="952"/>
      <c r="R91" s="950"/>
      <c r="S91" s="949"/>
      <c r="T91" s="870"/>
      <c r="U91" s="871"/>
      <c r="V91" s="871"/>
    </row>
    <row r="92" spans="1:19" s="958" customFormat="1" ht="15" customHeight="1">
      <c r="A92" s="965"/>
      <c r="B92" s="965"/>
      <c r="C92" s="965"/>
      <c r="D92" s="965"/>
      <c r="E92" s="965"/>
      <c r="F92" s="1171" t="s">
        <v>301</v>
      </c>
      <c r="G92" s="1172"/>
      <c r="H92" s="1172"/>
      <c r="I92" s="1172"/>
      <c r="J92" s="1173"/>
      <c r="K92" s="858">
        <f>K11+K15+K20+K23+K30+K33+K39+K42+K45+K51+K55+K58+K61+K64+K67+K70+K74+K77+K81+K85+K90</f>
        <v>494</v>
      </c>
      <c r="L92" s="859">
        <f>L11+L15+L20+L23+L30+L33+L39+L42+L45+L51+L55+L58+L61+L64+L67+L70+L74+L77+L81+L85+L90</f>
        <v>3618.4</v>
      </c>
      <c r="M92" s="860">
        <f>M11+M15+M20+M23+M30+M33+M39+M42+M45+M51+M55+M58+M61+M64+M67+M70+M74+M77+M81+M85+M90</f>
        <v>2847.0099999999998</v>
      </c>
      <c r="N92" s="861">
        <f>IF(M92&lt;&gt;0,M92/L92,"N/A")</f>
        <v>0.7868146141941189</v>
      </c>
      <c r="O92" s="859">
        <f>O11+O15+O20+O23+O30+O33+O39+O42+O45+O51+O55+O58+O61+O64+O67+O70+O74+O77+O81+O85+O90</f>
        <v>5810.599999999999</v>
      </c>
      <c r="P92" s="859">
        <f>P11+P15+P20+P23+P30+P33+P39+P42+P45+P51+P55+P58+P61+P64+P67+P70+P74+P77+P81+P85+P90</f>
        <v>9257.800000000001</v>
      </c>
      <c r="Q92" s="862" t="s">
        <v>147</v>
      </c>
      <c r="R92" s="859">
        <f>R11+R15+R20+R23+R30+R33+R39+R42+R45+R51+R55+R58+R61+R64+R67+R70+R74+R77+R81+R85+R90</f>
        <v>1646</v>
      </c>
      <c r="S92" s="859">
        <f>R92/24</f>
        <v>68.58333333333333</v>
      </c>
    </row>
    <row r="93" spans="1:19" ht="12.75">
      <c r="A93" s="966"/>
      <c r="B93" s="966"/>
      <c r="C93" s="966"/>
      <c r="D93" s="966"/>
      <c r="E93" s="966"/>
      <c r="F93" s="966"/>
      <c r="G93" s="967"/>
      <c r="H93" s="967"/>
      <c r="I93" s="967"/>
      <c r="J93" s="967"/>
      <c r="K93" s="967"/>
      <c r="L93" s="968"/>
      <c r="M93" s="969"/>
      <c r="N93" s="967"/>
      <c r="O93" s="967"/>
      <c r="P93" s="967"/>
      <c r="Q93" s="970"/>
      <c r="R93" s="969"/>
      <c r="S93" s="968"/>
    </row>
    <row r="94" spans="10:19" ht="10.5">
      <c r="J94" s="974"/>
      <c r="K94" s="974"/>
      <c r="L94" s="974"/>
      <c r="M94" s="975"/>
      <c r="N94" s="976"/>
      <c r="O94" s="974"/>
      <c r="P94" s="977"/>
      <c r="Q94" s="978"/>
      <c r="R94" s="975"/>
      <c r="S94" s="977"/>
    </row>
    <row r="95" spans="7:19" ht="10.5">
      <c r="G95" s="979"/>
      <c r="J95" s="974"/>
      <c r="K95" s="980"/>
      <c r="L95" s="974"/>
      <c r="M95" s="975"/>
      <c r="N95" s="976"/>
      <c r="O95" s="974"/>
      <c r="P95" s="977"/>
      <c r="Q95" s="978"/>
      <c r="R95" s="975"/>
      <c r="S95" s="977"/>
    </row>
    <row r="96" spans="7:19" ht="10.5">
      <c r="G96" s="979"/>
      <c r="J96" s="974"/>
      <c r="K96" s="980"/>
      <c r="L96" s="974"/>
      <c r="M96" s="975"/>
      <c r="N96" s="976"/>
      <c r="O96" s="974"/>
      <c r="P96" s="977"/>
      <c r="Q96" s="978"/>
      <c r="R96" s="975"/>
      <c r="S96" s="977"/>
    </row>
    <row r="97" spans="10:19" ht="12">
      <c r="J97" s="974"/>
      <c r="K97" s="980"/>
      <c r="L97" s="974"/>
      <c r="M97" s="969"/>
      <c r="N97" s="977"/>
      <c r="O97" s="974"/>
      <c r="P97" s="977"/>
      <c r="Q97" s="978"/>
      <c r="S97" s="982"/>
    </row>
    <row r="98" spans="10:19" ht="10.5">
      <c r="J98" s="974"/>
      <c r="K98" s="980"/>
      <c r="L98" s="974"/>
      <c r="M98" s="975"/>
      <c r="N98" s="976"/>
      <c r="O98" s="974"/>
      <c r="P98" s="977"/>
      <c r="Q98" s="978"/>
      <c r="R98" s="975"/>
      <c r="S98" s="982"/>
    </row>
    <row r="99" spans="10:19" ht="10.5">
      <c r="J99" s="974"/>
      <c r="K99" s="980"/>
      <c r="M99" s="975"/>
      <c r="N99" s="976"/>
      <c r="P99" s="982"/>
      <c r="Q99" s="984"/>
      <c r="S99" s="977"/>
    </row>
    <row r="100" spans="10:19" ht="10.5">
      <c r="J100" s="974"/>
      <c r="K100" s="985"/>
      <c r="L100" s="974"/>
      <c r="M100" s="975"/>
      <c r="N100" s="976"/>
      <c r="O100" s="974"/>
      <c r="P100" s="977"/>
      <c r="Q100" s="978"/>
      <c r="R100" s="975"/>
      <c r="S100" s="977"/>
    </row>
    <row r="101" spans="16:19" ht="10.5">
      <c r="P101" s="972"/>
      <c r="Q101" s="984"/>
      <c r="S101" s="982"/>
    </row>
    <row r="102" spans="10:19" ht="10.5">
      <c r="J102" s="974"/>
      <c r="L102" s="974"/>
      <c r="M102" s="975"/>
      <c r="N102" s="976"/>
      <c r="O102" s="974"/>
      <c r="P102" s="974"/>
      <c r="Q102" s="986"/>
      <c r="R102" s="975"/>
      <c r="S102" s="982"/>
    </row>
    <row r="103" spans="10:19" ht="10.5">
      <c r="J103" s="974"/>
      <c r="L103" s="974"/>
      <c r="M103" s="975"/>
      <c r="N103" s="976"/>
      <c r="O103" s="974"/>
      <c r="P103" s="974"/>
      <c r="Q103" s="986"/>
      <c r="R103" s="975"/>
      <c r="S103" s="977"/>
    </row>
    <row r="104" spans="10:19" ht="10.5">
      <c r="J104" s="974"/>
      <c r="L104" s="974"/>
      <c r="M104" s="975"/>
      <c r="N104" s="976"/>
      <c r="O104" s="974"/>
      <c r="P104" s="974"/>
      <c r="Q104" s="986"/>
      <c r="R104" s="975"/>
      <c r="S104" s="982"/>
    </row>
    <row r="105" spans="10:19" ht="10.5">
      <c r="J105" s="974"/>
      <c r="L105" s="974"/>
      <c r="M105" s="975"/>
      <c r="N105" s="976"/>
      <c r="O105" s="974"/>
      <c r="P105" s="974"/>
      <c r="Q105" s="986"/>
      <c r="R105" s="975"/>
      <c r="S105" s="982"/>
    </row>
    <row r="106" spans="10:19" ht="10.5">
      <c r="J106" s="974"/>
      <c r="M106" s="975"/>
      <c r="N106" s="976"/>
      <c r="S106" s="977"/>
    </row>
    <row r="107" spans="10:19" ht="10.5">
      <c r="J107" s="974"/>
      <c r="K107" s="985"/>
      <c r="L107" s="974"/>
      <c r="M107" s="975"/>
      <c r="N107" s="976"/>
      <c r="O107" s="974"/>
      <c r="P107" s="974"/>
      <c r="Q107" s="986"/>
      <c r="R107" s="975"/>
      <c r="S107" s="974"/>
    </row>
    <row r="110" spans="5:9" ht="10.5">
      <c r="E110" s="971"/>
      <c r="F110" s="971"/>
      <c r="G110" s="971"/>
      <c r="H110" s="971"/>
      <c r="I110" s="971"/>
    </row>
    <row r="111" spans="5:9" ht="10.5">
      <c r="E111" s="971"/>
      <c r="F111" s="971"/>
      <c r="G111" s="971"/>
      <c r="H111" s="971"/>
      <c r="I111" s="971"/>
    </row>
    <row r="112" spans="5:9" ht="10.5">
      <c r="E112" s="971"/>
      <c r="F112" s="971"/>
      <c r="G112" s="971"/>
      <c r="H112" s="971"/>
      <c r="I112" s="971"/>
    </row>
    <row r="113" spans="5:9" ht="10.5">
      <c r="E113" s="971"/>
      <c r="F113" s="971"/>
      <c r="G113" s="971"/>
      <c r="H113" s="971"/>
      <c r="I113" s="971"/>
    </row>
    <row r="114" spans="5:9" ht="10.5">
      <c r="E114" s="971"/>
      <c r="F114" s="971"/>
      <c r="G114" s="971"/>
      <c r="H114" s="971"/>
      <c r="I114" s="971"/>
    </row>
    <row r="115" spans="5:9" ht="10.5">
      <c r="E115" s="971"/>
      <c r="F115" s="971"/>
      <c r="G115" s="971"/>
      <c r="H115" s="971"/>
      <c r="I115" s="971"/>
    </row>
    <row r="116" spans="5:9" ht="10.5">
      <c r="E116" s="971"/>
      <c r="F116" s="971"/>
      <c r="G116" s="971"/>
      <c r="H116" s="971"/>
      <c r="I116" s="971"/>
    </row>
    <row r="117" spans="5:9" ht="10.5">
      <c r="E117" s="971"/>
      <c r="F117" s="971"/>
      <c r="G117" s="971"/>
      <c r="H117" s="971"/>
      <c r="I117" s="971"/>
    </row>
    <row r="118" spans="5:9" ht="10.5">
      <c r="E118" s="971"/>
      <c r="F118" s="971"/>
      <c r="G118" s="971"/>
      <c r="H118" s="971"/>
      <c r="I118" s="971"/>
    </row>
    <row r="119" spans="5:9" ht="10.5">
      <c r="E119" s="971"/>
      <c r="F119" s="971"/>
      <c r="G119" s="971"/>
      <c r="H119" s="971"/>
      <c r="I119" s="971"/>
    </row>
    <row r="120" spans="5:9" ht="10.5">
      <c r="E120" s="971"/>
      <c r="F120" s="971"/>
      <c r="G120" s="971"/>
      <c r="H120" s="971"/>
      <c r="I120" s="971"/>
    </row>
    <row r="121" spans="5:9" ht="10.5">
      <c r="E121" s="971"/>
      <c r="F121" s="971"/>
      <c r="G121" s="971"/>
      <c r="H121" s="971"/>
      <c r="I121" s="971"/>
    </row>
    <row r="122" spans="5:9" ht="10.5">
      <c r="E122" s="971"/>
      <c r="F122" s="971"/>
      <c r="G122" s="971"/>
      <c r="H122" s="971"/>
      <c r="I122" s="971"/>
    </row>
    <row r="123" spans="5:9" ht="10.5">
      <c r="E123" s="971"/>
      <c r="F123" s="971"/>
      <c r="G123" s="971"/>
      <c r="H123" s="971"/>
      <c r="I123" s="971"/>
    </row>
    <row r="124" spans="5:9" ht="10.5">
      <c r="E124" s="971"/>
      <c r="F124" s="971"/>
      <c r="G124" s="971"/>
      <c r="H124" s="971"/>
      <c r="I124" s="971"/>
    </row>
    <row r="125" spans="5:9" ht="10.5">
      <c r="E125" s="971"/>
      <c r="F125" s="971"/>
      <c r="G125" s="971"/>
      <c r="H125" s="971"/>
      <c r="I125" s="971"/>
    </row>
    <row r="126" spans="5:9" ht="10.5">
      <c r="E126" s="971"/>
      <c r="F126" s="971"/>
      <c r="G126" s="971"/>
      <c r="H126" s="971"/>
      <c r="I126" s="971"/>
    </row>
    <row r="127" spans="5:9" ht="10.5">
      <c r="E127" s="971"/>
      <c r="F127" s="971"/>
      <c r="G127" s="971"/>
      <c r="H127" s="971"/>
      <c r="I127" s="971"/>
    </row>
    <row r="128" spans="5:9" ht="10.5">
      <c r="E128" s="971"/>
      <c r="F128" s="971"/>
      <c r="G128" s="971"/>
      <c r="H128" s="971"/>
      <c r="I128" s="971"/>
    </row>
    <row r="129" spans="5:9" ht="10.5">
      <c r="E129" s="971"/>
      <c r="F129" s="971"/>
      <c r="G129" s="971"/>
      <c r="H129" s="971"/>
      <c r="I129" s="971"/>
    </row>
    <row r="130" spans="5:9" ht="10.5">
      <c r="E130" s="971"/>
      <c r="F130" s="971"/>
      <c r="G130" s="971"/>
      <c r="H130" s="971"/>
      <c r="I130" s="971"/>
    </row>
    <row r="131" spans="5:9" ht="10.5">
      <c r="E131" s="971"/>
      <c r="F131" s="971"/>
      <c r="G131" s="971"/>
      <c r="H131" s="971"/>
      <c r="I131" s="971"/>
    </row>
    <row r="132" spans="5:9" ht="10.5">
      <c r="E132" s="971"/>
      <c r="F132" s="971"/>
      <c r="G132" s="971"/>
      <c r="H132" s="971"/>
      <c r="I132" s="971"/>
    </row>
    <row r="133" spans="5:9" ht="10.5">
      <c r="E133" s="971"/>
      <c r="F133" s="971"/>
      <c r="G133" s="971"/>
      <c r="H133" s="971"/>
      <c r="I133" s="971"/>
    </row>
    <row r="134" spans="5:9" ht="10.5">
      <c r="E134" s="971"/>
      <c r="F134" s="971"/>
      <c r="G134" s="971"/>
      <c r="H134" s="971"/>
      <c r="I134" s="971"/>
    </row>
    <row r="135" spans="5:9" ht="10.5">
      <c r="E135" s="971"/>
      <c r="F135" s="971"/>
      <c r="G135" s="971"/>
      <c r="H135" s="971"/>
      <c r="I135" s="971"/>
    </row>
    <row r="136" spans="5:9" ht="10.5">
      <c r="E136" s="971"/>
      <c r="F136" s="971"/>
      <c r="G136" s="971"/>
      <c r="H136" s="971"/>
      <c r="I136" s="971"/>
    </row>
    <row r="137" spans="5:9" ht="10.5">
      <c r="E137" s="971"/>
      <c r="F137" s="971"/>
      <c r="G137" s="971"/>
      <c r="H137" s="971"/>
      <c r="I137" s="971"/>
    </row>
    <row r="138" spans="5:9" ht="10.5">
      <c r="E138" s="971"/>
      <c r="F138" s="971"/>
      <c r="G138" s="971"/>
      <c r="H138" s="971"/>
      <c r="I138" s="971"/>
    </row>
    <row r="139" spans="5:9" ht="10.5">
      <c r="E139" s="971"/>
      <c r="F139" s="971"/>
      <c r="G139" s="971"/>
      <c r="H139" s="971"/>
      <c r="I139" s="971"/>
    </row>
    <row r="140" spans="5:9" ht="10.5">
      <c r="E140" s="971"/>
      <c r="F140" s="971"/>
      <c r="G140" s="971"/>
      <c r="H140" s="971"/>
      <c r="I140" s="971"/>
    </row>
    <row r="141" spans="5:9" ht="10.5">
      <c r="E141" s="971"/>
      <c r="F141" s="971"/>
      <c r="G141" s="971"/>
      <c r="H141" s="971"/>
      <c r="I141" s="971"/>
    </row>
    <row r="142" spans="5:9" ht="10.5">
      <c r="E142" s="971"/>
      <c r="F142" s="971"/>
      <c r="G142" s="971"/>
      <c r="H142" s="971"/>
      <c r="I142" s="971"/>
    </row>
    <row r="143" spans="5:9" ht="10.5">
      <c r="E143" s="971"/>
      <c r="F143" s="971"/>
      <c r="G143" s="971"/>
      <c r="H143" s="971"/>
      <c r="I143" s="971"/>
    </row>
    <row r="144" spans="5:9" ht="10.5">
      <c r="E144" s="971"/>
      <c r="F144" s="971"/>
      <c r="G144" s="971"/>
      <c r="H144" s="971"/>
      <c r="I144" s="971"/>
    </row>
    <row r="145" spans="5:9" ht="10.5">
      <c r="E145" s="971"/>
      <c r="F145" s="971"/>
      <c r="G145" s="971"/>
      <c r="H145" s="971"/>
      <c r="I145" s="971"/>
    </row>
    <row r="146" spans="5:9" ht="10.5">
      <c r="E146" s="971"/>
      <c r="F146" s="971"/>
      <c r="G146" s="971"/>
      <c r="H146" s="971"/>
      <c r="I146" s="971"/>
    </row>
    <row r="147" spans="5:9" ht="10.5">
      <c r="E147" s="971"/>
      <c r="F147" s="971"/>
      <c r="G147" s="971"/>
      <c r="H147" s="971"/>
      <c r="I147" s="971"/>
    </row>
    <row r="150" spans="5:9" ht="10.5">
      <c r="E150" s="971"/>
      <c r="F150" s="971"/>
      <c r="G150" s="971"/>
      <c r="H150" s="971"/>
      <c r="I150" s="971"/>
    </row>
    <row r="151" spans="5:9" ht="10.5">
      <c r="E151" s="971"/>
      <c r="F151" s="971"/>
      <c r="G151" s="971"/>
      <c r="H151" s="971"/>
      <c r="I151" s="971"/>
    </row>
  </sheetData>
  <sheetProtection/>
  <mergeCells count="11">
    <mergeCell ref="A1:S1"/>
    <mergeCell ref="A4:S4"/>
    <mergeCell ref="A2:S2"/>
    <mergeCell ref="D6:F6"/>
    <mergeCell ref="G6:I6"/>
    <mergeCell ref="D8:F8"/>
    <mergeCell ref="G7:I7"/>
    <mergeCell ref="G8:I8"/>
    <mergeCell ref="F92:J92"/>
    <mergeCell ref="D7:F7"/>
    <mergeCell ref="A52:S52"/>
  </mergeCells>
  <printOptions horizontalCentered="1"/>
  <pageMargins left="0.5" right="0.5" top="1" bottom="0.5" header="0" footer="0.25"/>
  <pageSetup orientation="landscape" r:id="rId1"/>
  <headerFooter alignWithMargins="0">
    <oddHeader>&amp;R
</oddHeader>
    <oddFooter>&amp;L&amp;"Arial,Regular"&amp;8&amp;F&amp;C&amp;"Arial,Regular"&amp;8Page &amp;P of &amp;N&amp;R&amp;"Arial,Regular"&amp;8M. Storms, 17 August 06</oddFooter>
  </headerFooter>
  <ignoredErrors>
    <ignoredError sqref="N11 N20 N30 N39:N45" formula="1"/>
    <ignoredError sqref="N15 N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Z126"/>
  <sheetViews>
    <sheetView zoomScalePageLayoutView="0" workbookViewId="0" topLeftCell="A1">
      <selection activeCell="G6" sqref="G6:J6"/>
    </sheetView>
  </sheetViews>
  <sheetFormatPr defaultColWidth="9.00390625" defaultRowHeight="12.75"/>
  <cols>
    <col min="1" max="1" width="10.625" style="7" customWidth="1"/>
    <col min="2" max="2" width="5.125" style="1" customWidth="1"/>
    <col min="3" max="3" width="5.125" style="8" customWidth="1"/>
    <col min="4" max="4" width="7.25390625" style="10" customWidth="1"/>
    <col min="5" max="5" width="7.25390625" style="7" customWidth="1"/>
    <col min="6" max="6" width="0.875" style="7" customWidth="1"/>
    <col min="7" max="7" width="5.125" style="1" customWidth="1"/>
    <col min="8" max="8" width="5.125" style="8" customWidth="1"/>
    <col min="9" max="9" width="7.25390625" style="10" customWidth="1"/>
    <col min="10" max="10" width="7.25390625" style="7" customWidth="1"/>
    <col min="11" max="11" width="0.875" style="7" customWidth="1"/>
    <col min="12" max="12" width="5.125" style="1" customWidth="1"/>
    <col min="13" max="14" width="6.125" style="1" customWidth="1"/>
    <col min="15" max="15" width="5.125" style="8" customWidth="1"/>
    <col min="16" max="16" width="7.25390625" style="10" customWidth="1"/>
    <col min="17" max="17" width="7.25390625" style="7" customWidth="1"/>
    <col min="18" max="18" width="0.875" style="7" customWidth="1"/>
    <col min="19" max="19" width="5.125" style="1" customWidth="1"/>
    <col min="20" max="20" width="5.125" style="8" customWidth="1"/>
    <col min="21" max="21" width="7.25390625" style="10" customWidth="1"/>
    <col min="22" max="22" width="7.25390625" style="7" customWidth="1"/>
    <col min="23" max="16384" width="9.00390625" style="1" customWidth="1"/>
  </cols>
  <sheetData>
    <row r="1" spans="1:23" s="53" customFormat="1" ht="18">
      <c r="A1" s="1158" t="s">
        <v>245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  <c r="O1" s="1158"/>
      <c r="P1" s="1158"/>
      <c r="Q1" s="1158"/>
      <c r="R1" s="1158"/>
      <c r="S1" s="1158"/>
      <c r="T1" s="1158"/>
      <c r="U1" s="1158"/>
      <c r="V1" s="1158"/>
      <c r="W1" s="59"/>
    </row>
    <row r="2" spans="1:23" s="53" customFormat="1" ht="18">
      <c r="A2" s="1158" t="s">
        <v>246</v>
      </c>
      <c r="B2" s="1158"/>
      <c r="C2" s="1158"/>
      <c r="D2" s="1158"/>
      <c r="E2" s="1158"/>
      <c r="F2" s="1158"/>
      <c r="G2" s="1158"/>
      <c r="H2" s="1158"/>
      <c r="I2" s="1158"/>
      <c r="J2" s="1158"/>
      <c r="K2" s="1158"/>
      <c r="L2" s="1158"/>
      <c r="M2" s="1158"/>
      <c r="N2" s="1158"/>
      <c r="O2" s="1158"/>
      <c r="P2" s="1158"/>
      <c r="Q2" s="1158"/>
      <c r="R2" s="1158"/>
      <c r="S2" s="1158"/>
      <c r="T2" s="1158"/>
      <c r="U2" s="1158"/>
      <c r="V2" s="1158"/>
      <c r="W2" s="59"/>
    </row>
    <row r="3" spans="1:23" s="53" customFormat="1" ht="12.7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59"/>
    </row>
    <row r="4" spans="1:23" s="53" customFormat="1" ht="18">
      <c r="A4" s="1159" t="s">
        <v>326</v>
      </c>
      <c r="B4" s="1159"/>
      <c r="C4" s="1159"/>
      <c r="D4" s="1159"/>
      <c r="E4" s="1159"/>
      <c r="F4" s="1159"/>
      <c r="G4" s="1159"/>
      <c r="H4" s="1159"/>
      <c r="I4" s="1159"/>
      <c r="J4" s="1159"/>
      <c r="K4" s="1159"/>
      <c r="L4" s="1159"/>
      <c r="M4" s="1159"/>
      <c r="N4" s="1159"/>
      <c r="O4" s="1159"/>
      <c r="P4" s="1159"/>
      <c r="Q4" s="1159"/>
      <c r="R4" s="1159"/>
      <c r="S4" s="1159"/>
      <c r="T4" s="1159"/>
      <c r="U4" s="1159"/>
      <c r="V4" s="1159"/>
      <c r="W4" s="60"/>
    </row>
    <row r="5" spans="3:14" s="20" customFormat="1" ht="9.75" customHeight="1">
      <c r="C5" s="21"/>
      <c r="D5" s="22"/>
      <c r="E5" s="19"/>
      <c r="F5" s="23"/>
      <c r="G5" s="19"/>
      <c r="L5" s="19"/>
      <c r="M5" s="19"/>
      <c r="N5" s="19"/>
    </row>
    <row r="6" spans="1:22" s="119" customFormat="1" ht="11.25">
      <c r="A6" s="120"/>
      <c r="B6" s="1178" t="s">
        <v>140</v>
      </c>
      <c r="C6" s="1179"/>
      <c r="D6" s="1179"/>
      <c r="E6" s="1180"/>
      <c r="F6" s="117"/>
      <c r="G6" s="1178" t="s">
        <v>144</v>
      </c>
      <c r="H6" s="1179"/>
      <c r="I6" s="1179"/>
      <c r="J6" s="1180"/>
      <c r="K6" s="118"/>
      <c r="L6" s="1178" t="s">
        <v>325</v>
      </c>
      <c r="M6" s="1179"/>
      <c r="N6" s="1179"/>
      <c r="O6" s="1179"/>
      <c r="P6" s="1179"/>
      <c r="Q6" s="1180"/>
      <c r="R6" s="118"/>
      <c r="S6" s="1178" t="s">
        <v>151</v>
      </c>
      <c r="T6" s="1179"/>
      <c r="U6" s="1179"/>
      <c r="V6" s="1180"/>
    </row>
    <row r="7" spans="1:22" s="119" customFormat="1" ht="11.25">
      <c r="A7" s="121" t="s">
        <v>62</v>
      </c>
      <c r="B7" s="120" t="s">
        <v>63</v>
      </c>
      <c r="C7" s="122" t="s">
        <v>357</v>
      </c>
      <c r="D7" s="123" t="s">
        <v>357</v>
      </c>
      <c r="E7" s="120" t="s">
        <v>66</v>
      </c>
      <c r="F7" s="117"/>
      <c r="G7" s="120" t="s">
        <v>63</v>
      </c>
      <c r="H7" s="122" t="s">
        <v>357</v>
      </c>
      <c r="I7" s="122" t="s">
        <v>357</v>
      </c>
      <c r="J7" s="120" t="s">
        <v>66</v>
      </c>
      <c r="K7" s="80"/>
      <c r="L7" s="120" t="s">
        <v>287</v>
      </c>
      <c r="M7" s="120" t="s">
        <v>64</v>
      </c>
      <c r="N7" s="120" t="s">
        <v>257</v>
      </c>
      <c r="O7" s="122" t="s">
        <v>357</v>
      </c>
      <c r="P7" s="122" t="s">
        <v>357</v>
      </c>
      <c r="Q7" s="120" t="s">
        <v>66</v>
      </c>
      <c r="R7" s="80"/>
      <c r="S7" s="120" t="s">
        <v>63</v>
      </c>
      <c r="T7" s="122" t="s">
        <v>256</v>
      </c>
      <c r="U7" s="122" t="s">
        <v>357</v>
      </c>
      <c r="V7" s="120" t="s">
        <v>66</v>
      </c>
    </row>
    <row r="8" spans="1:22" s="119" customFormat="1" ht="12.75" customHeight="1">
      <c r="A8" s="124" t="s">
        <v>61</v>
      </c>
      <c r="B8" s="124" t="s">
        <v>64</v>
      </c>
      <c r="C8" s="125" t="s">
        <v>65</v>
      </c>
      <c r="D8" s="126" t="s">
        <v>67</v>
      </c>
      <c r="E8" s="124" t="s">
        <v>67</v>
      </c>
      <c r="F8" s="117"/>
      <c r="G8" s="124" t="s">
        <v>64</v>
      </c>
      <c r="H8" s="125" t="s">
        <v>65</v>
      </c>
      <c r="I8" s="126" t="s">
        <v>67</v>
      </c>
      <c r="J8" s="124" t="s">
        <v>67</v>
      </c>
      <c r="K8" s="80"/>
      <c r="L8" s="124" t="s">
        <v>64</v>
      </c>
      <c r="M8" s="124" t="s">
        <v>589</v>
      </c>
      <c r="N8" s="124" t="s">
        <v>589</v>
      </c>
      <c r="O8" s="125" t="s">
        <v>65</v>
      </c>
      <c r="P8" s="126" t="s">
        <v>67</v>
      </c>
      <c r="Q8" s="124" t="s">
        <v>67</v>
      </c>
      <c r="R8" s="80"/>
      <c r="S8" s="124" t="s">
        <v>64</v>
      </c>
      <c r="T8" s="125" t="s">
        <v>65</v>
      </c>
      <c r="U8" s="126" t="s">
        <v>67</v>
      </c>
      <c r="V8" s="124" t="s">
        <v>67</v>
      </c>
    </row>
    <row r="9" spans="1:22" s="300" customFormat="1" ht="6" customHeight="1">
      <c r="A9" s="294"/>
      <c r="B9" s="296"/>
      <c r="C9" s="297"/>
      <c r="D9" s="298"/>
      <c r="E9" s="296"/>
      <c r="F9" s="117"/>
      <c r="G9" s="296"/>
      <c r="H9" s="297"/>
      <c r="I9" s="298"/>
      <c r="J9" s="296"/>
      <c r="K9" s="335"/>
      <c r="L9" s="296"/>
      <c r="M9" s="296"/>
      <c r="N9" s="296"/>
      <c r="O9" s="297"/>
      <c r="P9" s="298"/>
      <c r="Q9" s="296"/>
      <c r="R9" s="335"/>
      <c r="S9" s="296"/>
      <c r="T9" s="297"/>
      <c r="U9" s="298"/>
      <c r="V9" s="296"/>
    </row>
    <row r="10" spans="1:22" s="300" customFormat="1" ht="12.75" customHeight="1">
      <c r="A10" s="318" t="s">
        <v>189</v>
      </c>
      <c r="B10" s="336"/>
      <c r="C10" s="337"/>
      <c r="D10" s="338"/>
      <c r="E10" s="339"/>
      <c r="F10" s="340"/>
      <c r="G10" s="339"/>
      <c r="H10" s="337"/>
      <c r="I10" s="338"/>
      <c r="J10" s="339"/>
      <c r="K10" s="335"/>
      <c r="L10" s="339"/>
      <c r="M10" s="339"/>
      <c r="N10" s="339"/>
      <c r="O10" s="337"/>
      <c r="P10" s="338"/>
      <c r="Q10" s="339"/>
      <c r="R10" s="335"/>
      <c r="S10" s="339"/>
      <c r="T10" s="337"/>
      <c r="U10" s="338"/>
      <c r="V10" s="339"/>
    </row>
    <row r="11" spans="1:22" s="308" customFormat="1" ht="12.75" customHeight="1">
      <c r="A11" s="69" t="s">
        <v>404</v>
      </c>
      <c r="B11" s="341">
        <v>17</v>
      </c>
      <c r="C11" s="342">
        <v>148.8</v>
      </c>
      <c r="D11" s="343">
        <v>145.58</v>
      </c>
      <c r="E11" s="344">
        <f>D11/C11</f>
        <v>0.9783602150537635</v>
      </c>
      <c r="F11" s="345"/>
      <c r="G11" s="341">
        <v>14</v>
      </c>
      <c r="H11" s="342">
        <v>130.2</v>
      </c>
      <c r="I11" s="343">
        <v>131.76</v>
      </c>
      <c r="J11" s="344">
        <f>I11/H11</f>
        <v>1.0119815668202765</v>
      </c>
      <c r="K11" s="130"/>
      <c r="L11" s="341">
        <v>6</v>
      </c>
      <c r="M11" s="341">
        <v>2</v>
      </c>
      <c r="N11" s="598">
        <f>M11/L11</f>
        <v>0.3333333333333333</v>
      </c>
      <c r="O11" s="342">
        <v>6</v>
      </c>
      <c r="P11" s="343">
        <v>1.92</v>
      </c>
      <c r="Q11" s="344">
        <f>P11/O11</f>
        <v>0.32</v>
      </c>
      <c r="R11" s="130"/>
      <c r="S11" s="346">
        <f>B11+G11+L11</f>
        <v>37</v>
      </c>
      <c r="T11" s="347">
        <f>C11+H11+O11</f>
        <v>285</v>
      </c>
      <c r="U11" s="348">
        <f>D11+I11+P11</f>
        <v>279.26000000000005</v>
      </c>
      <c r="V11" s="344">
        <f>U11/T11</f>
        <v>0.9798596491228072</v>
      </c>
    </row>
    <row r="12" spans="1:22" s="308" customFormat="1" ht="12.75" customHeight="1">
      <c r="A12" s="309" t="s">
        <v>900</v>
      </c>
      <c r="B12" s="108">
        <f>SUM(B11:B11)</f>
        <v>17</v>
      </c>
      <c r="C12" s="109">
        <f>SUM(C11:C11)</f>
        <v>148.8</v>
      </c>
      <c r="D12" s="110">
        <f>SUM(D11:D11)</f>
        <v>145.58</v>
      </c>
      <c r="E12" s="111">
        <f>D12/C12</f>
        <v>0.9783602150537635</v>
      </c>
      <c r="F12" s="117"/>
      <c r="G12" s="108">
        <f>SUM(G11:G11)</f>
        <v>14</v>
      </c>
      <c r="H12" s="109">
        <f>SUM(H11:H11)</f>
        <v>130.2</v>
      </c>
      <c r="I12" s="110">
        <f>SUM(I11:I11)</f>
        <v>131.76</v>
      </c>
      <c r="J12" s="111">
        <f>I12/H12</f>
        <v>1.0119815668202765</v>
      </c>
      <c r="K12" s="130"/>
      <c r="L12" s="108">
        <f>SUM(L11:L11)</f>
        <v>6</v>
      </c>
      <c r="M12" s="108">
        <f>M11</f>
        <v>2</v>
      </c>
      <c r="N12" s="111">
        <f>M12/L12</f>
        <v>0.3333333333333333</v>
      </c>
      <c r="O12" s="109">
        <f>SUM(O11:O11)</f>
        <v>6</v>
      </c>
      <c r="P12" s="110">
        <f>SUM(P11:P11)</f>
        <v>1.92</v>
      </c>
      <c r="Q12" s="111">
        <f>P12/O12</f>
        <v>0.32</v>
      </c>
      <c r="R12" s="130"/>
      <c r="S12" s="108">
        <f>SUM(S11:S11)</f>
        <v>37</v>
      </c>
      <c r="T12" s="349">
        <f>SUM(T11:T11)</f>
        <v>285</v>
      </c>
      <c r="U12" s="350">
        <f>SUM(U11:U11)</f>
        <v>279.26000000000005</v>
      </c>
      <c r="V12" s="111">
        <f>U12/T12</f>
        <v>0.9798596491228072</v>
      </c>
    </row>
    <row r="13" spans="1:26" s="308" customFormat="1" ht="6" customHeight="1">
      <c r="A13" s="351"/>
      <c r="B13" s="352"/>
      <c r="C13" s="352"/>
      <c r="D13" s="352"/>
      <c r="E13" s="352"/>
      <c r="F13" s="352"/>
      <c r="G13" s="352"/>
      <c r="H13" s="352"/>
      <c r="I13" s="352"/>
      <c r="J13" s="352"/>
      <c r="K13" s="353"/>
      <c r="L13" s="352"/>
      <c r="M13" s="352"/>
      <c r="N13" s="352"/>
      <c r="O13" s="352"/>
      <c r="P13" s="352"/>
      <c r="Q13" s="352"/>
      <c r="R13" s="353"/>
      <c r="S13" s="352"/>
      <c r="T13" s="352"/>
      <c r="U13" s="352"/>
      <c r="V13" s="352"/>
      <c r="W13" s="354"/>
      <c r="X13" s="306"/>
      <c r="Y13" s="307"/>
      <c r="Z13" s="307"/>
    </row>
    <row r="14" spans="1:26" s="308" customFormat="1" ht="12.75" customHeight="1">
      <c r="A14" s="318" t="s">
        <v>194</v>
      </c>
      <c r="B14" s="355"/>
      <c r="C14" s="351"/>
      <c r="D14" s="351"/>
      <c r="E14" s="352"/>
      <c r="F14" s="352"/>
      <c r="G14" s="351"/>
      <c r="H14" s="351"/>
      <c r="I14" s="351"/>
      <c r="J14" s="352"/>
      <c r="K14" s="353"/>
      <c r="L14" s="351"/>
      <c r="M14" s="351"/>
      <c r="N14" s="351"/>
      <c r="O14" s="351"/>
      <c r="P14" s="351"/>
      <c r="Q14" s="352"/>
      <c r="R14" s="353"/>
      <c r="S14" s="352"/>
      <c r="T14" s="352"/>
      <c r="U14" s="352"/>
      <c r="V14" s="352"/>
      <c r="W14" s="354"/>
      <c r="X14" s="306"/>
      <c r="Y14" s="307"/>
      <c r="Z14" s="307"/>
    </row>
    <row r="15" spans="1:22" s="308" customFormat="1" ht="12.75" customHeight="1">
      <c r="A15" s="69" t="s">
        <v>405</v>
      </c>
      <c r="B15" s="341">
        <v>0</v>
      </c>
      <c r="C15" s="342">
        <v>0</v>
      </c>
      <c r="D15" s="343">
        <v>0</v>
      </c>
      <c r="E15" s="344">
        <v>0</v>
      </c>
      <c r="F15" s="345"/>
      <c r="G15" s="341">
        <v>0</v>
      </c>
      <c r="H15" s="342">
        <v>0</v>
      </c>
      <c r="I15" s="343">
        <v>0</v>
      </c>
      <c r="J15" s="344">
        <v>0</v>
      </c>
      <c r="K15" s="130"/>
      <c r="L15" s="341">
        <v>0</v>
      </c>
      <c r="M15" s="341">
        <v>0</v>
      </c>
      <c r="N15" s="344">
        <v>0</v>
      </c>
      <c r="O15" s="342">
        <v>0</v>
      </c>
      <c r="P15" s="343">
        <v>0</v>
      </c>
      <c r="Q15" s="344">
        <v>0</v>
      </c>
      <c r="R15" s="130"/>
      <c r="S15" s="341">
        <f>B15+G15+L15</f>
        <v>0</v>
      </c>
      <c r="T15" s="342">
        <f>C15+H15+O15</f>
        <v>0</v>
      </c>
      <c r="U15" s="343">
        <f>D15+I15+P15</f>
        <v>0</v>
      </c>
      <c r="V15" s="344">
        <v>0</v>
      </c>
    </row>
    <row r="16" spans="1:22" s="323" customFormat="1" ht="12.75" customHeight="1">
      <c r="A16" s="211" t="s">
        <v>406</v>
      </c>
      <c r="B16" s="356">
        <v>0</v>
      </c>
      <c r="C16" s="357">
        <v>0</v>
      </c>
      <c r="D16" s="358">
        <v>0</v>
      </c>
      <c r="E16" s="359">
        <v>0</v>
      </c>
      <c r="F16" s="360"/>
      <c r="G16" s="356">
        <v>0</v>
      </c>
      <c r="H16" s="357">
        <v>0</v>
      </c>
      <c r="I16" s="358">
        <v>0</v>
      </c>
      <c r="J16" s="359">
        <v>0</v>
      </c>
      <c r="K16" s="359"/>
      <c r="L16" s="356">
        <v>0</v>
      </c>
      <c r="M16" s="356">
        <v>0</v>
      </c>
      <c r="N16" s="359">
        <v>0</v>
      </c>
      <c r="O16" s="357">
        <v>0</v>
      </c>
      <c r="P16" s="358">
        <v>0</v>
      </c>
      <c r="Q16" s="359">
        <v>0</v>
      </c>
      <c r="R16" s="359"/>
      <c r="S16" s="356">
        <f>B16+G16+L16</f>
        <v>0</v>
      </c>
      <c r="T16" s="357">
        <f>C16+H16+O16</f>
        <v>0</v>
      </c>
      <c r="U16" s="358">
        <f>D16+I16+P16</f>
        <v>0</v>
      </c>
      <c r="V16" s="359">
        <v>0</v>
      </c>
    </row>
    <row r="17" spans="1:22" s="308" customFormat="1" ht="12.75" customHeight="1">
      <c r="A17" s="309" t="s">
        <v>900</v>
      </c>
      <c r="B17" s="108">
        <f>SUM(B15:B16)</f>
        <v>0</v>
      </c>
      <c r="C17" s="109">
        <f>SUM(C15:C16)</f>
        <v>0</v>
      </c>
      <c r="D17" s="110">
        <f>SUM(D15:D16)</f>
        <v>0</v>
      </c>
      <c r="E17" s="111">
        <v>0</v>
      </c>
      <c r="F17" s="117"/>
      <c r="G17" s="108">
        <f>SUM(G15:G16)</f>
        <v>0</v>
      </c>
      <c r="H17" s="109">
        <f>SUM(H15:H16)</f>
        <v>0</v>
      </c>
      <c r="I17" s="110">
        <f>SUM(I15:I16)</f>
        <v>0</v>
      </c>
      <c r="J17" s="111">
        <v>0</v>
      </c>
      <c r="K17" s="130"/>
      <c r="L17" s="108">
        <f>SUM(L15:L16)</f>
        <v>0</v>
      </c>
      <c r="M17" s="108">
        <v>0</v>
      </c>
      <c r="N17" s="111">
        <v>0</v>
      </c>
      <c r="O17" s="109">
        <f>SUM(O15:O16)</f>
        <v>0</v>
      </c>
      <c r="P17" s="110">
        <f>SUM(P15:P16)</f>
        <v>0</v>
      </c>
      <c r="Q17" s="111">
        <v>0</v>
      </c>
      <c r="R17" s="130"/>
      <c r="S17" s="108">
        <f>SUM(S15:S16)</f>
        <v>0</v>
      </c>
      <c r="T17" s="109">
        <f>SUM(T15:T16)</f>
        <v>0</v>
      </c>
      <c r="U17" s="110">
        <f>SUM(U15:U16)</f>
        <v>0</v>
      </c>
      <c r="V17" s="111">
        <v>0</v>
      </c>
    </row>
    <row r="18" spans="1:26" s="308" customFormat="1" ht="6" customHeight="1">
      <c r="A18" s="351"/>
      <c r="B18" s="352"/>
      <c r="C18" s="352"/>
      <c r="D18" s="352"/>
      <c r="E18" s="352"/>
      <c r="F18" s="352"/>
      <c r="G18" s="352"/>
      <c r="H18" s="352"/>
      <c r="I18" s="352"/>
      <c r="J18" s="352"/>
      <c r="K18" s="353"/>
      <c r="L18" s="352"/>
      <c r="M18" s="352"/>
      <c r="N18" s="352"/>
      <c r="O18" s="352"/>
      <c r="P18" s="352"/>
      <c r="Q18" s="352"/>
      <c r="R18" s="353"/>
      <c r="S18" s="352"/>
      <c r="T18" s="352"/>
      <c r="U18" s="352"/>
      <c r="V18" s="352"/>
      <c r="W18" s="354"/>
      <c r="X18" s="306"/>
      <c r="Y18" s="307"/>
      <c r="Z18" s="307"/>
    </row>
    <row r="19" spans="1:26" s="308" customFormat="1" ht="12.75" customHeight="1">
      <c r="A19" s="318" t="s">
        <v>206</v>
      </c>
      <c r="B19" s="355"/>
      <c r="C19" s="351"/>
      <c r="D19" s="351"/>
      <c r="E19" s="352"/>
      <c r="F19" s="352"/>
      <c r="G19" s="351"/>
      <c r="H19" s="351"/>
      <c r="I19" s="351"/>
      <c r="J19" s="352"/>
      <c r="K19" s="353"/>
      <c r="L19" s="351"/>
      <c r="M19" s="351"/>
      <c r="N19" s="351"/>
      <c r="O19" s="351"/>
      <c r="P19" s="351"/>
      <c r="Q19" s="352"/>
      <c r="R19" s="353"/>
      <c r="S19" s="352"/>
      <c r="T19" s="352"/>
      <c r="U19" s="352"/>
      <c r="V19" s="352"/>
      <c r="W19" s="354"/>
      <c r="X19" s="306"/>
      <c r="Y19" s="307"/>
      <c r="Z19" s="307"/>
    </row>
    <row r="20" spans="1:22" s="308" customFormat="1" ht="12.75" customHeight="1">
      <c r="A20" s="44" t="s">
        <v>407</v>
      </c>
      <c r="B20" s="341">
        <v>0</v>
      </c>
      <c r="C20" s="342">
        <v>0</v>
      </c>
      <c r="D20" s="343">
        <v>0</v>
      </c>
      <c r="E20" s="344">
        <v>0</v>
      </c>
      <c r="F20" s="345"/>
      <c r="G20" s="341">
        <v>0</v>
      </c>
      <c r="H20" s="342">
        <v>0</v>
      </c>
      <c r="I20" s="343">
        <v>0</v>
      </c>
      <c r="J20" s="344">
        <v>0</v>
      </c>
      <c r="K20" s="130"/>
      <c r="L20" s="341">
        <v>0</v>
      </c>
      <c r="M20" s="341">
        <v>0</v>
      </c>
      <c r="N20" s="598">
        <v>0</v>
      </c>
      <c r="O20" s="342">
        <v>0</v>
      </c>
      <c r="P20" s="343">
        <v>0</v>
      </c>
      <c r="Q20" s="344">
        <v>0</v>
      </c>
      <c r="R20" s="130"/>
      <c r="S20" s="341">
        <f>B20+G20+L20</f>
        <v>0</v>
      </c>
      <c r="T20" s="342">
        <f aca="true" t="shared" si="0" ref="T20:U22">C20+H20+O20</f>
        <v>0</v>
      </c>
      <c r="U20" s="343">
        <f t="shared" si="0"/>
        <v>0</v>
      </c>
      <c r="V20" s="344">
        <v>0</v>
      </c>
    </row>
    <row r="21" spans="1:22" s="308" customFormat="1" ht="12.75" customHeight="1">
      <c r="A21" s="40" t="s">
        <v>453</v>
      </c>
      <c r="B21" s="366">
        <v>7</v>
      </c>
      <c r="C21" s="367">
        <v>62.4</v>
      </c>
      <c r="D21" s="368">
        <v>65.16</v>
      </c>
      <c r="E21" s="369">
        <f>D21/C21</f>
        <v>1.0442307692307693</v>
      </c>
      <c r="F21" s="345"/>
      <c r="G21" s="366">
        <v>27</v>
      </c>
      <c r="H21" s="367">
        <v>232.6</v>
      </c>
      <c r="I21" s="368">
        <v>186.54</v>
      </c>
      <c r="J21" s="369">
        <f>I21/H21</f>
        <v>0.8019776440240757</v>
      </c>
      <c r="K21" s="130"/>
      <c r="L21" s="366">
        <v>5</v>
      </c>
      <c r="M21" s="366">
        <v>2</v>
      </c>
      <c r="N21" s="599">
        <f>M21/L21</f>
        <v>0.4</v>
      </c>
      <c r="O21" s="367">
        <v>5</v>
      </c>
      <c r="P21" s="368">
        <v>3.63</v>
      </c>
      <c r="Q21" s="369">
        <f>P21/O21</f>
        <v>0.726</v>
      </c>
      <c r="R21" s="130"/>
      <c r="S21" s="366">
        <f>B21+G21+L21</f>
        <v>39</v>
      </c>
      <c r="T21" s="367">
        <f t="shared" si="0"/>
        <v>300</v>
      </c>
      <c r="U21" s="368">
        <f t="shared" si="0"/>
        <v>255.32999999999998</v>
      </c>
      <c r="V21" s="369">
        <f>U21/T21</f>
        <v>0.8511</v>
      </c>
    </row>
    <row r="22" spans="1:22" s="308" customFormat="1" ht="12.75" customHeight="1">
      <c r="A22" s="40" t="s">
        <v>454</v>
      </c>
      <c r="B22" s="366">
        <v>3</v>
      </c>
      <c r="C22" s="367">
        <v>28.5</v>
      </c>
      <c r="D22" s="368">
        <v>29.79</v>
      </c>
      <c r="E22" s="369">
        <f>D22/C22</f>
        <v>1.045263157894737</v>
      </c>
      <c r="F22" s="345"/>
      <c r="G22" s="366">
        <v>0</v>
      </c>
      <c r="H22" s="367">
        <v>0</v>
      </c>
      <c r="I22" s="368">
        <v>0</v>
      </c>
      <c r="J22" s="369">
        <v>0</v>
      </c>
      <c r="K22" s="130"/>
      <c r="L22" s="366">
        <v>7</v>
      </c>
      <c r="M22" s="366">
        <v>1</v>
      </c>
      <c r="N22" s="599">
        <f>M22/L22</f>
        <v>0.14285714285714285</v>
      </c>
      <c r="O22" s="367">
        <v>7</v>
      </c>
      <c r="P22" s="368">
        <v>5.14</v>
      </c>
      <c r="Q22" s="369">
        <f>P22/O22</f>
        <v>0.7342857142857142</v>
      </c>
      <c r="R22" s="130"/>
      <c r="S22" s="366">
        <f>B22+G22+L22</f>
        <v>10</v>
      </c>
      <c r="T22" s="367">
        <f t="shared" si="0"/>
        <v>35.5</v>
      </c>
      <c r="U22" s="368">
        <f t="shared" si="0"/>
        <v>34.93</v>
      </c>
      <c r="V22" s="369">
        <f>U22/T22</f>
        <v>0.983943661971831</v>
      </c>
    </row>
    <row r="23" spans="1:22" s="308" customFormat="1" ht="12" customHeight="1">
      <c r="A23" s="309" t="s">
        <v>900</v>
      </c>
      <c r="B23" s="108">
        <f>SUM(B20:B22)</f>
        <v>10</v>
      </c>
      <c r="C23" s="109">
        <f>SUM(C20:C22)</f>
        <v>90.9</v>
      </c>
      <c r="D23" s="110">
        <f>SUM(D20:D22)</f>
        <v>94.94999999999999</v>
      </c>
      <c r="E23" s="111">
        <f>D23/C23</f>
        <v>1.0445544554455444</v>
      </c>
      <c r="F23" s="117"/>
      <c r="G23" s="108">
        <f>SUM(G20:G22)</f>
        <v>27</v>
      </c>
      <c r="H23" s="109">
        <f>SUM(H20:H22)</f>
        <v>232.6</v>
      </c>
      <c r="I23" s="110">
        <f>SUM(I20:I22)</f>
        <v>186.54</v>
      </c>
      <c r="J23" s="111">
        <f>I23/H23</f>
        <v>0.8019776440240757</v>
      </c>
      <c r="K23" s="130"/>
      <c r="L23" s="108">
        <f>SUM(L20:L22)</f>
        <v>12</v>
      </c>
      <c r="M23" s="108">
        <f>SUM(M20:M22)</f>
        <v>3</v>
      </c>
      <c r="N23" s="111">
        <f>M23/L23</f>
        <v>0.25</v>
      </c>
      <c r="O23" s="109">
        <f>SUM(O20:O22)</f>
        <v>12</v>
      </c>
      <c r="P23" s="110">
        <f>SUM(P20:P22)</f>
        <v>8.77</v>
      </c>
      <c r="Q23" s="111">
        <f>P23/O23</f>
        <v>0.7308333333333333</v>
      </c>
      <c r="R23" s="130"/>
      <c r="S23" s="108">
        <f>SUM(S20:S22)</f>
        <v>49</v>
      </c>
      <c r="T23" s="109">
        <f>SUM(T20:T22)</f>
        <v>335.5</v>
      </c>
      <c r="U23" s="110">
        <f>SUM(U20:U22)</f>
        <v>290.26</v>
      </c>
      <c r="V23" s="111">
        <f>U23/T23</f>
        <v>0.8651564828614009</v>
      </c>
    </row>
    <row r="24" spans="1:26" s="308" customFormat="1" ht="6" customHeight="1">
      <c r="A24" s="351"/>
      <c r="B24" s="352"/>
      <c r="C24" s="352"/>
      <c r="D24" s="352"/>
      <c r="E24" s="352"/>
      <c r="F24" s="352"/>
      <c r="G24" s="352"/>
      <c r="H24" s="352"/>
      <c r="I24" s="352"/>
      <c r="J24" s="354"/>
      <c r="K24" s="353"/>
      <c r="L24" s="352"/>
      <c r="M24" s="352"/>
      <c r="N24" s="352"/>
      <c r="O24" s="352"/>
      <c r="P24" s="352"/>
      <c r="Q24" s="354"/>
      <c r="R24" s="353"/>
      <c r="S24" s="352"/>
      <c r="T24" s="352"/>
      <c r="U24" s="352"/>
      <c r="V24" s="352"/>
      <c r="W24" s="354"/>
      <c r="X24" s="306"/>
      <c r="Y24" s="307"/>
      <c r="Z24" s="307"/>
    </row>
    <row r="25" spans="1:26" s="308" customFormat="1" ht="12.75" customHeight="1">
      <c r="A25" s="318" t="s">
        <v>209</v>
      </c>
      <c r="B25" s="355"/>
      <c r="C25" s="351"/>
      <c r="D25" s="351"/>
      <c r="E25" s="352"/>
      <c r="F25" s="352"/>
      <c r="G25" s="352"/>
      <c r="H25" s="352"/>
      <c r="I25" s="352"/>
      <c r="J25" s="354"/>
      <c r="K25" s="353"/>
      <c r="L25" s="352"/>
      <c r="M25" s="352"/>
      <c r="N25" s="352"/>
      <c r="O25" s="352"/>
      <c r="P25" s="352"/>
      <c r="Q25" s="354"/>
      <c r="R25" s="353"/>
      <c r="S25" s="352"/>
      <c r="T25" s="352"/>
      <c r="U25" s="352"/>
      <c r="V25" s="352"/>
      <c r="W25" s="354"/>
      <c r="X25" s="306"/>
      <c r="Y25" s="307"/>
      <c r="Z25" s="307"/>
    </row>
    <row r="26" spans="1:22" s="308" customFormat="1" ht="12.75" customHeight="1">
      <c r="A26" s="44" t="s">
        <v>408</v>
      </c>
      <c r="B26" s="341">
        <v>0</v>
      </c>
      <c r="C26" s="342">
        <v>0</v>
      </c>
      <c r="D26" s="343">
        <v>0</v>
      </c>
      <c r="E26" s="344">
        <v>0</v>
      </c>
      <c r="F26" s="345"/>
      <c r="G26" s="341">
        <v>0</v>
      </c>
      <c r="H26" s="342">
        <v>0</v>
      </c>
      <c r="I26" s="343">
        <v>0</v>
      </c>
      <c r="J26" s="344">
        <v>0</v>
      </c>
      <c r="K26" s="130"/>
      <c r="L26" s="341">
        <v>0</v>
      </c>
      <c r="M26" s="341">
        <v>0</v>
      </c>
      <c r="N26" s="598">
        <v>0</v>
      </c>
      <c r="O26" s="342">
        <v>0</v>
      </c>
      <c r="P26" s="343">
        <v>0</v>
      </c>
      <c r="Q26" s="344">
        <v>0</v>
      </c>
      <c r="R26" s="130"/>
      <c r="S26" s="341">
        <f>B26+G26+L26</f>
        <v>0</v>
      </c>
      <c r="T26" s="342">
        <f>C26+H26+O26</f>
        <v>0</v>
      </c>
      <c r="U26" s="343">
        <f>D26+I26+P26</f>
        <v>0</v>
      </c>
      <c r="V26" s="344">
        <v>0</v>
      </c>
    </row>
    <row r="27" spans="1:22" s="308" customFormat="1" ht="12.75" customHeight="1">
      <c r="A27" s="309" t="s">
        <v>900</v>
      </c>
      <c r="B27" s="108">
        <f>SUM(B26:B26)</f>
        <v>0</v>
      </c>
      <c r="C27" s="109">
        <f>SUM(C26:C26)</f>
        <v>0</v>
      </c>
      <c r="D27" s="110">
        <f>SUM(D26:D26)</f>
        <v>0</v>
      </c>
      <c r="E27" s="111">
        <v>0</v>
      </c>
      <c r="F27" s="117"/>
      <c r="G27" s="108">
        <f>SUM(G26:G26)</f>
        <v>0</v>
      </c>
      <c r="H27" s="109">
        <f>SUM(H26:H26)</f>
        <v>0</v>
      </c>
      <c r="I27" s="110">
        <f>SUM(I26:I26)</f>
        <v>0</v>
      </c>
      <c r="J27" s="111">
        <v>0</v>
      </c>
      <c r="K27" s="130"/>
      <c r="L27" s="108">
        <f>SUM(L26:L26)</f>
        <v>0</v>
      </c>
      <c r="M27" s="108">
        <f>M26</f>
        <v>0</v>
      </c>
      <c r="N27" s="111">
        <v>0</v>
      </c>
      <c r="O27" s="109">
        <f>SUM(O26:O26)</f>
        <v>0</v>
      </c>
      <c r="P27" s="110">
        <f>SUM(P26:P26)</f>
        <v>0</v>
      </c>
      <c r="Q27" s="111">
        <v>0</v>
      </c>
      <c r="R27" s="130"/>
      <c r="S27" s="108">
        <f>SUM(S26:S26)</f>
        <v>0</v>
      </c>
      <c r="T27" s="109">
        <f>SUM(T26:T26)</f>
        <v>0</v>
      </c>
      <c r="U27" s="110">
        <f>SUM(U26:U26)</f>
        <v>0</v>
      </c>
      <c r="V27" s="111">
        <v>0</v>
      </c>
    </row>
    <row r="28" spans="1:26" s="308" customFormat="1" ht="6" customHeight="1">
      <c r="A28" s="351"/>
      <c r="B28" s="352"/>
      <c r="C28" s="352"/>
      <c r="D28" s="352"/>
      <c r="E28" s="352"/>
      <c r="F28" s="352"/>
      <c r="G28" s="352"/>
      <c r="H28" s="352"/>
      <c r="I28" s="352"/>
      <c r="J28" s="354"/>
      <c r="K28" s="353"/>
      <c r="L28" s="352"/>
      <c r="M28" s="352"/>
      <c r="N28" s="352"/>
      <c r="O28" s="352"/>
      <c r="P28" s="352"/>
      <c r="Q28" s="354"/>
      <c r="R28" s="353"/>
      <c r="S28" s="352"/>
      <c r="T28" s="352"/>
      <c r="U28" s="352"/>
      <c r="V28" s="352"/>
      <c r="W28" s="354"/>
      <c r="X28" s="306"/>
      <c r="Y28" s="307"/>
      <c r="Z28" s="307"/>
    </row>
    <row r="29" spans="1:26" s="308" customFormat="1" ht="12.75" customHeight="1">
      <c r="A29" s="318" t="s">
        <v>184</v>
      </c>
      <c r="B29" s="355"/>
      <c r="C29" s="351"/>
      <c r="D29" s="351"/>
      <c r="E29" s="352"/>
      <c r="F29" s="352"/>
      <c r="G29" s="352"/>
      <c r="H29" s="352"/>
      <c r="I29" s="352"/>
      <c r="J29" s="354"/>
      <c r="K29" s="353"/>
      <c r="L29" s="352"/>
      <c r="M29" s="352"/>
      <c r="N29" s="352"/>
      <c r="O29" s="352"/>
      <c r="P29" s="352"/>
      <c r="Q29" s="354"/>
      <c r="R29" s="353"/>
      <c r="S29" s="352"/>
      <c r="T29" s="352"/>
      <c r="U29" s="352"/>
      <c r="V29" s="352"/>
      <c r="W29" s="354"/>
      <c r="X29" s="306"/>
      <c r="Y29" s="307"/>
      <c r="Z29" s="307"/>
    </row>
    <row r="30" spans="1:22" s="308" customFormat="1" ht="12.75" customHeight="1">
      <c r="A30" s="44" t="s">
        <v>409</v>
      </c>
      <c r="B30" s="341">
        <v>0</v>
      </c>
      <c r="C30" s="342">
        <v>0</v>
      </c>
      <c r="D30" s="343">
        <v>0</v>
      </c>
      <c r="E30" s="344">
        <v>0</v>
      </c>
      <c r="F30" s="345"/>
      <c r="G30" s="341">
        <v>0</v>
      </c>
      <c r="H30" s="342">
        <v>0</v>
      </c>
      <c r="I30" s="343">
        <v>0</v>
      </c>
      <c r="J30" s="344">
        <v>0</v>
      </c>
      <c r="K30" s="130"/>
      <c r="L30" s="341">
        <v>0</v>
      </c>
      <c r="M30" s="341">
        <v>0</v>
      </c>
      <c r="N30" s="598">
        <v>0</v>
      </c>
      <c r="O30" s="342">
        <v>0</v>
      </c>
      <c r="P30" s="343">
        <v>0</v>
      </c>
      <c r="Q30" s="344">
        <v>0</v>
      </c>
      <c r="R30" s="130"/>
      <c r="S30" s="341">
        <f aca="true" t="shared" si="1" ref="S30:U31">B30+G30</f>
        <v>0</v>
      </c>
      <c r="T30" s="342">
        <f t="shared" si="1"/>
        <v>0</v>
      </c>
      <c r="U30" s="343">
        <f t="shared" si="1"/>
        <v>0</v>
      </c>
      <c r="V30" s="344">
        <v>0</v>
      </c>
    </row>
    <row r="31" spans="1:22" s="308" customFormat="1" ht="12.75" customHeight="1">
      <c r="A31" s="40" t="s">
        <v>410</v>
      </c>
      <c r="B31" s="366">
        <v>0</v>
      </c>
      <c r="C31" s="367">
        <v>0</v>
      </c>
      <c r="D31" s="368">
        <v>0</v>
      </c>
      <c r="E31" s="359">
        <v>0</v>
      </c>
      <c r="F31" s="345"/>
      <c r="G31" s="366">
        <v>0</v>
      </c>
      <c r="H31" s="367">
        <v>0</v>
      </c>
      <c r="I31" s="368">
        <v>0</v>
      </c>
      <c r="J31" s="369">
        <v>0</v>
      </c>
      <c r="K31" s="130"/>
      <c r="L31" s="366">
        <v>0</v>
      </c>
      <c r="M31" s="366">
        <v>0</v>
      </c>
      <c r="N31" s="599">
        <v>0</v>
      </c>
      <c r="O31" s="367">
        <v>0</v>
      </c>
      <c r="P31" s="368">
        <v>0</v>
      </c>
      <c r="Q31" s="369">
        <v>0</v>
      </c>
      <c r="R31" s="130"/>
      <c r="S31" s="356">
        <f t="shared" si="1"/>
        <v>0</v>
      </c>
      <c r="T31" s="357">
        <f t="shared" si="1"/>
        <v>0</v>
      </c>
      <c r="U31" s="358">
        <f t="shared" si="1"/>
        <v>0</v>
      </c>
      <c r="V31" s="359">
        <v>0</v>
      </c>
    </row>
    <row r="32" spans="1:22" s="308" customFormat="1" ht="12.75" customHeight="1">
      <c r="A32" s="40" t="s">
        <v>411</v>
      </c>
      <c r="B32" s="366">
        <v>9</v>
      </c>
      <c r="C32" s="367">
        <v>78.3</v>
      </c>
      <c r="D32" s="368">
        <v>80.44</v>
      </c>
      <c r="E32" s="369">
        <f>D32/C32</f>
        <v>1.027330779054917</v>
      </c>
      <c r="F32" s="345"/>
      <c r="G32" s="366">
        <v>13</v>
      </c>
      <c r="H32" s="367">
        <v>119.7</v>
      </c>
      <c r="I32" s="368">
        <v>61.18</v>
      </c>
      <c r="J32" s="369">
        <f>I32/H32</f>
        <v>0.5111111111111111</v>
      </c>
      <c r="K32" s="130"/>
      <c r="L32" s="366">
        <v>2</v>
      </c>
      <c r="M32" s="366">
        <v>2</v>
      </c>
      <c r="N32" s="599">
        <f>M32/L32</f>
        <v>1</v>
      </c>
      <c r="O32" s="367">
        <v>2</v>
      </c>
      <c r="P32" s="368">
        <v>1.21</v>
      </c>
      <c r="Q32" s="369">
        <f>P32/O32</f>
        <v>0.605</v>
      </c>
      <c r="R32" s="130"/>
      <c r="S32" s="366">
        <f>B32+G32+L32</f>
        <v>24</v>
      </c>
      <c r="T32" s="367">
        <f aca="true" t="shared" si="2" ref="T32:U34">C32+H32+O32</f>
        <v>200</v>
      </c>
      <c r="U32" s="368">
        <f t="shared" si="2"/>
        <v>142.83</v>
      </c>
      <c r="V32" s="369">
        <f>U32/T32</f>
        <v>0.7141500000000001</v>
      </c>
    </row>
    <row r="33" spans="1:22" s="308" customFormat="1" ht="12" customHeight="1">
      <c r="A33" s="40" t="s">
        <v>412</v>
      </c>
      <c r="B33" s="366">
        <v>4</v>
      </c>
      <c r="C33" s="367">
        <v>35.9</v>
      </c>
      <c r="D33" s="368">
        <v>35.2</v>
      </c>
      <c r="E33" s="369">
        <f>D33/C33</f>
        <v>0.9805013927576602</v>
      </c>
      <c r="F33" s="345"/>
      <c r="G33" s="366">
        <v>0</v>
      </c>
      <c r="H33" s="367">
        <v>0</v>
      </c>
      <c r="I33" s="368">
        <v>0</v>
      </c>
      <c r="J33" s="369">
        <v>0</v>
      </c>
      <c r="K33" s="130"/>
      <c r="L33" s="366">
        <v>8</v>
      </c>
      <c r="M33" s="366">
        <v>5</v>
      </c>
      <c r="N33" s="599">
        <f>M33/L33</f>
        <v>0.625</v>
      </c>
      <c r="O33" s="367">
        <v>8</v>
      </c>
      <c r="P33" s="368">
        <v>4.55</v>
      </c>
      <c r="Q33" s="369">
        <f>P33/O33</f>
        <v>0.56875</v>
      </c>
      <c r="R33" s="130"/>
      <c r="S33" s="366">
        <f>B33+G33+L33</f>
        <v>12</v>
      </c>
      <c r="T33" s="367">
        <f t="shared" si="2"/>
        <v>43.9</v>
      </c>
      <c r="U33" s="368">
        <f t="shared" si="2"/>
        <v>39.75</v>
      </c>
      <c r="V33" s="369">
        <f>U33/T33</f>
        <v>0.9054669703872438</v>
      </c>
    </row>
    <row r="34" spans="1:22" s="308" customFormat="1" ht="12.75" customHeight="1">
      <c r="A34" s="40" t="s">
        <v>413</v>
      </c>
      <c r="B34" s="366">
        <v>0</v>
      </c>
      <c r="C34" s="367">
        <v>0</v>
      </c>
      <c r="D34" s="368">
        <v>0</v>
      </c>
      <c r="E34" s="369">
        <v>0</v>
      </c>
      <c r="F34" s="361"/>
      <c r="G34" s="366">
        <v>0</v>
      </c>
      <c r="H34" s="367">
        <v>0</v>
      </c>
      <c r="I34" s="368">
        <v>0</v>
      </c>
      <c r="J34" s="369">
        <v>0</v>
      </c>
      <c r="K34" s="130"/>
      <c r="L34" s="366">
        <v>0</v>
      </c>
      <c r="M34" s="366">
        <v>0</v>
      </c>
      <c r="N34" s="599">
        <v>0</v>
      </c>
      <c r="O34" s="367">
        <v>0</v>
      </c>
      <c r="P34" s="368">
        <v>0</v>
      </c>
      <c r="Q34" s="369">
        <v>0</v>
      </c>
      <c r="R34" s="130"/>
      <c r="S34" s="373">
        <f>B34+G34+L34</f>
        <v>0</v>
      </c>
      <c r="T34" s="374">
        <f t="shared" si="2"/>
        <v>0</v>
      </c>
      <c r="U34" s="375">
        <f t="shared" si="2"/>
        <v>0</v>
      </c>
      <c r="V34" s="376">
        <v>0</v>
      </c>
    </row>
    <row r="35" spans="1:22" s="308" customFormat="1" ht="12.75" customHeight="1">
      <c r="A35" s="309" t="s">
        <v>900</v>
      </c>
      <c r="B35" s="108">
        <f>SUM(B30:B34)</f>
        <v>13</v>
      </c>
      <c r="C35" s="109">
        <f>SUM(C30:C34)</f>
        <v>114.19999999999999</v>
      </c>
      <c r="D35" s="110">
        <f>SUM(D30:D34)</f>
        <v>115.64</v>
      </c>
      <c r="E35" s="111">
        <f>D35/C35</f>
        <v>1.0126094570928197</v>
      </c>
      <c r="F35" s="117"/>
      <c r="G35" s="108">
        <f>SUM(G30:G34)</f>
        <v>13</v>
      </c>
      <c r="H35" s="109">
        <f>SUM(H30:H34)</f>
        <v>119.7</v>
      </c>
      <c r="I35" s="110">
        <f>SUM(I30:I34)</f>
        <v>61.18</v>
      </c>
      <c r="J35" s="111">
        <f>I35/H35</f>
        <v>0.5111111111111111</v>
      </c>
      <c r="K35" s="130"/>
      <c r="L35" s="108">
        <f>SUM(L30:L34)</f>
        <v>10</v>
      </c>
      <c r="M35" s="108">
        <f>SUM(M30:M34)</f>
        <v>7</v>
      </c>
      <c r="N35" s="111">
        <f>M35/L35</f>
        <v>0.7</v>
      </c>
      <c r="O35" s="109">
        <f>SUM(O30:O34)</f>
        <v>10</v>
      </c>
      <c r="P35" s="110">
        <f>SUM(P30:P34)</f>
        <v>5.76</v>
      </c>
      <c r="Q35" s="111">
        <f>P35/O35</f>
        <v>0.576</v>
      </c>
      <c r="R35" s="130"/>
      <c r="S35" s="108">
        <f>SUM(S30:S34)</f>
        <v>36</v>
      </c>
      <c r="T35" s="109">
        <f>SUM(T30:T34)</f>
        <v>243.9</v>
      </c>
      <c r="U35" s="110">
        <f>SUM(U30:U34)</f>
        <v>182.58</v>
      </c>
      <c r="V35" s="111">
        <f>U35/T35</f>
        <v>0.7485854858548586</v>
      </c>
    </row>
    <row r="36" spans="1:26" s="308" customFormat="1" ht="6" customHeight="1">
      <c r="A36" s="352"/>
      <c r="B36" s="352"/>
      <c r="C36" s="352"/>
      <c r="D36" s="352"/>
      <c r="E36" s="352"/>
      <c r="F36" s="352"/>
      <c r="G36" s="352"/>
      <c r="H36" s="352"/>
      <c r="I36" s="352"/>
      <c r="J36" s="354"/>
      <c r="K36" s="353"/>
      <c r="L36" s="352"/>
      <c r="M36" s="352"/>
      <c r="N36" s="352"/>
      <c r="O36" s="352"/>
      <c r="P36" s="352"/>
      <c r="Q36" s="354"/>
      <c r="R36" s="353"/>
      <c r="S36" s="352"/>
      <c r="T36" s="352"/>
      <c r="U36" s="352"/>
      <c r="V36" s="352"/>
      <c r="W36" s="354"/>
      <c r="X36" s="306"/>
      <c r="Y36" s="307"/>
      <c r="Z36" s="307"/>
    </row>
    <row r="37" spans="1:26" s="308" customFormat="1" ht="12.75" customHeight="1">
      <c r="A37" s="352"/>
      <c r="B37" s="352"/>
      <c r="C37" s="352"/>
      <c r="D37" s="352"/>
      <c r="E37" s="352"/>
      <c r="F37" s="352"/>
      <c r="G37" s="352"/>
      <c r="H37" s="352"/>
      <c r="I37" s="352"/>
      <c r="J37" s="354"/>
      <c r="K37" s="353"/>
      <c r="L37" s="352"/>
      <c r="M37" s="352"/>
      <c r="N37" s="352"/>
      <c r="O37" s="352"/>
      <c r="P37" s="352"/>
      <c r="Q37" s="354"/>
      <c r="R37" s="353"/>
      <c r="S37" s="352"/>
      <c r="T37" s="352"/>
      <c r="U37" s="352"/>
      <c r="V37" s="352"/>
      <c r="W37" s="354"/>
      <c r="X37" s="306"/>
      <c r="Y37" s="307"/>
      <c r="Z37" s="307"/>
    </row>
    <row r="38" spans="1:26" s="308" customFormat="1" ht="12.75" customHeight="1">
      <c r="A38" s="352"/>
      <c r="B38" s="352"/>
      <c r="C38" s="352"/>
      <c r="D38" s="352"/>
      <c r="E38" s="352"/>
      <c r="F38" s="352"/>
      <c r="G38" s="352"/>
      <c r="H38" s="352"/>
      <c r="I38" s="352"/>
      <c r="J38" s="354"/>
      <c r="K38" s="353"/>
      <c r="L38" s="352"/>
      <c r="M38" s="352"/>
      <c r="N38" s="352"/>
      <c r="O38" s="352"/>
      <c r="P38" s="352"/>
      <c r="Q38" s="354"/>
      <c r="R38" s="353"/>
      <c r="S38" s="352"/>
      <c r="T38" s="352"/>
      <c r="U38" s="352"/>
      <c r="V38" s="352"/>
      <c r="W38" s="354"/>
      <c r="X38" s="306"/>
      <c r="Y38" s="307"/>
      <c r="Z38" s="307"/>
    </row>
    <row r="39" spans="1:26" s="308" customFormat="1" ht="12.75" customHeight="1">
      <c r="A39" s="318" t="s">
        <v>222</v>
      </c>
      <c r="B39" s="355"/>
      <c r="C39" s="351"/>
      <c r="D39" s="351"/>
      <c r="E39" s="352"/>
      <c r="F39" s="352"/>
      <c r="G39" s="352"/>
      <c r="H39" s="352"/>
      <c r="I39" s="352"/>
      <c r="J39" s="354"/>
      <c r="K39" s="353"/>
      <c r="L39" s="352"/>
      <c r="M39" s="352"/>
      <c r="N39" s="352"/>
      <c r="O39" s="352"/>
      <c r="P39" s="352"/>
      <c r="Q39" s="354"/>
      <c r="R39" s="353"/>
      <c r="S39" s="352"/>
      <c r="T39" s="352"/>
      <c r="U39" s="352"/>
      <c r="V39" s="352"/>
      <c r="W39" s="354"/>
      <c r="X39" s="306"/>
      <c r="Y39" s="307"/>
      <c r="Z39" s="307"/>
    </row>
    <row r="40" spans="1:22" s="308" customFormat="1" ht="12" customHeight="1">
      <c r="A40" s="44" t="s">
        <v>414</v>
      </c>
      <c r="B40" s="341">
        <v>0</v>
      </c>
      <c r="C40" s="342">
        <v>0</v>
      </c>
      <c r="D40" s="343">
        <v>0</v>
      </c>
      <c r="E40" s="344">
        <v>0</v>
      </c>
      <c r="F40" s="345"/>
      <c r="G40" s="341">
        <v>0</v>
      </c>
      <c r="H40" s="342">
        <v>0</v>
      </c>
      <c r="I40" s="343">
        <v>0</v>
      </c>
      <c r="J40" s="344">
        <v>0</v>
      </c>
      <c r="K40" s="130"/>
      <c r="L40" s="341">
        <v>0</v>
      </c>
      <c r="M40" s="341">
        <v>0</v>
      </c>
      <c r="N40" s="598">
        <v>0</v>
      </c>
      <c r="O40" s="342">
        <v>0</v>
      </c>
      <c r="P40" s="343">
        <v>0</v>
      </c>
      <c r="Q40" s="344">
        <v>0</v>
      </c>
      <c r="R40" s="130"/>
      <c r="S40" s="341">
        <f>B40+G40+L40</f>
        <v>0</v>
      </c>
      <c r="T40" s="342">
        <f>C40+H40+O40</f>
        <v>0</v>
      </c>
      <c r="U40" s="343">
        <f>D40+I40+P40</f>
        <v>0</v>
      </c>
      <c r="V40" s="344">
        <v>0</v>
      </c>
    </row>
    <row r="41" spans="1:22" s="308" customFormat="1" ht="12.75" customHeight="1">
      <c r="A41" s="377" t="s">
        <v>900</v>
      </c>
      <c r="B41" s="108">
        <f>SUM(B40:B40)</f>
        <v>0</v>
      </c>
      <c r="C41" s="109">
        <f>SUM(C40:C40)</f>
        <v>0</v>
      </c>
      <c r="D41" s="110">
        <f>SUM(D40:D40)</f>
        <v>0</v>
      </c>
      <c r="E41" s="111">
        <v>0</v>
      </c>
      <c r="F41" s="117"/>
      <c r="G41" s="108">
        <f>SUM(G40:G40)</f>
        <v>0</v>
      </c>
      <c r="H41" s="109">
        <f>SUM(H40:H40)</f>
        <v>0</v>
      </c>
      <c r="I41" s="110">
        <f>SUM(I40:I40)</f>
        <v>0</v>
      </c>
      <c r="J41" s="111">
        <v>0</v>
      </c>
      <c r="K41" s="130"/>
      <c r="L41" s="108">
        <f>SUM(L40:L40)</f>
        <v>0</v>
      </c>
      <c r="M41" s="108">
        <f>M40</f>
        <v>0</v>
      </c>
      <c r="N41" s="111">
        <v>0</v>
      </c>
      <c r="O41" s="109">
        <f>SUM(O40:O40)</f>
        <v>0</v>
      </c>
      <c r="P41" s="110">
        <f>SUM(P40:P40)</f>
        <v>0</v>
      </c>
      <c r="Q41" s="111">
        <v>0</v>
      </c>
      <c r="R41" s="130"/>
      <c r="S41" s="108">
        <f>SUM(S40:S40)</f>
        <v>0</v>
      </c>
      <c r="T41" s="109">
        <f>SUM(T40:T40)</f>
        <v>0</v>
      </c>
      <c r="U41" s="110">
        <f>SUM(U40:U40)</f>
        <v>0</v>
      </c>
      <c r="V41" s="111">
        <v>0</v>
      </c>
    </row>
    <row r="42" spans="1:26" s="308" customFormat="1" ht="6" customHeight="1">
      <c r="A42" s="351"/>
      <c r="B42" s="352"/>
      <c r="C42" s="352"/>
      <c r="D42" s="352"/>
      <c r="E42" s="352"/>
      <c r="F42" s="352"/>
      <c r="G42" s="352"/>
      <c r="H42" s="352"/>
      <c r="I42" s="352"/>
      <c r="J42" s="354"/>
      <c r="K42" s="353"/>
      <c r="L42" s="352"/>
      <c r="M42" s="352"/>
      <c r="N42" s="352"/>
      <c r="O42" s="352"/>
      <c r="P42" s="352"/>
      <c r="Q42" s="354"/>
      <c r="R42" s="353"/>
      <c r="S42" s="352"/>
      <c r="T42" s="352"/>
      <c r="U42" s="352"/>
      <c r="V42" s="352"/>
      <c r="W42" s="354"/>
      <c r="X42" s="306"/>
      <c r="Y42" s="307"/>
      <c r="Z42" s="307"/>
    </row>
    <row r="43" spans="1:26" s="308" customFormat="1" ht="12.75" customHeight="1">
      <c r="A43" s="318" t="s">
        <v>223</v>
      </c>
      <c r="B43" s="355"/>
      <c r="C43" s="351"/>
      <c r="D43" s="351"/>
      <c r="E43" s="352"/>
      <c r="F43" s="352"/>
      <c r="G43" s="352"/>
      <c r="H43" s="352"/>
      <c r="I43" s="352"/>
      <c r="J43" s="354"/>
      <c r="K43" s="353"/>
      <c r="L43" s="352"/>
      <c r="M43" s="352"/>
      <c r="N43" s="352"/>
      <c r="O43" s="352"/>
      <c r="P43" s="352"/>
      <c r="Q43" s="354"/>
      <c r="R43" s="353"/>
      <c r="S43" s="352"/>
      <c r="T43" s="352"/>
      <c r="U43" s="352"/>
      <c r="V43" s="352"/>
      <c r="W43" s="354"/>
      <c r="X43" s="306"/>
      <c r="Y43" s="307"/>
      <c r="Z43" s="307"/>
    </row>
    <row r="44" spans="1:22" s="308" customFormat="1" ht="12.75" customHeight="1">
      <c r="A44" s="44" t="s">
        <v>415</v>
      </c>
      <c r="B44" s="341">
        <v>0</v>
      </c>
      <c r="C44" s="342">
        <v>0</v>
      </c>
      <c r="D44" s="343">
        <v>0</v>
      </c>
      <c r="E44" s="344">
        <v>0</v>
      </c>
      <c r="F44" s="345"/>
      <c r="G44" s="341">
        <v>0</v>
      </c>
      <c r="H44" s="342">
        <v>0</v>
      </c>
      <c r="I44" s="343">
        <v>0</v>
      </c>
      <c r="J44" s="344">
        <v>0</v>
      </c>
      <c r="K44" s="130"/>
      <c r="L44" s="341">
        <v>0</v>
      </c>
      <c r="M44" s="341">
        <v>0</v>
      </c>
      <c r="N44" s="598">
        <v>0</v>
      </c>
      <c r="O44" s="342">
        <v>0</v>
      </c>
      <c r="P44" s="343">
        <v>0</v>
      </c>
      <c r="Q44" s="344">
        <v>0</v>
      </c>
      <c r="R44" s="130"/>
      <c r="S44" s="341">
        <f>B44+G44+L44</f>
        <v>0</v>
      </c>
      <c r="T44" s="342">
        <f aca="true" t="shared" si="3" ref="T44:U47">C44+H44+O44</f>
        <v>0</v>
      </c>
      <c r="U44" s="343">
        <f t="shared" si="3"/>
        <v>0</v>
      </c>
      <c r="V44" s="344">
        <v>0</v>
      </c>
    </row>
    <row r="45" spans="1:22" s="308" customFormat="1" ht="12.75" customHeight="1">
      <c r="A45" s="40" t="s">
        <v>509</v>
      </c>
      <c r="B45" s="366">
        <v>9</v>
      </c>
      <c r="C45" s="367">
        <v>78.7</v>
      </c>
      <c r="D45" s="368">
        <v>80.71</v>
      </c>
      <c r="E45" s="369">
        <f>D45/C45</f>
        <v>1.0255400254129605</v>
      </c>
      <c r="F45" s="345"/>
      <c r="G45" s="366">
        <v>15</v>
      </c>
      <c r="H45" s="367">
        <v>125.9</v>
      </c>
      <c r="I45" s="368">
        <v>93.37</v>
      </c>
      <c r="J45" s="369">
        <f>I45/H45</f>
        <v>0.7416203335980938</v>
      </c>
      <c r="K45" s="130"/>
      <c r="L45" s="366">
        <v>7</v>
      </c>
      <c r="M45" s="366">
        <v>4</v>
      </c>
      <c r="N45" s="599">
        <f>M45/L45</f>
        <v>0.5714285714285714</v>
      </c>
      <c r="O45" s="367">
        <v>7</v>
      </c>
      <c r="P45" s="368">
        <v>6.2</v>
      </c>
      <c r="Q45" s="369">
        <f>P45/O45</f>
        <v>0.8857142857142858</v>
      </c>
      <c r="R45" s="130"/>
      <c r="S45" s="366">
        <f>B45+G45+L45</f>
        <v>31</v>
      </c>
      <c r="T45" s="367">
        <f t="shared" si="3"/>
        <v>211.60000000000002</v>
      </c>
      <c r="U45" s="368">
        <f t="shared" si="3"/>
        <v>180.27999999999997</v>
      </c>
      <c r="V45" s="369">
        <f>U45/T45</f>
        <v>0.8519848771266538</v>
      </c>
    </row>
    <row r="46" spans="1:22" s="308" customFormat="1" ht="12.75" customHeight="1">
      <c r="A46" s="40" t="s">
        <v>481</v>
      </c>
      <c r="B46" s="366">
        <v>0</v>
      </c>
      <c r="C46" s="367">
        <v>0</v>
      </c>
      <c r="D46" s="368">
        <v>0</v>
      </c>
      <c r="E46" s="369">
        <v>0</v>
      </c>
      <c r="F46" s="345"/>
      <c r="G46" s="366">
        <v>0</v>
      </c>
      <c r="H46" s="367">
        <v>0</v>
      </c>
      <c r="I46" s="368">
        <v>0</v>
      </c>
      <c r="J46" s="369">
        <v>0</v>
      </c>
      <c r="K46" s="130"/>
      <c r="L46" s="366">
        <v>0</v>
      </c>
      <c r="M46" s="366">
        <v>0</v>
      </c>
      <c r="N46" s="599">
        <v>0</v>
      </c>
      <c r="O46" s="367">
        <v>0</v>
      </c>
      <c r="P46" s="368">
        <v>0</v>
      </c>
      <c r="Q46" s="369">
        <v>0</v>
      </c>
      <c r="R46" s="130"/>
      <c r="S46" s="366">
        <f>B46+G46+L46</f>
        <v>0</v>
      </c>
      <c r="T46" s="367">
        <f t="shared" si="3"/>
        <v>0</v>
      </c>
      <c r="U46" s="368">
        <f t="shared" si="3"/>
        <v>0</v>
      </c>
      <c r="V46" s="369">
        <v>0</v>
      </c>
    </row>
    <row r="47" spans="1:22" s="308" customFormat="1" ht="12.75" customHeight="1">
      <c r="A47" s="40" t="s">
        <v>510</v>
      </c>
      <c r="B47" s="366">
        <v>0</v>
      </c>
      <c r="C47" s="367">
        <v>0</v>
      </c>
      <c r="D47" s="368">
        <v>0</v>
      </c>
      <c r="E47" s="369">
        <v>0</v>
      </c>
      <c r="F47" s="345"/>
      <c r="G47" s="366">
        <v>4</v>
      </c>
      <c r="H47" s="367">
        <v>28.8</v>
      </c>
      <c r="I47" s="368">
        <v>32.65</v>
      </c>
      <c r="J47" s="369">
        <f>I47/H47</f>
        <v>1.1336805555555556</v>
      </c>
      <c r="K47" s="130"/>
      <c r="L47" s="366">
        <v>0</v>
      </c>
      <c r="M47" s="366">
        <v>0</v>
      </c>
      <c r="N47" s="599">
        <v>0</v>
      </c>
      <c r="O47" s="367">
        <v>0</v>
      </c>
      <c r="P47" s="368">
        <v>0</v>
      </c>
      <c r="Q47" s="369">
        <v>0</v>
      </c>
      <c r="R47" s="130"/>
      <c r="S47" s="366">
        <f>B47+G47+L47</f>
        <v>4</v>
      </c>
      <c r="T47" s="367">
        <f t="shared" si="3"/>
        <v>28.8</v>
      </c>
      <c r="U47" s="368">
        <f t="shared" si="3"/>
        <v>32.65</v>
      </c>
      <c r="V47" s="369">
        <f>U47/T47</f>
        <v>1.1336805555555556</v>
      </c>
    </row>
    <row r="48" spans="1:22" s="308" customFormat="1" ht="12.75" customHeight="1">
      <c r="A48" s="309" t="s">
        <v>900</v>
      </c>
      <c r="B48" s="108">
        <f>SUM(B44:B47)</f>
        <v>9</v>
      </c>
      <c r="C48" s="109">
        <f>SUM(C44:C47)</f>
        <v>78.7</v>
      </c>
      <c r="D48" s="110">
        <f>SUM(D44:D47)</f>
        <v>80.71</v>
      </c>
      <c r="E48" s="111">
        <f>D48/C48</f>
        <v>1.0255400254129605</v>
      </c>
      <c r="F48" s="117"/>
      <c r="G48" s="108">
        <f>SUM(G44:G47)</f>
        <v>19</v>
      </c>
      <c r="H48" s="109">
        <f>SUM(H44:H47)</f>
        <v>154.70000000000002</v>
      </c>
      <c r="I48" s="110">
        <f>SUM(I44:I47)</f>
        <v>126.02000000000001</v>
      </c>
      <c r="J48" s="111">
        <f>I48/H48</f>
        <v>0.8146089204912734</v>
      </c>
      <c r="K48" s="130"/>
      <c r="L48" s="108">
        <f>SUM(L44:L47)</f>
        <v>7</v>
      </c>
      <c r="M48" s="108">
        <f>SUM(M44:M47)</f>
        <v>4</v>
      </c>
      <c r="N48" s="111">
        <f>M48/L48</f>
        <v>0.5714285714285714</v>
      </c>
      <c r="O48" s="109">
        <f>SUM(O44:O47)</f>
        <v>7</v>
      </c>
      <c r="P48" s="110">
        <f>SUM(P44:P47)</f>
        <v>6.2</v>
      </c>
      <c r="Q48" s="111">
        <f>P48/O48</f>
        <v>0.8857142857142858</v>
      </c>
      <c r="R48" s="130"/>
      <c r="S48" s="108">
        <f>SUM(S44:S47)</f>
        <v>35</v>
      </c>
      <c r="T48" s="109">
        <f>SUM(T44:T47)</f>
        <v>240.40000000000003</v>
      </c>
      <c r="U48" s="110">
        <f>SUM(U44:U47)</f>
        <v>212.92999999999998</v>
      </c>
      <c r="V48" s="111">
        <f>U48/T48</f>
        <v>0.8857321131447585</v>
      </c>
    </row>
    <row r="49" spans="1:26" s="308" customFormat="1" ht="6" customHeight="1">
      <c r="A49" s="351"/>
      <c r="B49" s="352"/>
      <c r="C49" s="352"/>
      <c r="D49" s="352"/>
      <c r="E49" s="352"/>
      <c r="F49" s="352"/>
      <c r="G49" s="352"/>
      <c r="H49" s="352"/>
      <c r="I49" s="352"/>
      <c r="J49" s="354"/>
      <c r="K49" s="353"/>
      <c r="L49" s="352"/>
      <c r="M49" s="352"/>
      <c r="N49" s="352"/>
      <c r="O49" s="352"/>
      <c r="P49" s="352"/>
      <c r="Q49" s="354"/>
      <c r="R49" s="353"/>
      <c r="S49" s="352"/>
      <c r="T49" s="352"/>
      <c r="U49" s="352"/>
      <c r="V49" s="352"/>
      <c r="W49" s="354"/>
      <c r="X49" s="306"/>
      <c r="Y49" s="307"/>
      <c r="Z49" s="307"/>
    </row>
    <row r="50" spans="1:26" s="308" customFormat="1" ht="12.75" customHeight="1">
      <c r="A50" s="318" t="s">
        <v>224</v>
      </c>
      <c r="B50" s="355"/>
      <c r="C50" s="351"/>
      <c r="D50" s="351"/>
      <c r="E50" s="352"/>
      <c r="F50" s="352"/>
      <c r="G50" s="352"/>
      <c r="H50" s="352"/>
      <c r="I50" s="352"/>
      <c r="J50" s="354"/>
      <c r="K50" s="353"/>
      <c r="L50" s="352"/>
      <c r="M50" s="352"/>
      <c r="N50" s="352"/>
      <c r="O50" s="352"/>
      <c r="P50" s="352"/>
      <c r="Q50" s="354"/>
      <c r="R50" s="353"/>
      <c r="S50" s="352"/>
      <c r="T50" s="352"/>
      <c r="U50" s="352"/>
      <c r="V50" s="352"/>
      <c r="W50" s="354"/>
      <c r="X50" s="306"/>
      <c r="Y50" s="307"/>
      <c r="Z50" s="307"/>
    </row>
    <row r="51" spans="1:22" s="308" customFormat="1" ht="12.75" customHeight="1">
      <c r="A51" s="44" t="s">
        <v>416</v>
      </c>
      <c r="B51" s="341">
        <v>0</v>
      </c>
      <c r="C51" s="342">
        <v>0</v>
      </c>
      <c r="D51" s="343">
        <v>0</v>
      </c>
      <c r="E51" s="344">
        <v>0</v>
      </c>
      <c r="F51" s="345"/>
      <c r="G51" s="341">
        <v>0</v>
      </c>
      <c r="H51" s="342">
        <v>0</v>
      </c>
      <c r="I51" s="343">
        <v>0</v>
      </c>
      <c r="J51" s="344">
        <v>0</v>
      </c>
      <c r="K51" s="130"/>
      <c r="L51" s="341">
        <v>0</v>
      </c>
      <c r="M51" s="341">
        <v>0</v>
      </c>
      <c r="N51" s="598">
        <v>0</v>
      </c>
      <c r="O51" s="342">
        <v>0</v>
      </c>
      <c r="P51" s="343">
        <v>0</v>
      </c>
      <c r="Q51" s="344">
        <v>0</v>
      </c>
      <c r="R51" s="130"/>
      <c r="S51" s="341">
        <f>B51+G51+L51</f>
        <v>0</v>
      </c>
      <c r="T51" s="342">
        <f>C51+H51+O51</f>
        <v>0</v>
      </c>
      <c r="U51" s="343">
        <f>D51+I51+P51</f>
        <v>0</v>
      </c>
      <c r="V51" s="344">
        <v>0</v>
      </c>
    </row>
    <row r="52" spans="1:22" s="308" customFormat="1" ht="12" customHeight="1">
      <c r="A52" s="309" t="s">
        <v>900</v>
      </c>
      <c r="B52" s="108">
        <f>SUM(B51:B51)</f>
        <v>0</v>
      </c>
      <c r="C52" s="109">
        <f>SUM(C51:C51)</f>
        <v>0</v>
      </c>
      <c r="D52" s="110">
        <f>SUM(D51:D51)</f>
        <v>0</v>
      </c>
      <c r="E52" s="111">
        <v>0</v>
      </c>
      <c r="F52" s="117"/>
      <c r="G52" s="108">
        <f>SUM(G51:G51)</f>
        <v>0</v>
      </c>
      <c r="H52" s="109">
        <f>SUM(H51:H51)</f>
        <v>0</v>
      </c>
      <c r="I52" s="110">
        <f>SUM(I51:I51)</f>
        <v>0</v>
      </c>
      <c r="J52" s="111">
        <v>0</v>
      </c>
      <c r="K52" s="130"/>
      <c r="L52" s="108">
        <f>SUM(L51:L51)</f>
        <v>0</v>
      </c>
      <c r="M52" s="108">
        <f>M51</f>
        <v>0</v>
      </c>
      <c r="N52" s="111">
        <v>0</v>
      </c>
      <c r="O52" s="109">
        <f>SUM(O51:O51)</f>
        <v>0</v>
      </c>
      <c r="P52" s="110">
        <f>SUM(P51:P51)</f>
        <v>0</v>
      </c>
      <c r="Q52" s="111">
        <v>0</v>
      </c>
      <c r="R52" s="130"/>
      <c r="S52" s="108">
        <f>SUM(S51:S51)</f>
        <v>0</v>
      </c>
      <c r="T52" s="109">
        <f>SUM(T51:T51)</f>
        <v>0</v>
      </c>
      <c r="U52" s="110">
        <f>SUM(U51:U51)</f>
        <v>0</v>
      </c>
      <c r="V52" s="111">
        <v>0</v>
      </c>
    </row>
    <row r="53" spans="1:26" s="308" customFormat="1" ht="6" customHeight="1">
      <c r="A53" s="351"/>
      <c r="B53" s="352"/>
      <c r="C53" s="352"/>
      <c r="D53" s="352"/>
      <c r="E53" s="352"/>
      <c r="F53" s="352"/>
      <c r="G53" s="352"/>
      <c r="H53" s="352"/>
      <c r="I53" s="352"/>
      <c r="J53" s="354"/>
      <c r="K53" s="353"/>
      <c r="L53" s="352"/>
      <c r="M53" s="352"/>
      <c r="N53" s="352"/>
      <c r="O53" s="352"/>
      <c r="P53" s="352"/>
      <c r="Q53" s="354"/>
      <c r="R53" s="353"/>
      <c r="S53" s="352"/>
      <c r="T53" s="352"/>
      <c r="U53" s="352"/>
      <c r="V53" s="352"/>
      <c r="W53" s="354"/>
      <c r="X53" s="306"/>
      <c r="Y53" s="307"/>
      <c r="Z53" s="307"/>
    </row>
    <row r="54" spans="1:26" s="308" customFormat="1" ht="12.75" customHeight="1">
      <c r="A54" s="318" t="s">
        <v>241</v>
      </c>
      <c r="B54" s="355"/>
      <c r="C54" s="351"/>
      <c r="D54" s="351"/>
      <c r="E54" s="352"/>
      <c r="F54" s="352"/>
      <c r="G54" s="352"/>
      <c r="H54" s="352"/>
      <c r="I54" s="352"/>
      <c r="J54" s="354"/>
      <c r="K54" s="353"/>
      <c r="L54" s="352"/>
      <c r="M54" s="352"/>
      <c r="N54" s="352"/>
      <c r="O54" s="352"/>
      <c r="P54" s="352"/>
      <c r="Q54" s="354"/>
      <c r="R54" s="353"/>
      <c r="S54" s="352"/>
      <c r="T54" s="352"/>
      <c r="U54" s="352"/>
      <c r="V54" s="352"/>
      <c r="W54" s="354"/>
      <c r="X54" s="306"/>
      <c r="Y54" s="307"/>
      <c r="Z54" s="307"/>
    </row>
    <row r="55" spans="1:22" s="308" customFormat="1" ht="12.75" customHeight="1">
      <c r="A55" s="44" t="s">
        <v>417</v>
      </c>
      <c r="B55" s="341">
        <v>0</v>
      </c>
      <c r="C55" s="342">
        <v>0</v>
      </c>
      <c r="D55" s="343">
        <v>0</v>
      </c>
      <c r="E55" s="344">
        <v>0</v>
      </c>
      <c r="F55" s="345"/>
      <c r="G55" s="341">
        <v>0</v>
      </c>
      <c r="H55" s="342">
        <v>0</v>
      </c>
      <c r="I55" s="343">
        <v>0</v>
      </c>
      <c r="J55" s="344">
        <v>0</v>
      </c>
      <c r="K55" s="130"/>
      <c r="L55" s="341">
        <v>0</v>
      </c>
      <c r="M55" s="341">
        <v>0</v>
      </c>
      <c r="N55" s="598">
        <v>0</v>
      </c>
      <c r="O55" s="342">
        <v>0</v>
      </c>
      <c r="P55" s="343">
        <v>0</v>
      </c>
      <c r="Q55" s="344">
        <v>0</v>
      </c>
      <c r="R55" s="130"/>
      <c r="S55" s="341">
        <f>B55+G55+L55</f>
        <v>0</v>
      </c>
      <c r="T55" s="342">
        <f>C55+H55+O55</f>
        <v>0</v>
      </c>
      <c r="U55" s="343">
        <f>D55+I55+P55</f>
        <v>0</v>
      </c>
      <c r="V55" s="344">
        <v>0</v>
      </c>
    </row>
    <row r="56" spans="1:22" s="308" customFormat="1" ht="12" customHeight="1">
      <c r="A56" s="309" t="s">
        <v>900</v>
      </c>
      <c r="B56" s="108">
        <f>SUM(B55:B55)</f>
        <v>0</v>
      </c>
      <c r="C56" s="109">
        <f>SUM(C55:C55)</f>
        <v>0</v>
      </c>
      <c r="D56" s="110">
        <f>SUM(D55:D55)</f>
        <v>0</v>
      </c>
      <c r="E56" s="111">
        <v>0</v>
      </c>
      <c r="F56" s="117"/>
      <c r="G56" s="108">
        <f>SUM(G55:G55)</f>
        <v>0</v>
      </c>
      <c r="H56" s="109">
        <f>SUM(H55:H55)</f>
        <v>0</v>
      </c>
      <c r="I56" s="110">
        <f>SUM(I55:I55)</f>
        <v>0</v>
      </c>
      <c r="J56" s="111">
        <v>0</v>
      </c>
      <c r="K56" s="130"/>
      <c r="L56" s="108">
        <f>SUM(L55:L55)</f>
        <v>0</v>
      </c>
      <c r="M56" s="108">
        <f>M55</f>
        <v>0</v>
      </c>
      <c r="N56" s="111">
        <v>0</v>
      </c>
      <c r="O56" s="109">
        <f>SUM(O55:O55)</f>
        <v>0</v>
      </c>
      <c r="P56" s="110">
        <f>SUM(P55:P55)</f>
        <v>0</v>
      </c>
      <c r="Q56" s="111">
        <v>0</v>
      </c>
      <c r="R56" s="130"/>
      <c r="S56" s="108">
        <f>SUM(S55:S55)</f>
        <v>0</v>
      </c>
      <c r="T56" s="109">
        <f>SUM(T55:T55)</f>
        <v>0</v>
      </c>
      <c r="U56" s="110">
        <f>SUM(U55:U55)</f>
        <v>0</v>
      </c>
      <c r="V56" s="111">
        <v>0</v>
      </c>
    </row>
    <row r="57" spans="1:26" s="308" customFormat="1" ht="6" customHeight="1">
      <c r="A57" s="351"/>
      <c r="B57" s="352"/>
      <c r="C57" s="352"/>
      <c r="D57" s="352"/>
      <c r="E57" s="352"/>
      <c r="F57" s="352"/>
      <c r="G57" s="352"/>
      <c r="H57" s="352"/>
      <c r="I57" s="352"/>
      <c r="J57" s="354"/>
      <c r="K57" s="353"/>
      <c r="L57" s="352"/>
      <c r="M57" s="352"/>
      <c r="N57" s="352"/>
      <c r="O57" s="352"/>
      <c r="P57" s="352"/>
      <c r="Q57" s="354"/>
      <c r="R57" s="353"/>
      <c r="S57" s="352"/>
      <c r="T57" s="352"/>
      <c r="U57" s="352"/>
      <c r="V57" s="352"/>
      <c r="W57" s="354"/>
      <c r="X57" s="306"/>
      <c r="Y57" s="307"/>
      <c r="Z57" s="307"/>
    </row>
    <row r="58" spans="1:26" s="308" customFormat="1" ht="12.75" customHeight="1">
      <c r="A58" s="318" t="s">
        <v>324</v>
      </c>
      <c r="B58" s="355"/>
      <c r="C58" s="351"/>
      <c r="D58" s="351"/>
      <c r="E58" s="351"/>
      <c r="F58" s="352"/>
      <c r="G58" s="351"/>
      <c r="H58" s="351"/>
      <c r="I58" s="351"/>
      <c r="J58" s="378"/>
      <c r="K58" s="353"/>
      <c r="L58" s="351"/>
      <c r="M58" s="351"/>
      <c r="N58" s="351"/>
      <c r="O58" s="351"/>
      <c r="P58" s="351"/>
      <c r="Q58" s="378"/>
      <c r="R58" s="353"/>
      <c r="S58" s="351"/>
      <c r="T58" s="351"/>
      <c r="U58" s="351"/>
      <c r="V58" s="351"/>
      <c r="W58" s="354"/>
      <c r="X58" s="306"/>
      <c r="Y58" s="307"/>
      <c r="Z58" s="307"/>
    </row>
    <row r="59" spans="1:22" s="308" customFormat="1" ht="12.75" customHeight="1">
      <c r="A59" s="69" t="s">
        <v>418</v>
      </c>
      <c r="B59" s="346">
        <v>0</v>
      </c>
      <c r="C59" s="347">
        <v>0</v>
      </c>
      <c r="D59" s="348">
        <v>0</v>
      </c>
      <c r="E59" s="379">
        <v>0</v>
      </c>
      <c r="F59" s="345"/>
      <c r="G59" s="346">
        <v>0</v>
      </c>
      <c r="H59" s="347">
        <v>0</v>
      </c>
      <c r="I59" s="348">
        <v>0</v>
      </c>
      <c r="J59" s="379">
        <v>0</v>
      </c>
      <c r="K59" s="130"/>
      <c r="L59" s="346">
        <v>0</v>
      </c>
      <c r="M59" s="346">
        <v>0</v>
      </c>
      <c r="N59" s="600">
        <v>0</v>
      </c>
      <c r="O59" s="347">
        <v>0</v>
      </c>
      <c r="P59" s="348">
        <v>0</v>
      </c>
      <c r="Q59" s="379">
        <v>0</v>
      </c>
      <c r="R59" s="130"/>
      <c r="S59" s="346">
        <f>B59+G59+L59</f>
        <v>0</v>
      </c>
      <c r="T59" s="347">
        <f aca="true" t="shared" si="4" ref="T59:U62">C59+H59+O59</f>
        <v>0</v>
      </c>
      <c r="U59" s="348">
        <f t="shared" si="4"/>
        <v>0</v>
      </c>
      <c r="V59" s="379">
        <v>0</v>
      </c>
    </row>
    <row r="60" spans="1:22" s="308" customFormat="1" ht="12.75" customHeight="1">
      <c r="A60" s="40" t="s">
        <v>419</v>
      </c>
      <c r="B60" s="366">
        <v>2</v>
      </c>
      <c r="C60" s="367">
        <v>12.6</v>
      </c>
      <c r="D60" s="368">
        <v>12.97</v>
      </c>
      <c r="E60" s="369">
        <f>D60/C60</f>
        <v>1.0293650793650795</v>
      </c>
      <c r="F60" s="345"/>
      <c r="G60" s="366">
        <v>21</v>
      </c>
      <c r="H60" s="367">
        <v>184.3</v>
      </c>
      <c r="I60" s="368">
        <v>37.04</v>
      </c>
      <c r="J60" s="369">
        <f>I60/H60</f>
        <v>0.20097666847531198</v>
      </c>
      <c r="K60" s="130"/>
      <c r="L60" s="366">
        <v>8</v>
      </c>
      <c r="M60" s="366">
        <v>4</v>
      </c>
      <c r="N60" s="599">
        <f>M60/L60</f>
        <v>0.5</v>
      </c>
      <c r="O60" s="367">
        <v>8</v>
      </c>
      <c r="P60" s="368">
        <v>5.52</v>
      </c>
      <c r="Q60" s="369">
        <f>P60/O60</f>
        <v>0.69</v>
      </c>
      <c r="R60" s="130"/>
      <c r="S60" s="366">
        <f>B60+G60+L60</f>
        <v>31</v>
      </c>
      <c r="T60" s="367">
        <f t="shared" si="4"/>
        <v>204.9</v>
      </c>
      <c r="U60" s="368">
        <f t="shared" si="4"/>
        <v>55.53</v>
      </c>
      <c r="V60" s="369">
        <f>U60/T60</f>
        <v>0.27101024890190334</v>
      </c>
    </row>
    <row r="61" spans="1:22" s="308" customFormat="1" ht="12" customHeight="1">
      <c r="A61" s="40" t="s">
        <v>420</v>
      </c>
      <c r="B61" s="366">
        <v>1</v>
      </c>
      <c r="C61" s="367">
        <v>9.5</v>
      </c>
      <c r="D61" s="368">
        <v>8.82</v>
      </c>
      <c r="E61" s="369">
        <f>D61/C61</f>
        <v>0.9284210526315789</v>
      </c>
      <c r="F61" s="345"/>
      <c r="G61" s="366">
        <v>0</v>
      </c>
      <c r="H61" s="367">
        <v>0</v>
      </c>
      <c r="I61" s="368">
        <v>0</v>
      </c>
      <c r="J61" s="369">
        <v>0</v>
      </c>
      <c r="K61" s="130"/>
      <c r="L61" s="366">
        <v>0</v>
      </c>
      <c r="M61" s="366">
        <v>0</v>
      </c>
      <c r="N61" s="599">
        <v>0</v>
      </c>
      <c r="O61" s="367">
        <v>0</v>
      </c>
      <c r="P61" s="368">
        <v>0</v>
      </c>
      <c r="Q61" s="369">
        <v>0</v>
      </c>
      <c r="R61" s="130"/>
      <c r="S61" s="366">
        <f>B61+G61+L61</f>
        <v>1</v>
      </c>
      <c r="T61" s="367">
        <f t="shared" si="4"/>
        <v>9.5</v>
      </c>
      <c r="U61" s="368">
        <f t="shared" si="4"/>
        <v>8.82</v>
      </c>
      <c r="V61" s="369">
        <f>U61/T61</f>
        <v>0.9284210526315789</v>
      </c>
    </row>
    <row r="62" spans="1:22" s="308" customFormat="1" ht="12.75" customHeight="1">
      <c r="A62" s="40" t="s">
        <v>421</v>
      </c>
      <c r="B62" s="366">
        <v>4</v>
      </c>
      <c r="C62" s="367">
        <v>32.6</v>
      </c>
      <c r="D62" s="368">
        <v>32.85</v>
      </c>
      <c r="E62" s="369">
        <f>D62/C62</f>
        <v>1.0076687116564418</v>
      </c>
      <c r="F62" s="345"/>
      <c r="G62" s="366">
        <v>18</v>
      </c>
      <c r="H62" s="367">
        <v>164.2</v>
      </c>
      <c r="I62" s="368">
        <v>88.62</v>
      </c>
      <c r="J62" s="369">
        <f>I62/H62</f>
        <v>0.5397076735688185</v>
      </c>
      <c r="K62" s="130"/>
      <c r="L62" s="366">
        <v>7</v>
      </c>
      <c r="M62" s="366">
        <v>3</v>
      </c>
      <c r="N62" s="599">
        <f>M62/L62</f>
        <v>0.42857142857142855</v>
      </c>
      <c r="O62" s="367">
        <v>7</v>
      </c>
      <c r="P62" s="368">
        <v>5.96</v>
      </c>
      <c r="Q62" s="369">
        <f>P62/O62</f>
        <v>0.8514285714285714</v>
      </c>
      <c r="R62" s="130"/>
      <c r="S62" s="380">
        <f>B62+G62+L62</f>
        <v>29</v>
      </c>
      <c r="T62" s="381">
        <f t="shared" si="4"/>
        <v>203.79999999999998</v>
      </c>
      <c r="U62" s="382">
        <f t="shared" si="4"/>
        <v>127.42999999999999</v>
      </c>
      <c r="V62" s="369">
        <f>U62/T62</f>
        <v>0.625269872423945</v>
      </c>
    </row>
    <row r="63" spans="1:22" s="308" customFormat="1" ht="12.75" customHeight="1">
      <c r="A63" s="309" t="s">
        <v>900</v>
      </c>
      <c r="B63" s="108">
        <f>SUM(B59:B62)</f>
        <v>7</v>
      </c>
      <c r="C63" s="109">
        <f>SUM(C59:C62)</f>
        <v>54.7</v>
      </c>
      <c r="D63" s="110">
        <f>SUM(D59:D62)</f>
        <v>54.64</v>
      </c>
      <c r="E63" s="111">
        <f>D63/C63</f>
        <v>0.9989031078610603</v>
      </c>
      <c r="F63" s="117"/>
      <c r="G63" s="108">
        <f>SUM(G59:G62)</f>
        <v>39</v>
      </c>
      <c r="H63" s="109">
        <f>SUM(H59:H62)</f>
        <v>348.5</v>
      </c>
      <c r="I63" s="110">
        <f>SUM(I59:I62)</f>
        <v>125.66</v>
      </c>
      <c r="J63" s="111">
        <f>I63/H63</f>
        <v>0.36057388809182206</v>
      </c>
      <c r="K63" s="130"/>
      <c r="L63" s="108">
        <f>SUM(L59:L62)</f>
        <v>15</v>
      </c>
      <c r="M63" s="108">
        <f>SUM(M59:M62)</f>
        <v>7</v>
      </c>
      <c r="N63" s="111">
        <f>M63/L63</f>
        <v>0.4666666666666667</v>
      </c>
      <c r="O63" s="109">
        <f>SUM(O59:O62)</f>
        <v>15</v>
      </c>
      <c r="P63" s="110">
        <f>SUM(P59:P62)</f>
        <v>11.48</v>
      </c>
      <c r="Q63" s="111">
        <f>P63/O63</f>
        <v>0.7653333333333333</v>
      </c>
      <c r="R63" s="130"/>
      <c r="S63" s="108">
        <f>SUM(S59:S62)</f>
        <v>61</v>
      </c>
      <c r="T63" s="109">
        <f>SUM(T59:T62)</f>
        <v>418.2</v>
      </c>
      <c r="U63" s="110">
        <f>SUM(U59:U62)</f>
        <v>191.77999999999997</v>
      </c>
      <c r="V63" s="111">
        <f>U63/T63</f>
        <v>0.4585844093735054</v>
      </c>
    </row>
    <row r="64" spans="1:26" s="308" customFormat="1" ht="6" customHeight="1">
      <c r="A64" s="351"/>
      <c r="B64" s="352"/>
      <c r="C64" s="352"/>
      <c r="D64" s="352"/>
      <c r="E64" s="352"/>
      <c r="F64" s="352"/>
      <c r="G64" s="352"/>
      <c r="H64" s="352"/>
      <c r="I64" s="352"/>
      <c r="J64" s="354"/>
      <c r="K64" s="353"/>
      <c r="L64" s="352"/>
      <c r="M64" s="352"/>
      <c r="N64" s="352"/>
      <c r="O64" s="352"/>
      <c r="P64" s="352"/>
      <c r="Q64" s="354"/>
      <c r="R64" s="353"/>
      <c r="S64" s="352"/>
      <c r="T64" s="352"/>
      <c r="U64" s="352"/>
      <c r="V64" s="352"/>
      <c r="W64" s="354"/>
      <c r="X64" s="306"/>
      <c r="Y64" s="307"/>
      <c r="Z64" s="307"/>
    </row>
    <row r="65" spans="1:26" s="308" customFormat="1" ht="12.75" customHeight="1">
      <c r="A65" s="318" t="s">
        <v>226</v>
      </c>
      <c r="B65" s="355"/>
      <c r="C65" s="351"/>
      <c r="D65" s="351"/>
      <c r="E65" s="352"/>
      <c r="F65" s="352"/>
      <c r="G65" s="352"/>
      <c r="H65" s="352"/>
      <c r="I65" s="352"/>
      <c r="J65" s="354"/>
      <c r="K65" s="353"/>
      <c r="L65" s="352"/>
      <c r="M65" s="352"/>
      <c r="N65" s="352"/>
      <c r="O65" s="352"/>
      <c r="P65" s="352"/>
      <c r="Q65" s="354"/>
      <c r="R65" s="353"/>
      <c r="S65" s="352"/>
      <c r="T65" s="352"/>
      <c r="U65" s="352"/>
      <c r="V65" s="352"/>
      <c r="W65" s="354"/>
      <c r="X65" s="306"/>
      <c r="Y65" s="307"/>
      <c r="Z65" s="307"/>
    </row>
    <row r="66" spans="1:22" s="308" customFormat="1" ht="12.75" customHeight="1">
      <c r="A66" s="44" t="s">
        <v>422</v>
      </c>
      <c r="B66" s="341">
        <v>0</v>
      </c>
      <c r="C66" s="342">
        <v>0</v>
      </c>
      <c r="D66" s="343">
        <v>0</v>
      </c>
      <c r="E66" s="344">
        <v>0</v>
      </c>
      <c r="F66" s="345"/>
      <c r="G66" s="341">
        <v>0</v>
      </c>
      <c r="H66" s="342">
        <v>0</v>
      </c>
      <c r="I66" s="343">
        <v>0</v>
      </c>
      <c r="J66" s="344">
        <v>0</v>
      </c>
      <c r="K66" s="130"/>
      <c r="L66" s="341">
        <v>0</v>
      </c>
      <c r="M66" s="341">
        <v>0</v>
      </c>
      <c r="N66" s="598">
        <v>0</v>
      </c>
      <c r="O66" s="342">
        <v>0</v>
      </c>
      <c r="P66" s="343">
        <v>0</v>
      </c>
      <c r="Q66" s="344">
        <v>0</v>
      </c>
      <c r="R66" s="130"/>
      <c r="S66" s="341">
        <f>B66+G66+L66</f>
        <v>0</v>
      </c>
      <c r="T66" s="342">
        <f>C66+H66+O66</f>
        <v>0</v>
      </c>
      <c r="U66" s="343">
        <f>D66+I66+P66</f>
        <v>0</v>
      </c>
      <c r="V66" s="344">
        <v>0</v>
      </c>
    </row>
    <row r="67" spans="1:22" s="308" customFormat="1" ht="12.75" customHeight="1">
      <c r="A67" s="309" t="s">
        <v>900</v>
      </c>
      <c r="B67" s="108">
        <f>SUM(B66:B66)</f>
        <v>0</v>
      </c>
      <c r="C67" s="109">
        <f>SUM(C66:C66)</f>
        <v>0</v>
      </c>
      <c r="D67" s="110">
        <f>SUM(D66:D66)</f>
        <v>0</v>
      </c>
      <c r="E67" s="111">
        <v>0</v>
      </c>
      <c r="F67" s="117"/>
      <c r="G67" s="108">
        <f>SUM(G66:G66)</f>
        <v>0</v>
      </c>
      <c r="H67" s="109">
        <f>SUM(H66:H66)</f>
        <v>0</v>
      </c>
      <c r="I67" s="110">
        <f>SUM(I66:I66)</f>
        <v>0</v>
      </c>
      <c r="J67" s="111">
        <v>0</v>
      </c>
      <c r="K67" s="130"/>
      <c r="L67" s="108">
        <f>SUM(L66:L66)</f>
        <v>0</v>
      </c>
      <c r="M67" s="108">
        <f>M66</f>
        <v>0</v>
      </c>
      <c r="N67" s="111">
        <v>0</v>
      </c>
      <c r="O67" s="109">
        <f>SUM(O66:O66)</f>
        <v>0</v>
      </c>
      <c r="P67" s="110">
        <f>SUM(P66:P66)</f>
        <v>0</v>
      </c>
      <c r="Q67" s="111">
        <v>0</v>
      </c>
      <c r="R67" s="130"/>
      <c r="S67" s="108">
        <f>SUM(S66:S66)</f>
        <v>0</v>
      </c>
      <c r="T67" s="109">
        <f>SUM(T66:T66)</f>
        <v>0</v>
      </c>
      <c r="U67" s="110">
        <f>SUM(U66:U66)</f>
        <v>0</v>
      </c>
      <c r="V67" s="111">
        <v>0</v>
      </c>
    </row>
    <row r="68" spans="1:26" s="308" customFormat="1" ht="6" customHeight="1">
      <c r="A68" s="352"/>
      <c r="B68" s="352"/>
      <c r="C68" s="352"/>
      <c r="D68" s="352"/>
      <c r="E68" s="352"/>
      <c r="F68" s="352"/>
      <c r="G68" s="352"/>
      <c r="H68" s="352"/>
      <c r="I68" s="352"/>
      <c r="J68" s="354"/>
      <c r="K68" s="353"/>
      <c r="L68" s="352"/>
      <c r="M68" s="352"/>
      <c r="N68" s="352"/>
      <c r="O68" s="352"/>
      <c r="P68" s="352"/>
      <c r="Q68" s="354"/>
      <c r="R68" s="353"/>
      <c r="S68" s="352"/>
      <c r="T68" s="352"/>
      <c r="U68" s="352"/>
      <c r="V68" s="352"/>
      <c r="W68" s="354"/>
      <c r="X68" s="306"/>
      <c r="Y68" s="307"/>
      <c r="Z68" s="307"/>
    </row>
    <row r="69" spans="1:26" s="308" customFormat="1" ht="12.75" customHeight="1">
      <c r="A69" s="318" t="s">
        <v>345</v>
      </c>
      <c r="B69" s="355"/>
      <c r="C69" s="351"/>
      <c r="D69" s="351"/>
      <c r="E69" s="352"/>
      <c r="F69" s="352"/>
      <c r="G69" s="352"/>
      <c r="H69" s="352"/>
      <c r="I69" s="352"/>
      <c r="J69" s="354"/>
      <c r="K69" s="353"/>
      <c r="L69" s="352"/>
      <c r="M69" s="352"/>
      <c r="N69" s="352"/>
      <c r="O69" s="352"/>
      <c r="P69" s="352"/>
      <c r="Q69" s="354"/>
      <c r="R69" s="353"/>
      <c r="S69" s="352"/>
      <c r="T69" s="352"/>
      <c r="U69" s="352"/>
      <c r="V69" s="352"/>
      <c r="W69" s="354"/>
      <c r="X69" s="306"/>
      <c r="Y69" s="307"/>
      <c r="Z69" s="307"/>
    </row>
    <row r="70" spans="1:22" s="308" customFormat="1" ht="12.75" customHeight="1">
      <c r="A70" s="44" t="s">
        <v>423</v>
      </c>
      <c r="B70" s="341">
        <v>3</v>
      </c>
      <c r="C70" s="342">
        <v>24.7</v>
      </c>
      <c r="D70" s="343">
        <v>26.28</v>
      </c>
      <c r="E70" s="383">
        <f>D70/C70</f>
        <v>1.0639676113360326</v>
      </c>
      <c r="F70" s="345"/>
      <c r="G70" s="341">
        <v>4</v>
      </c>
      <c r="H70" s="342">
        <v>31.4</v>
      </c>
      <c r="I70" s="343">
        <v>20.6</v>
      </c>
      <c r="J70" s="344">
        <f>I70/H70</f>
        <v>0.6560509554140128</v>
      </c>
      <c r="K70" s="130"/>
      <c r="L70" s="341">
        <v>6</v>
      </c>
      <c r="M70" s="341">
        <v>2</v>
      </c>
      <c r="N70" s="598">
        <f>M70/L70</f>
        <v>0.3333333333333333</v>
      </c>
      <c r="O70" s="342">
        <v>6</v>
      </c>
      <c r="P70" s="343">
        <v>3.35</v>
      </c>
      <c r="Q70" s="344">
        <f>P70/O70</f>
        <v>0.5583333333333333</v>
      </c>
      <c r="R70" s="130"/>
      <c r="S70" s="346">
        <f>B70+G70+L70</f>
        <v>13</v>
      </c>
      <c r="T70" s="347">
        <f>C70+H70+O70</f>
        <v>62.099999999999994</v>
      </c>
      <c r="U70" s="348">
        <f>D70+I70+P70</f>
        <v>50.230000000000004</v>
      </c>
      <c r="V70" s="383">
        <f>U70/T70</f>
        <v>0.8088566827697263</v>
      </c>
    </row>
    <row r="71" spans="1:22" s="308" customFormat="1" ht="12.75" customHeight="1">
      <c r="A71" s="309" t="s">
        <v>900</v>
      </c>
      <c r="B71" s="108">
        <f>SUM(B70:B70)</f>
        <v>3</v>
      </c>
      <c r="C71" s="109">
        <f>SUM(C70:C70)</f>
        <v>24.7</v>
      </c>
      <c r="D71" s="110">
        <f>SUM(D70:D70)</f>
        <v>26.28</v>
      </c>
      <c r="E71" s="111">
        <f>D71/C71</f>
        <v>1.0639676113360326</v>
      </c>
      <c r="F71" s="117"/>
      <c r="G71" s="108">
        <f>SUM(G70:G70)</f>
        <v>4</v>
      </c>
      <c r="H71" s="109">
        <f>SUM(H70:H70)</f>
        <v>31.4</v>
      </c>
      <c r="I71" s="110">
        <f>SUM(I70:I70)</f>
        <v>20.6</v>
      </c>
      <c r="J71" s="111">
        <f>I71/H71</f>
        <v>0.6560509554140128</v>
      </c>
      <c r="K71" s="130"/>
      <c r="L71" s="108">
        <f>SUM(L70:L70)</f>
        <v>6</v>
      </c>
      <c r="M71" s="108">
        <f>M70</f>
        <v>2</v>
      </c>
      <c r="N71" s="111">
        <f>M71/L71</f>
        <v>0.3333333333333333</v>
      </c>
      <c r="O71" s="109">
        <f>SUM(O70:O70)</f>
        <v>6</v>
      </c>
      <c r="P71" s="110">
        <f>SUM(P70:P70)</f>
        <v>3.35</v>
      </c>
      <c r="Q71" s="111">
        <f>P71/O71</f>
        <v>0.5583333333333333</v>
      </c>
      <c r="R71" s="130"/>
      <c r="S71" s="108">
        <f>SUM(S70:S70)</f>
        <v>13</v>
      </c>
      <c r="T71" s="109">
        <f>SUM(T70:T70)</f>
        <v>62.099999999999994</v>
      </c>
      <c r="U71" s="110">
        <f>SUM(U70:U70)</f>
        <v>50.230000000000004</v>
      </c>
      <c r="V71" s="111">
        <f>U71/T71</f>
        <v>0.8088566827697263</v>
      </c>
    </row>
    <row r="72" spans="1:26" s="308" customFormat="1" ht="6" customHeight="1">
      <c r="A72" s="351"/>
      <c r="B72" s="352"/>
      <c r="C72" s="352"/>
      <c r="D72" s="352"/>
      <c r="E72" s="352"/>
      <c r="F72" s="352"/>
      <c r="G72" s="352"/>
      <c r="H72" s="352"/>
      <c r="I72" s="352"/>
      <c r="J72" s="354"/>
      <c r="K72" s="353"/>
      <c r="L72" s="352"/>
      <c r="M72" s="352"/>
      <c r="N72" s="352"/>
      <c r="O72" s="352"/>
      <c r="P72" s="352"/>
      <c r="Q72" s="354"/>
      <c r="R72" s="353"/>
      <c r="S72" s="352"/>
      <c r="T72" s="352"/>
      <c r="U72" s="352"/>
      <c r="V72" s="352"/>
      <c r="W72" s="354"/>
      <c r="X72" s="306"/>
      <c r="Y72" s="307"/>
      <c r="Z72" s="307"/>
    </row>
    <row r="73" spans="1:26" s="308" customFormat="1" ht="12.75" customHeight="1">
      <c r="A73" s="318" t="s">
        <v>346</v>
      </c>
      <c r="B73" s="355"/>
      <c r="C73" s="351"/>
      <c r="D73" s="351"/>
      <c r="E73" s="352"/>
      <c r="F73" s="352"/>
      <c r="G73" s="352"/>
      <c r="H73" s="352"/>
      <c r="I73" s="352"/>
      <c r="J73" s="354"/>
      <c r="K73" s="353"/>
      <c r="L73" s="352"/>
      <c r="M73" s="352"/>
      <c r="N73" s="352"/>
      <c r="O73" s="352"/>
      <c r="P73" s="352"/>
      <c r="Q73" s="354"/>
      <c r="R73" s="353"/>
      <c r="S73" s="352"/>
      <c r="T73" s="352"/>
      <c r="U73" s="352"/>
      <c r="V73" s="352"/>
      <c r="W73" s="354"/>
      <c r="X73" s="306"/>
      <c r="Y73" s="307"/>
      <c r="Z73" s="307"/>
    </row>
    <row r="74" spans="1:22" s="308" customFormat="1" ht="12.75" customHeight="1">
      <c r="A74" s="44" t="s">
        <v>424</v>
      </c>
      <c r="B74" s="341">
        <v>0</v>
      </c>
      <c r="C74" s="342">
        <v>0</v>
      </c>
      <c r="D74" s="343">
        <v>0</v>
      </c>
      <c r="E74" s="383">
        <v>0</v>
      </c>
      <c r="F74" s="345">
        <v>0</v>
      </c>
      <c r="G74" s="341">
        <v>0</v>
      </c>
      <c r="H74" s="342">
        <v>0</v>
      </c>
      <c r="I74" s="343">
        <v>0</v>
      </c>
      <c r="J74" s="344">
        <v>0</v>
      </c>
      <c r="K74" s="130"/>
      <c r="L74" s="341">
        <v>0</v>
      </c>
      <c r="M74" s="341">
        <v>0</v>
      </c>
      <c r="N74" s="598">
        <v>0</v>
      </c>
      <c r="O74" s="342">
        <v>0</v>
      </c>
      <c r="P74" s="343">
        <v>0</v>
      </c>
      <c r="Q74" s="344">
        <v>0</v>
      </c>
      <c r="R74" s="130"/>
      <c r="S74" s="346">
        <f>B74+G74+L74</f>
        <v>0</v>
      </c>
      <c r="T74" s="347">
        <f>C74+H74+O74</f>
        <v>0</v>
      </c>
      <c r="U74" s="348">
        <f>D74+I74+P74</f>
        <v>0</v>
      </c>
      <c r="V74" s="383">
        <v>0</v>
      </c>
    </row>
    <row r="75" spans="1:22" s="308" customFormat="1" ht="12.75" customHeight="1">
      <c r="A75" s="309" t="s">
        <v>900</v>
      </c>
      <c r="B75" s="108">
        <f>SUM(B74:B74)</f>
        <v>0</v>
      </c>
      <c r="C75" s="109">
        <f>SUM(C74:C74)</f>
        <v>0</v>
      </c>
      <c r="D75" s="110">
        <f>SUM(D74:D74)</f>
        <v>0</v>
      </c>
      <c r="E75" s="111">
        <v>0</v>
      </c>
      <c r="F75" s="117"/>
      <c r="G75" s="108">
        <f>SUM(G74:G74)</f>
        <v>0</v>
      </c>
      <c r="H75" s="109">
        <f>SUM(H74:H74)</f>
        <v>0</v>
      </c>
      <c r="I75" s="110">
        <f>SUM(I74:I74)</f>
        <v>0</v>
      </c>
      <c r="J75" s="111">
        <v>0</v>
      </c>
      <c r="K75" s="130"/>
      <c r="L75" s="108">
        <f>SUM(L74:L74)</f>
        <v>0</v>
      </c>
      <c r="M75" s="108">
        <f>M74</f>
        <v>0</v>
      </c>
      <c r="N75" s="111">
        <v>0</v>
      </c>
      <c r="O75" s="109">
        <f>SUM(O74:O74)</f>
        <v>0</v>
      </c>
      <c r="P75" s="110">
        <f>SUM(P74:P74)</f>
        <v>0</v>
      </c>
      <c r="Q75" s="111">
        <v>0</v>
      </c>
      <c r="R75" s="130"/>
      <c r="S75" s="108">
        <f>SUM(S74:S74)</f>
        <v>0</v>
      </c>
      <c r="T75" s="109">
        <f>SUM(T74:T74)</f>
        <v>0</v>
      </c>
      <c r="U75" s="110">
        <f>SUM(U74:U74)</f>
        <v>0</v>
      </c>
      <c r="V75" s="111">
        <v>0</v>
      </c>
    </row>
    <row r="76" spans="1:26" s="308" customFormat="1" ht="6" customHeight="1">
      <c r="A76" s="352"/>
      <c r="B76" s="352"/>
      <c r="C76" s="352"/>
      <c r="D76" s="352"/>
      <c r="E76" s="352"/>
      <c r="F76" s="352"/>
      <c r="G76" s="352"/>
      <c r="H76" s="352"/>
      <c r="I76" s="352"/>
      <c r="J76" s="354"/>
      <c r="K76" s="353"/>
      <c r="L76" s="352"/>
      <c r="M76" s="352"/>
      <c r="N76" s="352"/>
      <c r="O76" s="352"/>
      <c r="P76" s="352"/>
      <c r="Q76" s="354"/>
      <c r="R76" s="353"/>
      <c r="S76" s="352"/>
      <c r="T76" s="352"/>
      <c r="U76" s="352"/>
      <c r="V76" s="352"/>
      <c r="W76" s="354"/>
      <c r="X76" s="306"/>
      <c r="Y76" s="307"/>
      <c r="Z76" s="307"/>
    </row>
    <row r="77" spans="1:26" s="308" customFormat="1" ht="12.75" customHeight="1">
      <c r="A77" s="318" t="s">
        <v>476</v>
      </c>
      <c r="B77" s="355"/>
      <c r="C77" s="351"/>
      <c r="D77" s="351"/>
      <c r="E77" s="352"/>
      <c r="F77" s="352"/>
      <c r="G77" s="352"/>
      <c r="H77" s="352"/>
      <c r="I77" s="352"/>
      <c r="J77" s="354"/>
      <c r="K77" s="353"/>
      <c r="L77" s="352"/>
      <c r="M77" s="352"/>
      <c r="N77" s="352"/>
      <c r="O77" s="352"/>
      <c r="P77" s="352"/>
      <c r="Q77" s="354"/>
      <c r="R77" s="353"/>
      <c r="S77" s="352"/>
      <c r="T77" s="352"/>
      <c r="U77" s="352"/>
      <c r="V77" s="352"/>
      <c r="W77" s="354"/>
      <c r="X77" s="306"/>
      <c r="Y77" s="307"/>
      <c r="Z77" s="307"/>
    </row>
    <row r="78" spans="1:22" s="308" customFormat="1" ht="12.75" customHeight="1">
      <c r="A78" s="44" t="s">
        <v>535</v>
      </c>
      <c r="B78" s="341">
        <v>8</v>
      </c>
      <c r="C78" s="342">
        <v>71</v>
      </c>
      <c r="D78" s="343">
        <v>72.96</v>
      </c>
      <c r="E78" s="383">
        <f>D78/C78</f>
        <v>1.0276056338028168</v>
      </c>
      <c r="F78" s="345">
        <v>0</v>
      </c>
      <c r="G78" s="341">
        <v>11</v>
      </c>
      <c r="H78" s="342">
        <v>105</v>
      </c>
      <c r="I78" s="343">
        <v>76.89</v>
      </c>
      <c r="J78" s="344">
        <f>I78/H78</f>
        <v>0.7322857142857143</v>
      </c>
      <c r="K78" s="130"/>
      <c r="L78" s="341">
        <v>4</v>
      </c>
      <c r="M78" s="341">
        <v>1</v>
      </c>
      <c r="N78" s="598">
        <f>M78/L78</f>
        <v>0.25</v>
      </c>
      <c r="O78" s="342">
        <v>4</v>
      </c>
      <c r="P78" s="343">
        <v>2.91</v>
      </c>
      <c r="Q78" s="344">
        <f>P78/O78</f>
        <v>0.7275</v>
      </c>
      <c r="R78" s="130"/>
      <c r="S78" s="346">
        <f>B78+G78+L78</f>
        <v>23</v>
      </c>
      <c r="T78" s="347">
        <f>C78+H78+O78</f>
        <v>180</v>
      </c>
      <c r="U78" s="348">
        <f>D78+I78+P78</f>
        <v>152.76</v>
      </c>
      <c r="V78" s="383">
        <f>U78/T78</f>
        <v>0.8486666666666666</v>
      </c>
    </row>
    <row r="79" spans="1:22" s="308" customFormat="1" ht="12.75" customHeight="1">
      <c r="A79" s="309" t="s">
        <v>900</v>
      </c>
      <c r="B79" s="108">
        <f>SUM(B78:B78)</f>
        <v>8</v>
      </c>
      <c r="C79" s="109">
        <f>SUM(C78:C78)</f>
        <v>71</v>
      </c>
      <c r="D79" s="110">
        <f>SUM(D78:D78)</f>
        <v>72.96</v>
      </c>
      <c r="E79" s="111">
        <v>0</v>
      </c>
      <c r="F79" s="117"/>
      <c r="G79" s="108">
        <f>SUM(G78:G78)</f>
        <v>11</v>
      </c>
      <c r="H79" s="109">
        <f>SUM(H78:H78)</f>
        <v>105</v>
      </c>
      <c r="I79" s="110">
        <f>SUM(I78:I78)</f>
        <v>76.89</v>
      </c>
      <c r="J79" s="111">
        <f>I79/H79</f>
        <v>0.7322857142857143</v>
      </c>
      <c r="K79" s="130"/>
      <c r="L79" s="108">
        <f>SUM(L78:L78)</f>
        <v>4</v>
      </c>
      <c r="M79" s="108">
        <f>M78</f>
        <v>1</v>
      </c>
      <c r="N79" s="111">
        <f>M79/L79</f>
        <v>0.25</v>
      </c>
      <c r="O79" s="109">
        <f>SUM(O78:O78)</f>
        <v>4</v>
      </c>
      <c r="P79" s="110">
        <f>SUM(P78:P78)</f>
        <v>2.91</v>
      </c>
      <c r="Q79" s="111">
        <v>0</v>
      </c>
      <c r="R79" s="130"/>
      <c r="S79" s="108">
        <f>SUM(S78:S78)</f>
        <v>23</v>
      </c>
      <c r="T79" s="109">
        <f>SUM(T78:T78)</f>
        <v>180</v>
      </c>
      <c r="U79" s="110">
        <f>SUM(U78:U78)</f>
        <v>152.76</v>
      </c>
      <c r="V79" s="111">
        <v>0</v>
      </c>
    </row>
    <row r="80" spans="1:26" s="308" customFormat="1" ht="6" customHeight="1">
      <c r="A80" s="352"/>
      <c r="B80" s="352"/>
      <c r="C80" s="352"/>
      <c r="D80" s="352"/>
      <c r="E80" s="352"/>
      <c r="F80" s="352"/>
      <c r="G80" s="352"/>
      <c r="H80" s="352"/>
      <c r="I80" s="352"/>
      <c r="J80" s="354"/>
      <c r="K80" s="353"/>
      <c r="L80" s="352"/>
      <c r="M80" s="352"/>
      <c r="N80" s="352"/>
      <c r="O80" s="352"/>
      <c r="P80" s="352"/>
      <c r="Q80" s="354"/>
      <c r="R80" s="353"/>
      <c r="S80" s="352"/>
      <c r="T80" s="352"/>
      <c r="U80" s="352"/>
      <c r="V80" s="352"/>
      <c r="W80" s="354"/>
      <c r="X80" s="306"/>
      <c r="Y80" s="307"/>
      <c r="Z80" s="307"/>
    </row>
    <row r="81" spans="1:26" s="308" customFormat="1" ht="12.75" customHeight="1">
      <c r="A81" s="318" t="s">
        <v>477</v>
      </c>
      <c r="B81" s="355"/>
      <c r="C81" s="351"/>
      <c r="D81" s="351"/>
      <c r="E81" s="352"/>
      <c r="F81" s="352"/>
      <c r="G81" s="352"/>
      <c r="H81" s="352"/>
      <c r="I81" s="352"/>
      <c r="J81" s="354"/>
      <c r="K81" s="353"/>
      <c r="L81" s="352"/>
      <c r="M81" s="352"/>
      <c r="N81" s="352"/>
      <c r="O81" s="352"/>
      <c r="P81" s="352"/>
      <c r="Q81" s="354"/>
      <c r="R81" s="353"/>
      <c r="S81" s="352"/>
      <c r="T81" s="352"/>
      <c r="U81" s="352"/>
      <c r="V81" s="352"/>
      <c r="W81" s="354"/>
      <c r="X81" s="306"/>
      <c r="Y81" s="307"/>
      <c r="Z81" s="307"/>
    </row>
    <row r="82" spans="1:22" s="308" customFormat="1" ht="12.75" customHeight="1">
      <c r="A82" s="44" t="s">
        <v>482</v>
      </c>
      <c r="B82" s="341">
        <v>8</v>
      </c>
      <c r="C82" s="342">
        <v>76.1</v>
      </c>
      <c r="D82" s="343">
        <v>74.22</v>
      </c>
      <c r="E82" s="383">
        <f>D82/C82</f>
        <v>0.9752956636005257</v>
      </c>
      <c r="F82" s="345">
        <v>0</v>
      </c>
      <c r="G82" s="341">
        <v>13</v>
      </c>
      <c r="H82" s="342">
        <v>119.9</v>
      </c>
      <c r="I82" s="343">
        <v>93.71</v>
      </c>
      <c r="J82" s="344">
        <f>I82/H82</f>
        <v>0.7815679733110925</v>
      </c>
      <c r="K82" s="130"/>
      <c r="L82" s="341">
        <v>4</v>
      </c>
      <c r="M82" s="341">
        <v>3</v>
      </c>
      <c r="N82" s="598">
        <f>M82/L82</f>
        <v>0.75</v>
      </c>
      <c r="O82" s="342">
        <v>4</v>
      </c>
      <c r="P82" s="343">
        <v>2.68</v>
      </c>
      <c r="Q82" s="344">
        <f>P82/O82</f>
        <v>0.67</v>
      </c>
      <c r="R82" s="130"/>
      <c r="S82" s="346">
        <f>B82+G82+L82</f>
        <v>25</v>
      </c>
      <c r="T82" s="347">
        <f>C82+H82+O82</f>
        <v>200</v>
      </c>
      <c r="U82" s="348">
        <f>D82+I82+P82</f>
        <v>170.61</v>
      </c>
      <c r="V82" s="383">
        <f>U82/T82</f>
        <v>0.8530500000000001</v>
      </c>
    </row>
    <row r="83" spans="1:22" s="308" customFormat="1" ht="12.75" customHeight="1">
      <c r="A83" s="309" t="s">
        <v>900</v>
      </c>
      <c r="B83" s="108">
        <f>SUM(B82:B82)</f>
        <v>8</v>
      </c>
      <c r="C83" s="109">
        <f>SUM(C82:C82)</f>
        <v>76.1</v>
      </c>
      <c r="D83" s="110">
        <f>SUM(D82:D82)</f>
        <v>74.22</v>
      </c>
      <c r="E83" s="111">
        <v>0</v>
      </c>
      <c r="F83" s="345"/>
      <c r="G83" s="108">
        <f>SUM(G82:G82)</f>
        <v>13</v>
      </c>
      <c r="H83" s="109">
        <f>SUM(H82:H82)</f>
        <v>119.9</v>
      </c>
      <c r="I83" s="110">
        <f>SUM(I82:I82)</f>
        <v>93.71</v>
      </c>
      <c r="J83" s="111">
        <f>I83/H83</f>
        <v>0.7815679733110925</v>
      </c>
      <c r="K83" s="130"/>
      <c r="L83" s="108">
        <f>SUM(L82:L82)</f>
        <v>4</v>
      </c>
      <c r="M83" s="108">
        <f>M82</f>
        <v>3</v>
      </c>
      <c r="N83" s="111">
        <f>M83/L83</f>
        <v>0.75</v>
      </c>
      <c r="O83" s="109">
        <f>SUM(O82:O82)</f>
        <v>4</v>
      </c>
      <c r="P83" s="110">
        <f>SUM(P82:P82)</f>
        <v>2.68</v>
      </c>
      <c r="Q83" s="111">
        <v>0</v>
      </c>
      <c r="R83" s="130"/>
      <c r="S83" s="108">
        <f>SUM(S82:S82)</f>
        <v>25</v>
      </c>
      <c r="T83" s="109">
        <f>SUM(T82:T82)</f>
        <v>200</v>
      </c>
      <c r="U83" s="110">
        <f>SUM(U82:U82)</f>
        <v>170.61</v>
      </c>
      <c r="V83" s="111">
        <f>U83/T83</f>
        <v>0.8530500000000001</v>
      </c>
    </row>
    <row r="84" spans="1:26" s="331" customFormat="1" ht="6" customHeight="1">
      <c r="A84" s="556"/>
      <c r="B84" s="556"/>
      <c r="C84" s="556"/>
      <c r="D84" s="556"/>
      <c r="E84" s="556"/>
      <c r="F84" s="556"/>
      <c r="G84" s="556"/>
      <c r="H84" s="556"/>
      <c r="I84" s="556"/>
      <c r="J84" s="557"/>
      <c r="K84" s="558"/>
      <c r="L84" s="556"/>
      <c r="M84" s="556"/>
      <c r="N84" s="556"/>
      <c r="O84" s="556"/>
      <c r="P84" s="556"/>
      <c r="Q84" s="557"/>
      <c r="R84" s="558"/>
      <c r="S84" s="556"/>
      <c r="T84" s="556"/>
      <c r="U84" s="556"/>
      <c r="V84" s="556"/>
      <c r="W84" s="557"/>
      <c r="X84" s="329"/>
      <c r="Y84" s="330"/>
      <c r="Z84" s="330"/>
    </row>
    <row r="85" spans="1:26" s="308" customFormat="1" ht="12.75" customHeight="1">
      <c r="A85" s="318" t="s">
        <v>536</v>
      </c>
      <c r="B85" s="355"/>
      <c r="C85" s="351"/>
      <c r="D85" s="351"/>
      <c r="E85" s="352"/>
      <c r="F85" s="352"/>
      <c r="G85" s="352"/>
      <c r="H85" s="352"/>
      <c r="I85" s="352"/>
      <c r="J85" s="354"/>
      <c r="K85" s="353"/>
      <c r="L85" s="352"/>
      <c r="M85" s="352"/>
      <c r="N85" s="352"/>
      <c r="O85" s="352"/>
      <c r="P85" s="352"/>
      <c r="Q85" s="354"/>
      <c r="R85" s="353"/>
      <c r="S85" s="352"/>
      <c r="T85" s="352"/>
      <c r="U85" s="352"/>
      <c r="V85" s="352"/>
      <c r="W85" s="354"/>
      <c r="X85" s="306"/>
      <c r="Y85" s="307"/>
      <c r="Z85" s="307"/>
    </row>
    <row r="86" spans="1:22" s="308" customFormat="1" ht="12.75" customHeight="1">
      <c r="A86" s="44" t="s">
        <v>483</v>
      </c>
      <c r="B86" s="341">
        <v>8</v>
      </c>
      <c r="C86" s="342">
        <v>65.8</v>
      </c>
      <c r="D86" s="343">
        <v>69.84</v>
      </c>
      <c r="E86" s="383">
        <f>D86/C86</f>
        <v>1.0613981762917934</v>
      </c>
      <c r="F86" s="345">
        <v>0</v>
      </c>
      <c r="G86" s="341">
        <v>16</v>
      </c>
      <c r="H86" s="342">
        <v>147.2</v>
      </c>
      <c r="I86" s="343">
        <v>94.06</v>
      </c>
      <c r="J86" s="344">
        <f>I86/H86</f>
        <v>0.6389945652173914</v>
      </c>
      <c r="K86" s="130"/>
      <c r="L86" s="341">
        <v>4</v>
      </c>
      <c r="M86" s="341">
        <v>2</v>
      </c>
      <c r="N86" s="598">
        <f>M86/L86</f>
        <v>0.5</v>
      </c>
      <c r="O86" s="342">
        <v>4</v>
      </c>
      <c r="P86" s="343">
        <v>2.96</v>
      </c>
      <c r="Q86" s="344">
        <f>P86/O86</f>
        <v>0.74</v>
      </c>
      <c r="R86" s="130"/>
      <c r="S86" s="346">
        <f>B86+G86+L86</f>
        <v>28</v>
      </c>
      <c r="T86" s="347">
        <f>C86+H86+O86</f>
        <v>217</v>
      </c>
      <c r="U86" s="348">
        <f>D86+I86+P86</f>
        <v>166.86</v>
      </c>
      <c r="V86" s="383">
        <f>U86/T86</f>
        <v>0.7689400921658986</v>
      </c>
    </row>
    <row r="87" spans="1:22" s="328" customFormat="1" ht="12.75" customHeight="1">
      <c r="A87" s="309" t="s">
        <v>900</v>
      </c>
      <c r="B87" s="108">
        <f>SUM(B86:B86)</f>
        <v>8</v>
      </c>
      <c r="C87" s="109">
        <f>SUM(C86:C86)</f>
        <v>65.8</v>
      </c>
      <c r="D87" s="110">
        <f>SUM(D86:D86)</f>
        <v>69.84</v>
      </c>
      <c r="E87" s="111">
        <v>0</v>
      </c>
      <c r="F87" s="561"/>
      <c r="G87" s="108">
        <f>SUM(G86:G86)</f>
        <v>16</v>
      </c>
      <c r="H87" s="109">
        <f>SUM(H86:H86)</f>
        <v>147.2</v>
      </c>
      <c r="I87" s="110">
        <f>SUM(I86:I86)</f>
        <v>94.06</v>
      </c>
      <c r="J87" s="111">
        <f>I87/H87</f>
        <v>0.6389945652173914</v>
      </c>
      <c r="K87" s="130"/>
      <c r="L87" s="108">
        <f>SUM(L86:L86)</f>
        <v>4</v>
      </c>
      <c r="M87" s="108">
        <f>M86</f>
        <v>2</v>
      </c>
      <c r="N87" s="111">
        <f>M87/L87</f>
        <v>0.5</v>
      </c>
      <c r="O87" s="109">
        <f>SUM(O86:O86)</f>
        <v>4</v>
      </c>
      <c r="P87" s="110">
        <f>SUM(P86:P86)</f>
        <v>2.96</v>
      </c>
      <c r="Q87" s="111">
        <v>0</v>
      </c>
      <c r="R87" s="130"/>
      <c r="S87" s="108">
        <f>SUM(S86:S86)</f>
        <v>28</v>
      </c>
      <c r="T87" s="109">
        <f>SUM(T86:T86)</f>
        <v>217</v>
      </c>
      <c r="U87" s="110">
        <f>SUM(U86:U86)</f>
        <v>166.86</v>
      </c>
      <c r="V87" s="111">
        <f>U87/T87</f>
        <v>0.7689400921658986</v>
      </c>
    </row>
    <row r="88" spans="1:26" s="331" customFormat="1" ht="6" customHeight="1">
      <c r="A88" s="555"/>
      <c r="B88" s="556"/>
      <c r="C88" s="556"/>
      <c r="D88" s="556"/>
      <c r="E88" s="556"/>
      <c r="F88" s="556"/>
      <c r="G88" s="556"/>
      <c r="H88" s="556"/>
      <c r="I88" s="556"/>
      <c r="J88" s="557"/>
      <c r="K88" s="558"/>
      <c r="L88" s="556"/>
      <c r="M88" s="556"/>
      <c r="N88" s="556"/>
      <c r="O88" s="556"/>
      <c r="P88" s="556"/>
      <c r="Q88" s="557"/>
      <c r="R88" s="558"/>
      <c r="S88" s="556"/>
      <c r="T88" s="556"/>
      <c r="U88" s="556"/>
      <c r="V88" s="556"/>
      <c r="W88" s="557"/>
      <c r="X88" s="329"/>
      <c r="Y88" s="330"/>
      <c r="Z88" s="330"/>
    </row>
    <row r="89" spans="1:26" s="328" customFormat="1" ht="12.75" customHeight="1">
      <c r="A89" s="318" t="s">
        <v>227</v>
      </c>
      <c r="B89" s="571"/>
      <c r="C89" s="572"/>
      <c r="D89" s="572"/>
      <c r="E89" s="573"/>
      <c r="F89" s="573"/>
      <c r="G89" s="573"/>
      <c r="H89" s="573"/>
      <c r="I89" s="573"/>
      <c r="J89" s="574"/>
      <c r="K89" s="575"/>
      <c r="L89" s="573"/>
      <c r="M89" s="573"/>
      <c r="N89" s="573"/>
      <c r="O89" s="573"/>
      <c r="P89" s="573"/>
      <c r="Q89" s="574"/>
      <c r="R89" s="575"/>
      <c r="S89" s="573"/>
      <c r="T89" s="573"/>
      <c r="U89" s="573"/>
      <c r="V89" s="573"/>
      <c r="W89" s="574"/>
      <c r="X89" s="326"/>
      <c r="Y89" s="327"/>
      <c r="Z89" s="327"/>
    </row>
    <row r="90" spans="1:22" s="308" customFormat="1" ht="12.75" customHeight="1">
      <c r="A90" s="44" t="s">
        <v>492</v>
      </c>
      <c r="B90" s="341">
        <v>13</v>
      </c>
      <c r="C90" s="342">
        <v>118.5</v>
      </c>
      <c r="D90" s="343">
        <v>122.66</v>
      </c>
      <c r="E90" s="344">
        <f>D90/C90</f>
        <v>1.0351054852320676</v>
      </c>
      <c r="F90" s="345"/>
      <c r="G90" s="341">
        <v>60</v>
      </c>
      <c r="H90" s="342">
        <v>563.6</v>
      </c>
      <c r="I90" s="343">
        <v>434.41</v>
      </c>
      <c r="J90" s="344">
        <f>I90/H90</f>
        <v>0.770777146912704</v>
      </c>
      <c r="K90" s="130"/>
      <c r="L90" s="341">
        <v>10</v>
      </c>
      <c r="M90" s="341">
        <v>6</v>
      </c>
      <c r="N90" s="598">
        <f>M90/L90</f>
        <v>0.6</v>
      </c>
      <c r="O90" s="342">
        <v>9.5</v>
      </c>
      <c r="P90" s="343">
        <v>6.48</v>
      </c>
      <c r="Q90" s="344">
        <f>P90/O90</f>
        <v>0.6821052631578948</v>
      </c>
      <c r="R90" s="130"/>
      <c r="S90" s="346">
        <f>B90+G90+L90</f>
        <v>83</v>
      </c>
      <c r="T90" s="347">
        <f>C90+H90+O90</f>
        <v>691.6</v>
      </c>
      <c r="U90" s="348">
        <f>D90+I90+P90</f>
        <v>563.5500000000001</v>
      </c>
      <c r="V90" s="383">
        <f>U90/T90</f>
        <v>0.8148496240601505</v>
      </c>
    </row>
    <row r="91" spans="1:22" s="308" customFormat="1" ht="12.75" customHeight="1">
      <c r="A91" s="309" t="s">
        <v>900</v>
      </c>
      <c r="B91" s="108">
        <f>SUM(B90:B90)</f>
        <v>13</v>
      </c>
      <c r="C91" s="109">
        <f>SUM(C90:C90)</f>
        <v>118.5</v>
      </c>
      <c r="D91" s="110">
        <f>SUM(D90:D90)</f>
        <v>122.66</v>
      </c>
      <c r="E91" s="111">
        <f>D91/C91</f>
        <v>1.0351054852320676</v>
      </c>
      <c r="F91" s="345"/>
      <c r="G91" s="108">
        <f>SUM(G90:G90)</f>
        <v>60</v>
      </c>
      <c r="H91" s="109">
        <f>SUM(H90:H90)</f>
        <v>563.6</v>
      </c>
      <c r="I91" s="110">
        <f>SUM(I90:I90)</f>
        <v>434.41</v>
      </c>
      <c r="J91" s="111">
        <f>I91/H91</f>
        <v>0.770777146912704</v>
      </c>
      <c r="K91" s="130"/>
      <c r="L91" s="108">
        <f>SUM(L90:L90)</f>
        <v>10</v>
      </c>
      <c r="M91" s="108">
        <f>M90</f>
        <v>6</v>
      </c>
      <c r="N91" s="111">
        <f>M91/L91</f>
        <v>0.6</v>
      </c>
      <c r="O91" s="109">
        <f>SUM(O90:O90)</f>
        <v>9.5</v>
      </c>
      <c r="P91" s="110">
        <f>SUM(P90:P90)</f>
        <v>6.48</v>
      </c>
      <c r="Q91" s="111">
        <v>0</v>
      </c>
      <c r="R91" s="130"/>
      <c r="S91" s="108">
        <f>SUM(S90:S90)</f>
        <v>83</v>
      </c>
      <c r="T91" s="109">
        <f>SUM(T90:T90)</f>
        <v>691.6</v>
      </c>
      <c r="U91" s="110">
        <f>SUM(U90:U90)</f>
        <v>563.5500000000001</v>
      </c>
      <c r="V91" s="111">
        <f>U91/T91</f>
        <v>0.8148496240601505</v>
      </c>
    </row>
    <row r="92" spans="1:22" s="331" customFormat="1" ht="6" customHeight="1">
      <c r="A92" s="310"/>
      <c r="B92" s="312"/>
      <c r="C92" s="313"/>
      <c r="D92" s="314"/>
      <c r="E92" s="315"/>
      <c r="F92" s="361"/>
      <c r="G92" s="312"/>
      <c r="H92" s="313"/>
      <c r="I92" s="314"/>
      <c r="J92" s="315"/>
      <c r="K92" s="315"/>
      <c r="L92" s="312"/>
      <c r="M92" s="312"/>
      <c r="N92" s="312"/>
      <c r="O92" s="313"/>
      <c r="P92" s="314"/>
      <c r="Q92" s="315"/>
      <c r="R92" s="315"/>
      <c r="S92" s="312"/>
      <c r="T92" s="313"/>
      <c r="U92" s="314"/>
      <c r="V92" s="315"/>
    </row>
    <row r="93" spans="1:26" s="308" customFormat="1" ht="12.75" customHeight="1">
      <c r="A93" s="318" t="s">
        <v>628</v>
      </c>
      <c r="B93" s="355"/>
      <c r="C93" s="351"/>
      <c r="D93" s="351"/>
      <c r="E93" s="352"/>
      <c r="F93" s="352"/>
      <c r="G93" s="352"/>
      <c r="H93" s="352"/>
      <c r="I93" s="352"/>
      <c r="J93" s="354"/>
      <c r="K93" s="353"/>
      <c r="L93" s="352"/>
      <c r="M93" s="352"/>
      <c r="N93" s="352"/>
      <c r="O93" s="352"/>
      <c r="P93" s="352"/>
      <c r="Q93" s="354"/>
      <c r="R93" s="353"/>
      <c r="S93" s="352"/>
      <c r="T93" s="352"/>
      <c r="U93" s="352"/>
      <c r="V93" s="352"/>
      <c r="W93" s="354"/>
      <c r="X93" s="306"/>
      <c r="Y93" s="307"/>
      <c r="Z93" s="307"/>
    </row>
    <row r="94" spans="1:22" s="308" customFormat="1" ht="12.75" customHeight="1">
      <c r="A94" s="44" t="s">
        <v>644</v>
      </c>
      <c r="B94" s="341">
        <v>12</v>
      </c>
      <c r="C94" s="342">
        <v>111.9</v>
      </c>
      <c r="D94" s="343">
        <v>113.54</v>
      </c>
      <c r="E94" s="383">
        <f>D94/C94</f>
        <v>1.0146559428060768</v>
      </c>
      <c r="F94" s="345">
        <v>0</v>
      </c>
      <c r="G94" s="341">
        <v>8</v>
      </c>
      <c r="H94" s="342">
        <v>74.1</v>
      </c>
      <c r="I94" s="343">
        <v>68.07</v>
      </c>
      <c r="J94" s="344">
        <f>I94/H94</f>
        <v>0.9186234817813765</v>
      </c>
      <c r="K94" s="130"/>
      <c r="L94" s="341">
        <v>0</v>
      </c>
      <c r="M94" s="341">
        <v>0</v>
      </c>
      <c r="N94" s="598">
        <v>0</v>
      </c>
      <c r="O94" s="342">
        <v>0</v>
      </c>
      <c r="P94" s="343">
        <v>0</v>
      </c>
      <c r="Q94" s="598">
        <v>0</v>
      </c>
      <c r="R94" s="130"/>
      <c r="S94" s="346">
        <f>B94+G94+L94</f>
        <v>20</v>
      </c>
      <c r="T94" s="347">
        <f>C94+H94+O94</f>
        <v>186</v>
      </c>
      <c r="U94" s="348">
        <f>D94+I94+P94</f>
        <v>181.61</v>
      </c>
      <c r="V94" s="383">
        <f>U94/T94</f>
        <v>0.9763978494623656</v>
      </c>
    </row>
    <row r="95" spans="1:22" s="308" customFormat="1" ht="12.75" customHeight="1">
      <c r="A95" s="309" t="s">
        <v>900</v>
      </c>
      <c r="B95" s="108">
        <f>SUM(B94:B94)</f>
        <v>12</v>
      </c>
      <c r="C95" s="109">
        <f>SUM(C94:C94)</f>
        <v>111.9</v>
      </c>
      <c r="D95" s="110">
        <f>SUM(D94:D94)</f>
        <v>113.54</v>
      </c>
      <c r="E95" s="111">
        <v>0</v>
      </c>
      <c r="F95" s="345"/>
      <c r="G95" s="108">
        <f>SUM(G94:G94)</f>
        <v>8</v>
      </c>
      <c r="H95" s="109">
        <f>SUM(H94:H94)</f>
        <v>74.1</v>
      </c>
      <c r="I95" s="110">
        <f>SUM(I94:I94)</f>
        <v>68.07</v>
      </c>
      <c r="J95" s="111">
        <v>0</v>
      </c>
      <c r="K95" s="130"/>
      <c r="L95" s="108">
        <f>SUM(L94:L94)</f>
        <v>0</v>
      </c>
      <c r="M95" s="108">
        <f>M94</f>
        <v>0</v>
      </c>
      <c r="N95" s="111">
        <v>0</v>
      </c>
      <c r="O95" s="109">
        <f>SUM(O94:O94)</f>
        <v>0</v>
      </c>
      <c r="P95" s="110">
        <f>SUM(P94:P94)</f>
        <v>0</v>
      </c>
      <c r="Q95" s="111">
        <v>0</v>
      </c>
      <c r="R95" s="130"/>
      <c r="S95" s="108">
        <f>SUM(S94:S94)</f>
        <v>20</v>
      </c>
      <c r="T95" s="109">
        <f>SUM(T94:T94)</f>
        <v>186</v>
      </c>
      <c r="U95" s="110">
        <f>SUM(U94:U94)</f>
        <v>181.61</v>
      </c>
      <c r="V95" s="111">
        <f>U95/T95</f>
        <v>0.9763978494623656</v>
      </c>
    </row>
    <row r="96" spans="1:26" s="331" customFormat="1" ht="6" customHeight="1">
      <c r="A96" s="311"/>
      <c r="B96" s="556"/>
      <c r="C96" s="556"/>
      <c r="D96" s="556"/>
      <c r="E96" s="556"/>
      <c r="F96" s="556"/>
      <c r="G96" s="556"/>
      <c r="H96" s="556"/>
      <c r="I96" s="556"/>
      <c r="J96" s="557"/>
      <c r="K96" s="558"/>
      <c r="L96" s="556"/>
      <c r="M96" s="556"/>
      <c r="N96" s="556"/>
      <c r="O96" s="556"/>
      <c r="P96" s="556"/>
      <c r="Q96" s="557"/>
      <c r="R96" s="558"/>
      <c r="S96" s="556"/>
      <c r="T96" s="556"/>
      <c r="U96" s="556"/>
      <c r="V96" s="556"/>
      <c r="W96" s="557"/>
      <c r="X96" s="329"/>
      <c r="Y96" s="330"/>
      <c r="Z96" s="330"/>
    </row>
    <row r="97" spans="1:26" s="331" customFormat="1" ht="12.75" customHeight="1">
      <c r="A97" s="311"/>
      <c r="B97" s="556"/>
      <c r="C97" s="556"/>
      <c r="D97" s="556"/>
      <c r="E97" s="556"/>
      <c r="F97" s="556"/>
      <c r="G97" s="556"/>
      <c r="H97" s="556"/>
      <c r="I97" s="556"/>
      <c r="J97" s="557"/>
      <c r="K97" s="558"/>
      <c r="L97" s="556"/>
      <c r="M97" s="556"/>
      <c r="N97" s="556"/>
      <c r="O97" s="556"/>
      <c r="P97" s="556"/>
      <c r="Q97" s="557"/>
      <c r="R97" s="558"/>
      <c r="S97" s="556"/>
      <c r="T97" s="556"/>
      <c r="U97" s="556"/>
      <c r="V97" s="556"/>
      <c r="W97" s="557"/>
      <c r="X97" s="329"/>
      <c r="Y97" s="330"/>
      <c r="Z97" s="330"/>
    </row>
    <row r="98" spans="1:26" s="331" customFormat="1" ht="12.75" customHeight="1">
      <c r="A98" s="311"/>
      <c r="B98" s="556"/>
      <c r="C98" s="556"/>
      <c r="D98" s="556"/>
      <c r="E98" s="556"/>
      <c r="F98" s="556"/>
      <c r="G98" s="556"/>
      <c r="H98" s="556"/>
      <c r="I98" s="556"/>
      <c r="J98" s="557"/>
      <c r="K98" s="558"/>
      <c r="L98" s="556"/>
      <c r="M98" s="556"/>
      <c r="N98" s="556"/>
      <c r="O98" s="556"/>
      <c r="P98" s="556"/>
      <c r="Q98" s="557"/>
      <c r="R98" s="558"/>
      <c r="S98" s="556"/>
      <c r="T98" s="556"/>
      <c r="U98" s="556"/>
      <c r="V98" s="556"/>
      <c r="W98" s="557"/>
      <c r="X98" s="329"/>
      <c r="Y98" s="330"/>
      <c r="Z98" s="330"/>
    </row>
    <row r="99" spans="1:26" s="308" customFormat="1" ht="12.75" customHeight="1">
      <c r="A99" s="318" t="s">
        <v>629</v>
      </c>
      <c r="B99" s="355"/>
      <c r="C99" s="351"/>
      <c r="D99" s="351"/>
      <c r="E99" s="352"/>
      <c r="F99" s="352"/>
      <c r="G99" s="352"/>
      <c r="H99" s="352"/>
      <c r="I99" s="352"/>
      <c r="J99" s="354"/>
      <c r="K99" s="353"/>
      <c r="L99" s="352"/>
      <c r="M99" s="352"/>
      <c r="N99" s="352"/>
      <c r="O99" s="352"/>
      <c r="P99" s="352"/>
      <c r="Q99" s="354"/>
      <c r="R99" s="353"/>
      <c r="S99" s="352"/>
      <c r="T99" s="352"/>
      <c r="U99" s="352"/>
      <c r="V99" s="352"/>
      <c r="W99" s="354"/>
      <c r="X99" s="306"/>
      <c r="Y99" s="307"/>
      <c r="Z99" s="307"/>
    </row>
    <row r="100" spans="1:22" s="308" customFormat="1" ht="12.75" customHeight="1">
      <c r="A100" s="44" t="s">
        <v>646</v>
      </c>
      <c r="B100" s="341">
        <v>11</v>
      </c>
      <c r="C100" s="342">
        <v>94.3</v>
      </c>
      <c r="D100" s="343">
        <v>97.09</v>
      </c>
      <c r="E100" s="344">
        <f>D100/C100</f>
        <v>1.0295864262990457</v>
      </c>
      <c r="F100" s="345">
        <v>0</v>
      </c>
      <c r="G100" s="341">
        <v>21</v>
      </c>
      <c r="H100" s="342">
        <v>195.7</v>
      </c>
      <c r="I100" s="343">
        <v>168.47</v>
      </c>
      <c r="J100" s="344">
        <f>I100/H100</f>
        <v>0.8608584568216658</v>
      </c>
      <c r="K100" s="130"/>
      <c r="L100" s="341">
        <v>6</v>
      </c>
      <c r="M100" s="341">
        <v>3</v>
      </c>
      <c r="N100" s="598">
        <f>M100/L100</f>
        <v>0.5</v>
      </c>
      <c r="O100" s="342">
        <v>6</v>
      </c>
      <c r="P100" s="343">
        <v>5.72</v>
      </c>
      <c r="Q100" s="344">
        <f>P100/O100</f>
        <v>0.9533333333333333</v>
      </c>
      <c r="R100" s="130"/>
      <c r="S100" s="341">
        <f>B100+G100+L100</f>
        <v>38</v>
      </c>
      <c r="T100" s="342">
        <f>C100+H100+O100</f>
        <v>296</v>
      </c>
      <c r="U100" s="343">
        <f>D100+I100+P100</f>
        <v>271.28000000000003</v>
      </c>
      <c r="V100" s="344">
        <f>U100/T100</f>
        <v>0.9164864864864866</v>
      </c>
    </row>
    <row r="101" spans="1:22" s="308" customFormat="1" ht="12.75" customHeight="1">
      <c r="A101" s="47" t="s">
        <v>684</v>
      </c>
      <c r="B101" s="373">
        <v>3</v>
      </c>
      <c r="C101" s="374">
        <v>26.3</v>
      </c>
      <c r="D101" s="375">
        <v>25.68</v>
      </c>
      <c r="E101" s="376">
        <f>D101/C101</f>
        <v>0.976425855513308</v>
      </c>
      <c r="F101" s="345"/>
      <c r="G101" s="373">
        <v>0</v>
      </c>
      <c r="H101" s="374">
        <v>0</v>
      </c>
      <c r="I101" s="375">
        <v>0</v>
      </c>
      <c r="J101" s="376">
        <v>0</v>
      </c>
      <c r="K101" s="130"/>
      <c r="L101" s="373">
        <v>0</v>
      </c>
      <c r="M101" s="373">
        <v>0</v>
      </c>
      <c r="N101" s="662">
        <v>0</v>
      </c>
      <c r="O101" s="374">
        <v>0</v>
      </c>
      <c r="P101" s="375">
        <v>0</v>
      </c>
      <c r="Q101" s="376">
        <v>0</v>
      </c>
      <c r="R101" s="130"/>
      <c r="S101" s="373">
        <f>B101+G101+L101</f>
        <v>3</v>
      </c>
      <c r="T101" s="374">
        <f>C101+H101+O101</f>
        <v>26.3</v>
      </c>
      <c r="U101" s="375">
        <f>D101+I101+P101</f>
        <v>25.68</v>
      </c>
      <c r="V101" s="376">
        <f>U101/T101</f>
        <v>0.976425855513308</v>
      </c>
    </row>
    <row r="102" spans="1:22" s="308" customFormat="1" ht="12.75" customHeight="1">
      <c r="A102" s="309" t="s">
        <v>900</v>
      </c>
      <c r="B102" s="108">
        <f>SUM(B100:B101)</f>
        <v>14</v>
      </c>
      <c r="C102" s="109">
        <f>SUM(C100:C101)</f>
        <v>120.6</v>
      </c>
      <c r="D102" s="110">
        <f>SUM(D100:D101)</f>
        <v>122.77000000000001</v>
      </c>
      <c r="E102" s="111">
        <f>D102/C102</f>
        <v>1.0179933665008294</v>
      </c>
      <c r="F102" s="345"/>
      <c r="G102" s="108">
        <f>SUM(G100:G101)</f>
        <v>21</v>
      </c>
      <c r="H102" s="109">
        <f>SUM(H100:H101)</f>
        <v>195.7</v>
      </c>
      <c r="I102" s="110">
        <f>SUM(I100:I101)</f>
        <v>168.47</v>
      </c>
      <c r="J102" s="111">
        <f>I102/H102</f>
        <v>0.8608584568216658</v>
      </c>
      <c r="K102" s="130"/>
      <c r="L102" s="108">
        <f>SUM(L100:L101)</f>
        <v>6</v>
      </c>
      <c r="M102" s="108">
        <f>SUM(M100:M101)</f>
        <v>3</v>
      </c>
      <c r="N102" s="111">
        <f>M102/L102</f>
        <v>0.5</v>
      </c>
      <c r="O102" s="109">
        <f>SUM(O100:O101)</f>
        <v>6</v>
      </c>
      <c r="P102" s="110">
        <f>SUM(P100:P101)</f>
        <v>5.72</v>
      </c>
      <c r="Q102" s="111">
        <f>P102/O102</f>
        <v>0.9533333333333333</v>
      </c>
      <c r="R102" s="130"/>
      <c r="S102" s="108">
        <f>SUM(S100:S101)</f>
        <v>41</v>
      </c>
      <c r="T102" s="109">
        <f>SUM(T100:T101)</f>
        <v>322.3</v>
      </c>
      <c r="U102" s="110">
        <f>SUM(U100:U101)</f>
        <v>296.96000000000004</v>
      </c>
      <c r="V102" s="111">
        <f>U102/T102</f>
        <v>0.9213775985107044</v>
      </c>
    </row>
    <row r="103" spans="1:26" s="331" customFormat="1" ht="6" customHeight="1">
      <c r="A103" s="325"/>
      <c r="B103" s="556"/>
      <c r="C103" s="556"/>
      <c r="D103" s="556"/>
      <c r="E103" s="556"/>
      <c r="F103" s="556"/>
      <c r="G103" s="556"/>
      <c r="H103" s="556"/>
      <c r="I103" s="556"/>
      <c r="J103" s="557"/>
      <c r="K103" s="558"/>
      <c r="L103" s="556"/>
      <c r="M103" s="556"/>
      <c r="N103" s="556"/>
      <c r="O103" s="556"/>
      <c r="P103" s="556"/>
      <c r="Q103" s="557"/>
      <c r="R103" s="558"/>
      <c r="S103" s="556"/>
      <c r="T103" s="556"/>
      <c r="U103" s="556"/>
      <c r="V103" s="556"/>
      <c r="W103" s="557"/>
      <c r="X103" s="329"/>
      <c r="Y103" s="330"/>
      <c r="Z103" s="330"/>
    </row>
    <row r="104" spans="1:26" s="308" customFormat="1" ht="12.75" customHeight="1">
      <c r="A104" s="318" t="s">
        <v>660</v>
      </c>
      <c r="B104" s="355"/>
      <c r="C104" s="351"/>
      <c r="D104" s="351"/>
      <c r="E104" s="352"/>
      <c r="F104" s="352"/>
      <c r="G104" s="352"/>
      <c r="H104" s="352"/>
      <c r="I104" s="352"/>
      <c r="J104" s="354"/>
      <c r="K104" s="353"/>
      <c r="L104" s="352"/>
      <c r="M104" s="352"/>
      <c r="N104" s="352"/>
      <c r="O104" s="352"/>
      <c r="P104" s="352"/>
      <c r="Q104" s="354"/>
      <c r="R104" s="353"/>
      <c r="S104" s="352"/>
      <c r="T104" s="352"/>
      <c r="U104" s="352"/>
      <c r="V104" s="352"/>
      <c r="W104" s="354"/>
      <c r="X104" s="306"/>
      <c r="Y104" s="307"/>
      <c r="Z104" s="307"/>
    </row>
    <row r="105" spans="1:22" s="308" customFormat="1" ht="12.75" customHeight="1">
      <c r="A105" s="44" t="s">
        <v>647</v>
      </c>
      <c r="B105" s="341">
        <v>3</v>
      </c>
      <c r="C105" s="342">
        <v>22.9</v>
      </c>
      <c r="D105" s="343">
        <v>22.95</v>
      </c>
      <c r="E105" s="344">
        <f>D105/C105</f>
        <v>1.002183406113537</v>
      </c>
      <c r="F105" s="345">
        <v>0</v>
      </c>
      <c r="G105" s="341">
        <v>16</v>
      </c>
      <c r="H105" s="342">
        <v>124.9</v>
      </c>
      <c r="I105" s="343">
        <v>45.69</v>
      </c>
      <c r="J105" s="344">
        <f>I105/H105</f>
        <v>0.36581265012009606</v>
      </c>
      <c r="K105" s="130"/>
      <c r="L105" s="341">
        <v>1</v>
      </c>
      <c r="M105" s="341">
        <v>0</v>
      </c>
      <c r="N105" s="598">
        <f>M105/L105</f>
        <v>0</v>
      </c>
      <c r="O105" s="342">
        <v>1</v>
      </c>
      <c r="P105" s="343">
        <v>0.57</v>
      </c>
      <c r="Q105" s="344">
        <f>P105/O105</f>
        <v>0.57</v>
      </c>
      <c r="R105" s="130"/>
      <c r="S105" s="341">
        <f>B105+G105+L105</f>
        <v>20</v>
      </c>
      <c r="T105" s="342">
        <f>C105+H105+O105</f>
        <v>148.8</v>
      </c>
      <c r="U105" s="343">
        <f>D105+I105+P105</f>
        <v>69.21</v>
      </c>
      <c r="V105" s="344">
        <f>U105/T105</f>
        <v>0.4651209677419354</v>
      </c>
    </row>
    <row r="106" spans="1:22" s="308" customFormat="1" ht="12.75" customHeight="1">
      <c r="A106" s="47" t="s">
        <v>699</v>
      </c>
      <c r="B106" s="373">
        <v>0</v>
      </c>
      <c r="C106" s="374">
        <v>0</v>
      </c>
      <c r="D106" s="375">
        <v>0</v>
      </c>
      <c r="E106" s="376">
        <v>0</v>
      </c>
      <c r="F106" s="345"/>
      <c r="G106" s="373">
        <v>4</v>
      </c>
      <c r="H106" s="374">
        <v>38.5</v>
      </c>
      <c r="I106" s="375">
        <v>3.67</v>
      </c>
      <c r="J106" s="376">
        <f>I106/H106</f>
        <v>0.09532467532467533</v>
      </c>
      <c r="K106" s="130"/>
      <c r="L106" s="373">
        <v>0</v>
      </c>
      <c r="M106" s="373">
        <v>0</v>
      </c>
      <c r="N106" s="662">
        <v>0</v>
      </c>
      <c r="O106" s="374">
        <v>0</v>
      </c>
      <c r="P106" s="375">
        <v>0</v>
      </c>
      <c r="Q106" s="376">
        <v>0</v>
      </c>
      <c r="R106" s="130"/>
      <c r="S106" s="373">
        <f>B106+G106+L106</f>
        <v>4</v>
      </c>
      <c r="T106" s="374">
        <f>C106+H106+O106</f>
        <v>38.5</v>
      </c>
      <c r="U106" s="375">
        <f>D106+I106+P106</f>
        <v>3.67</v>
      </c>
      <c r="V106" s="376">
        <f>U106/T106</f>
        <v>0.09532467532467533</v>
      </c>
    </row>
    <row r="107" spans="1:22" s="308" customFormat="1" ht="12.75" customHeight="1">
      <c r="A107" s="309" t="s">
        <v>900</v>
      </c>
      <c r="B107" s="108">
        <f>SUM(B105:B106)</f>
        <v>3</v>
      </c>
      <c r="C107" s="109">
        <f>SUM(C105:C106)</f>
        <v>22.9</v>
      </c>
      <c r="D107" s="110">
        <f>SUM(D105:D106)</f>
        <v>22.95</v>
      </c>
      <c r="E107" s="111">
        <f>D107/C107</f>
        <v>1.002183406113537</v>
      </c>
      <c r="F107" s="345"/>
      <c r="G107" s="108">
        <f>SUM(G105:G106)</f>
        <v>20</v>
      </c>
      <c r="H107" s="109">
        <f>SUM(H105:H106)</f>
        <v>163.4</v>
      </c>
      <c r="I107" s="110">
        <f>SUM(I105:I106)</f>
        <v>49.36</v>
      </c>
      <c r="J107" s="111">
        <f>I107/H107</f>
        <v>0.3020807833537332</v>
      </c>
      <c r="K107" s="130"/>
      <c r="L107" s="108">
        <f>SUM(L105:L106)</f>
        <v>1</v>
      </c>
      <c r="M107" s="108">
        <f>SUM(M105:M106)</f>
        <v>0</v>
      </c>
      <c r="N107" s="111">
        <v>0</v>
      </c>
      <c r="O107" s="109">
        <f>SUM(O105:O106)</f>
        <v>1</v>
      </c>
      <c r="P107" s="110">
        <f>SUM(P105:P106)</f>
        <v>0.57</v>
      </c>
      <c r="Q107" s="111">
        <f>P107/O107</f>
        <v>0.57</v>
      </c>
      <c r="R107" s="130"/>
      <c r="S107" s="108">
        <f>SUM(S105:S106)</f>
        <v>24</v>
      </c>
      <c r="T107" s="109">
        <f>SUM(T105:T106)</f>
        <v>187.3</v>
      </c>
      <c r="U107" s="110">
        <f>SUM(U105:U106)</f>
        <v>72.88</v>
      </c>
      <c r="V107" s="111">
        <f>U107/T107</f>
        <v>0.389108382274426</v>
      </c>
    </row>
    <row r="108" spans="1:26" s="331" customFormat="1" ht="6" customHeight="1">
      <c r="A108" s="311"/>
      <c r="B108" s="556"/>
      <c r="C108" s="556"/>
      <c r="D108" s="556"/>
      <c r="E108" s="556"/>
      <c r="F108" s="556"/>
      <c r="G108" s="556"/>
      <c r="H108" s="556"/>
      <c r="I108" s="556"/>
      <c r="J108" s="557"/>
      <c r="K108" s="558"/>
      <c r="L108" s="556"/>
      <c r="M108" s="556"/>
      <c r="N108" s="556"/>
      <c r="O108" s="556"/>
      <c r="P108" s="556"/>
      <c r="Q108" s="557"/>
      <c r="R108" s="558"/>
      <c r="S108" s="556"/>
      <c r="T108" s="556"/>
      <c r="U108" s="556"/>
      <c r="V108" s="556"/>
      <c r="W108" s="557"/>
      <c r="X108" s="329"/>
      <c r="Y108" s="330"/>
      <c r="Z108" s="330"/>
    </row>
    <row r="109" spans="1:26" s="308" customFormat="1" ht="12.75" customHeight="1">
      <c r="A109" s="318" t="s">
        <v>706</v>
      </c>
      <c r="B109" s="355"/>
      <c r="C109" s="351"/>
      <c r="D109" s="351"/>
      <c r="E109" s="352"/>
      <c r="F109" s="352"/>
      <c r="G109" s="352"/>
      <c r="H109" s="352"/>
      <c r="I109" s="352"/>
      <c r="J109" s="354"/>
      <c r="K109" s="353"/>
      <c r="L109" s="352"/>
      <c r="M109" s="352"/>
      <c r="N109" s="352"/>
      <c r="O109" s="352"/>
      <c r="P109" s="352"/>
      <c r="Q109" s="354"/>
      <c r="R109" s="353"/>
      <c r="S109" s="352"/>
      <c r="T109" s="352"/>
      <c r="U109" s="352"/>
      <c r="V109" s="352"/>
      <c r="W109" s="354"/>
      <c r="X109" s="306"/>
      <c r="Y109" s="307"/>
      <c r="Z109" s="307"/>
    </row>
    <row r="110" spans="1:22" s="308" customFormat="1" ht="12.75" customHeight="1">
      <c r="A110" s="44" t="s">
        <v>661</v>
      </c>
      <c r="B110" s="341">
        <v>0</v>
      </c>
      <c r="C110" s="342">
        <v>0</v>
      </c>
      <c r="D110" s="343">
        <v>0</v>
      </c>
      <c r="E110" s="344">
        <v>0</v>
      </c>
      <c r="F110" s="345">
        <v>0</v>
      </c>
      <c r="G110" s="341">
        <v>7</v>
      </c>
      <c r="H110" s="342">
        <v>37.1</v>
      </c>
      <c r="I110" s="343">
        <v>25.06</v>
      </c>
      <c r="J110" s="344">
        <f>I110/H110</f>
        <v>0.6754716981132075</v>
      </c>
      <c r="K110" s="130"/>
      <c r="L110" s="341">
        <v>6</v>
      </c>
      <c r="M110" s="341">
        <v>4</v>
      </c>
      <c r="N110" s="598">
        <f>M110/L110</f>
        <v>0.6666666666666666</v>
      </c>
      <c r="O110" s="342">
        <v>6</v>
      </c>
      <c r="P110" s="343">
        <v>5.3</v>
      </c>
      <c r="Q110" s="344">
        <f>P110/O110</f>
        <v>0.8833333333333333</v>
      </c>
      <c r="R110" s="130"/>
      <c r="S110" s="341">
        <f>B110+G110+L110</f>
        <v>13</v>
      </c>
      <c r="T110" s="342">
        <f aca="true" t="shared" si="5" ref="T110:U112">C110+H110+O110</f>
        <v>43.1</v>
      </c>
      <c r="U110" s="343">
        <f t="shared" si="5"/>
        <v>30.36</v>
      </c>
      <c r="V110" s="344">
        <f>U110/T110</f>
        <v>0.7044083526682134</v>
      </c>
    </row>
    <row r="111" spans="1:22" s="308" customFormat="1" ht="12.75" customHeight="1">
      <c r="A111" s="40" t="s">
        <v>753</v>
      </c>
      <c r="B111" s="366">
        <v>0</v>
      </c>
      <c r="C111" s="367">
        <v>0</v>
      </c>
      <c r="D111" s="368">
        <v>0</v>
      </c>
      <c r="E111" s="369">
        <v>0</v>
      </c>
      <c r="F111" s="345"/>
      <c r="G111" s="366">
        <v>0</v>
      </c>
      <c r="H111" s="367">
        <v>0</v>
      </c>
      <c r="I111" s="368">
        <v>0</v>
      </c>
      <c r="J111" s="369">
        <v>0</v>
      </c>
      <c r="K111" s="130"/>
      <c r="L111" s="366">
        <v>2</v>
      </c>
      <c r="M111" s="366">
        <v>1</v>
      </c>
      <c r="N111" s="599">
        <f>M111/L111</f>
        <v>0.5</v>
      </c>
      <c r="O111" s="367">
        <v>2</v>
      </c>
      <c r="P111" s="368">
        <v>0.5</v>
      </c>
      <c r="Q111" s="369">
        <f>P111/O111</f>
        <v>0.25</v>
      </c>
      <c r="R111" s="130"/>
      <c r="S111" s="366">
        <f>B111+G111+L111</f>
        <v>2</v>
      </c>
      <c r="T111" s="367">
        <f t="shared" si="5"/>
        <v>2</v>
      </c>
      <c r="U111" s="368">
        <f t="shared" si="5"/>
        <v>0.5</v>
      </c>
      <c r="V111" s="369">
        <f>U111/T111</f>
        <v>0.25</v>
      </c>
    </row>
    <row r="112" spans="1:22" s="308" customFormat="1" ht="12.75" customHeight="1">
      <c r="A112" s="72" t="s">
        <v>754</v>
      </c>
      <c r="B112" s="370">
        <v>0</v>
      </c>
      <c r="C112" s="371">
        <v>0</v>
      </c>
      <c r="D112" s="372">
        <v>0</v>
      </c>
      <c r="E112" s="408">
        <v>0</v>
      </c>
      <c r="F112" s="345"/>
      <c r="G112" s="370">
        <v>0</v>
      </c>
      <c r="H112" s="371">
        <v>0</v>
      </c>
      <c r="I112" s="372">
        <v>0</v>
      </c>
      <c r="J112" s="130">
        <v>0</v>
      </c>
      <c r="K112" s="130"/>
      <c r="L112" s="370">
        <v>4</v>
      </c>
      <c r="M112" s="370">
        <v>4</v>
      </c>
      <c r="N112" s="599">
        <f>M112/L112</f>
        <v>1</v>
      </c>
      <c r="O112" s="371">
        <v>4</v>
      </c>
      <c r="P112" s="372">
        <v>3.88</v>
      </c>
      <c r="Q112" s="130">
        <f>P112/O112</f>
        <v>0.97</v>
      </c>
      <c r="R112" s="130"/>
      <c r="S112" s="370">
        <f>B112+G112+L112</f>
        <v>4</v>
      </c>
      <c r="T112" s="371">
        <f t="shared" si="5"/>
        <v>4</v>
      </c>
      <c r="U112" s="372">
        <f t="shared" si="5"/>
        <v>3.88</v>
      </c>
      <c r="V112" s="130">
        <f>U112/T112</f>
        <v>0.97</v>
      </c>
    </row>
    <row r="113" spans="1:22" s="416" customFormat="1" ht="12.75" customHeight="1">
      <c r="A113" s="309" t="s">
        <v>900</v>
      </c>
      <c r="B113" s="108">
        <f>SUM(B110:B112)</f>
        <v>0</v>
      </c>
      <c r="C113" s="109">
        <f>SUM(C110:C112)</f>
        <v>0</v>
      </c>
      <c r="D113" s="110">
        <f>SUM(D110:D112)</f>
        <v>0</v>
      </c>
      <c r="E113" s="111">
        <v>0</v>
      </c>
      <c r="F113" s="345"/>
      <c r="G113" s="108">
        <f>SUM(G110:G112)</f>
        <v>7</v>
      </c>
      <c r="H113" s="109">
        <f>SUM(H110:H112)</f>
        <v>37.1</v>
      </c>
      <c r="I113" s="110">
        <f>SUM(I110:I112)</f>
        <v>25.06</v>
      </c>
      <c r="J113" s="111">
        <f>I113/H113</f>
        <v>0.6754716981132075</v>
      </c>
      <c r="K113" s="130"/>
      <c r="L113" s="108">
        <f>SUM(L110:L112)</f>
        <v>12</v>
      </c>
      <c r="M113" s="108">
        <f>SUM(M110:M112)</f>
        <v>9</v>
      </c>
      <c r="N113" s="111">
        <f>M113/L113</f>
        <v>0.75</v>
      </c>
      <c r="O113" s="109">
        <f>SUM(O110:O112)</f>
        <v>12</v>
      </c>
      <c r="P113" s="110">
        <f>SUM(P110:P112)</f>
        <v>9.68</v>
      </c>
      <c r="Q113" s="111">
        <f>P113/O113</f>
        <v>0.8066666666666666</v>
      </c>
      <c r="R113" s="423"/>
      <c r="S113" s="108">
        <f>SUM(S110:S112)</f>
        <v>19</v>
      </c>
      <c r="T113" s="109">
        <f>SUM(T110:T112)</f>
        <v>49.1</v>
      </c>
      <c r="U113" s="110">
        <f>SUM(U110:U112)</f>
        <v>34.74</v>
      </c>
      <c r="V113" s="111">
        <f>U113/T113</f>
        <v>0.7075356415478615</v>
      </c>
    </row>
    <row r="114" spans="1:26" s="331" customFormat="1" ht="12.75" customHeight="1">
      <c r="A114" s="325"/>
      <c r="B114" s="556"/>
      <c r="C114" s="556"/>
      <c r="D114" s="556"/>
      <c r="E114" s="556"/>
      <c r="F114" s="556"/>
      <c r="G114" s="556"/>
      <c r="H114" s="556"/>
      <c r="I114" s="556"/>
      <c r="J114" s="557"/>
      <c r="K114" s="558"/>
      <c r="L114" s="556"/>
      <c r="M114" s="556"/>
      <c r="N114" s="556"/>
      <c r="O114" s="556"/>
      <c r="P114" s="98"/>
      <c r="Q114" s="708"/>
      <c r="R114" s="558"/>
      <c r="S114" s="556"/>
      <c r="T114" s="556"/>
      <c r="U114" s="98"/>
      <c r="V114" s="98"/>
      <c r="W114" s="557"/>
      <c r="X114" s="329"/>
      <c r="Y114" s="330"/>
      <c r="Z114" s="330"/>
    </row>
    <row r="115" spans="1:22" s="416" customFormat="1" ht="12.75" customHeight="1">
      <c r="A115" s="428" t="s">
        <v>590</v>
      </c>
      <c r="B115" s="696">
        <f>B12+B17+B23+B27+B35+B41+B48+B52+B56+B63+B67+B71+B75+B79+B83+B87+B91+B95+B102+B107+B113</f>
        <v>125</v>
      </c>
      <c r="C115" s="697">
        <f>C12+C17+C23+C27+C35+C41+C48+C52+C56+C63+C67+C71+C75+C79+C83+C87+C91+C95+C102+C107+C113</f>
        <v>1098.8</v>
      </c>
      <c r="D115" s="698">
        <f>D12+D17+D23+D27+D35+D41+D48+D52+D56+D63+D67+D71+D75+D79+D83+D87+D91+D95+D102+D107+D113</f>
        <v>1116.74</v>
      </c>
      <c r="E115" s="699">
        <f>D115/C115</f>
        <v>1.016326902074991</v>
      </c>
      <c r="F115" s="345"/>
      <c r="G115" s="696">
        <f>G12+G17+G23+G27+G35+G41+G48+G52+G56+G63+G67+G71+G75+G79+G83+G87+G91+G95+G102+G107+G113</f>
        <v>272</v>
      </c>
      <c r="H115" s="697">
        <f>H12+H17+H23+H27+H35+H41+H48+H52+H56+H63+H67+H71+H75+H79+H83+H87+H91+H95+H102+H107+H113</f>
        <v>2423.1</v>
      </c>
      <c r="I115" s="698">
        <f>I12+I17+I23+I27+I35+I41+I48+I52+I56+I63+I67+I71+I75+I79+I83+I87+I91+I95+I102+I107+I113</f>
        <v>1661.79</v>
      </c>
      <c r="J115" s="699">
        <f>I115/H115</f>
        <v>0.6858115636993933</v>
      </c>
      <c r="K115" s="130"/>
      <c r="L115" s="696">
        <f>L12+L17+L23+L27+L35+L41+L48+L52+L56+L63+L67+L71+L75+L79+L83+L87+L91+L95+L102+L107+L113</f>
        <v>97</v>
      </c>
      <c r="M115" s="696">
        <f>M12+M17+M23+M27+M35+M41+M48+M52+M56+M63+M67+M71+M75+M79+M83+M87+M91+M95+M102+M107+M113</f>
        <v>49</v>
      </c>
      <c r="N115" s="699">
        <f>M115/L115</f>
        <v>0.5051546391752577</v>
      </c>
      <c r="O115" s="697">
        <f>O12+O17+O23+O27+O35+O41+O48+O52+O56+O63+O67+O71+O75+O79+O83+O87+O91+O95+O102+O107+O113</f>
        <v>96.5</v>
      </c>
      <c r="P115" s="698">
        <f>P12+P17+P23+P27+P35+P41+P48+P52+P56+P63+P67+P71+P75+P79+P83+P87+P91+P95+P102+P107+P113</f>
        <v>68.48</v>
      </c>
      <c r="Q115" s="699">
        <f>P115/O115</f>
        <v>0.7096373056994819</v>
      </c>
      <c r="R115" s="423"/>
      <c r="S115" s="696">
        <f>B115+G115+L115</f>
        <v>494</v>
      </c>
      <c r="T115" s="697">
        <f>C115+H115+O115</f>
        <v>3618.3999999999996</v>
      </c>
      <c r="U115" s="698">
        <f>D115+I115+P115</f>
        <v>2847.0099999999998</v>
      </c>
      <c r="V115" s="111">
        <f>U115/T115</f>
        <v>0.7868146141941189</v>
      </c>
    </row>
    <row r="116" spans="2:22" ht="12">
      <c r="B116" s="9"/>
      <c r="C116" s="2"/>
      <c r="D116" s="50"/>
      <c r="E116" s="6"/>
      <c r="F116" s="6"/>
      <c r="G116" s="9"/>
      <c r="H116" s="2"/>
      <c r="I116" s="50"/>
      <c r="J116" s="6"/>
      <c r="K116" s="6"/>
      <c r="L116" s="9"/>
      <c r="M116" s="9"/>
      <c r="N116" s="9"/>
      <c r="O116" s="2"/>
      <c r="P116" s="50"/>
      <c r="Q116" s="6"/>
      <c r="R116" s="6"/>
      <c r="S116" s="9"/>
      <c r="T116" s="2"/>
      <c r="U116" s="50"/>
      <c r="V116" s="6"/>
    </row>
    <row r="117" spans="2:22" ht="10.5">
      <c r="B117" s="9"/>
      <c r="C117" s="2"/>
      <c r="D117" s="4"/>
      <c r="E117" s="5"/>
      <c r="F117" s="5"/>
      <c r="G117" s="9"/>
      <c r="H117" s="2"/>
      <c r="I117" s="4"/>
      <c r="J117" s="5"/>
      <c r="K117" s="5"/>
      <c r="L117" s="9"/>
      <c r="M117" s="9"/>
      <c r="N117" s="9"/>
      <c r="O117" s="2"/>
      <c r="P117" s="4"/>
      <c r="Q117" s="5"/>
      <c r="R117" s="5"/>
      <c r="S117" s="9"/>
      <c r="T117" s="2"/>
      <c r="U117" s="4"/>
      <c r="V117" s="5"/>
    </row>
    <row r="118" spans="2:22" ht="10.5">
      <c r="B118" s="9"/>
      <c r="D118" s="4"/>
      <c r="E118" s="5"/>
      <c r="F118" s="5"/>
      <c r="G118" s="9"/>
      <c r="I118" s="4"/>
      <c r="J118" s="5"/>
      <c r="K118" s="5"/>
      <c r="L118" s="9"/>
      <c r="M118" s="9"/>
      <c r="N118" s="9"/>
      <c r="P118" s="4"/>
      <c r="Q118" s="5"/>
      <c r="R118" s="5"/>
      <c r="S118" s="9"/>
      <c r="U118" s="4"/>
      <c r="V118" s="5"/>
    </row>
    <row r="119" spans="2:22" ht="10.5">
      <c r="B119" s="3"/>
      <c r="C119" s="2"/>
      <c r="D119" s="4"/>
      <c r="E119" s="5"/>
      <c r="F119" s="5"/>
      <c r="G119" s="3"/>
      <c r="H119" s="2"/>
      <c r="I119" s="4"/>
      <c r="J119" s="5"/>
      <c r="K119" s="5"/>
      <c r="L119" s="3"/>
      <c r="M119" s="3"/>
      <c r="N119" s="3"/>
      <c r="O119" s="2"/>
      <c r="P119" s="4"/>
      <c r="Q119" s="5"/>
      <c r="R119" s="5"/>
      <c r="S119" s="3"/>
      <c r="T119" s="2"/>
      <c r="U119" s="4"/>
      <c r="V119" s="5"/>
    </row>
    <row r="121" spans="3:22" ht="10.5">
      <c r="C121" s="2"/>
      <c r="D121" s="4"/>
      <c r="E121" s="5"/>
      <c r="F121" s="5"/>
      <c r="H121" s="2"/>
      <c r="I121" s="4"/>
      <c r="J121" s="5"/>
      <c r="K121" s="5"/>
      <c r="O121" s="2"/>
      <c r="P121" s="4"/>
      <c r="Q121" s="5"/>
      <c r="R121" s="5"/>
      <c r="T121" s="2"/>
      <c r="U121" s="4"/>
      <c r="V121" s="5"/>
    </row>
    <row r="122" spans="3:23" ht="10.5">
      <c r="C122" s="2"/>
      <c r="D122" s="4"/>
      <c r="E122" s="5"/>
      <c r="F122" s="5"/>
      <c r="H122" s="2"/>
      <c r="I122" s="4"/>
      <c r="J122" s="5"/>
      <c r="K122" s="5"/>
      <c r="O122" s="2"/>
      <c r="P122" s="4"/>
      <c r="Q122" s="5"/>
      <c r="R122" s="5"/>
      <c r="T122" s="2"/>
      <c r="U122" s="4"/>
      <c r="V122" s="5"/>
      <c r="W122" s="65"/>
    </row>
    <row r="123" spans="3:22" ht="10.5">
      <c r="C123" s="2"/>
      <c r="D123" s="4"/>
      <c r="E123" s="5"/>
      <c r="F123" s="5"/>
      <c r="H123" s="2"/>
      <c r="I123" s="4"/>
      <c r="J123" s="5"/>
      <c r="K123" s="5"/>
      <c r="O123" s="2"/>
      <c r="P123" s="4"/>
      <c r="Q123" s="5"/>
      <c r="R123" s="5"/>
      <c r="T123" s="2"/>
      <c r="U123" s="4"/>
      <c r="V123" s="5"/>
    </row>
    <row r="124" spans="3:22" ht="10.5">
      <c r="C124" s="2"/>
      <c r="D124" s="4"/>
      <c r="E124" s="5"/>
      <c r="F124" s="5"/>
      <c r="H124" s="2"/>
      <c r="I124" s="4"/>
      <c r="J124" s="5"/>
      <c r="K124" s="5"/>
      <c r="O124" s="2"/>
      <c r="P124" s="4"/>
      <c r="Q124" s="5"/>
      <c r="R124" s="5"/>
      <c r="T124" s="2"/>
      <c r="U124" s="4"/>
      <c r="V124" s="5"/>
    </row>
    <row r="125" spans="4:22" ht="10.5">
      <c r="D125" s="4"/>
      <c r="E125" s="5"/>
      <c r="F125" s="5"/>
      <c r="I125" s="4"/>
      <c r="J125" s="5"/>
      <c r="K125" s="5"/>
      <c r="P125" s="4"/>
      <c r="Q125" s="5"/>
      <c r="R125" s="5"/>
      <c r="U125" s="4"/>
      <c r="V125" s="5"/>
    </row>
    <row r="126" spans="2:22" ht="10.5">
      <c r="B126" s="3"/>
      <c r="C126" s="2"/>
      <c r="D126" s="4"/>
      <c r="E126" s="5"/>
      <c r="F126" s="5"/>
      <c r="G126" s="3"/>
      <c r="H126" s="2"/>
      <c r="I126" s="4"/>
      <c r="J126" s="5"/>
      <c r="K126" s="5"/>
      <c r="L126" s="3"/>
      <c r="M126" s="3"/>
      <c r="N126" s="3"/>
      <c r="O126" s="2"/>
      <c r="P126" s="4"/>
      <c r="Q126" s="5"/>
      <c r="R126" s="5"/>
      <c r="S126" s="3"/>
      <c r="T126" s="2"/>
      <c r="U126" s="4"/>
      <c r="V126" s="5"/>
    </row>
  </sheetData>
  <sheetProtection/>
  <mergeCells count="7">
    <mergeCell ref="B6:E6"/>
    <mergeCell ref="G6:J6"/>
    <mergeCell ref="S6:V6"/>
    <mergeCell ref="A1:V1"/>
    <mergeCell ref="A2:V2"/>
    <mergeCell ref="A4:V4"/>
    <mergeCell ref="L6:Q6"/>
  </mergeCells>
  <printOptions horizontalCentered="1"/>
  <pageMargins left="0" right="0" top="1" bottom="0.5" header="0" footer="0.25"/>
  <pageSetup orientation="landscape" r:id="rId1"/>
  <headerFooter alignWithMargins="0">
    <oddHeader>&amp;R
</oddHeader>
    <oddFooter>&amp;L&amp;"Arial,Regular"&amp;8&amp;F&amp;C&amp;"Arial,Regular"&amp;8Page &amp;P of &amp;N&amp;R&amp;"Arial,Regular"&amp;8M. Storms, 17 August 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5"/>
  <sheetViews>
    <sheetView zoomScale="90" zoomScaleNormal="90" zoomScalePageLayoutView="0" workbookViewId="0" topLeftCell="A1">
      <selection activeCell="AA85" sqref="AA85"/>
    </sheetView>
  </sheetViews>
  <sheetFormatPr defaultColWidth="9.00390625" defaultRowHeight="12.75"/>
  <cols>
    <col min="1" max="1" width="12.00390625" style="7" customWidth="1"/>
    <col min="2" max="2" width="4.625" style="1" customWidth="1"/>
    <col min="3" max="3" width="5.625" style="8" customWidth="1"/>
    <col min="4" max="4" width="9.25390625" style="10" customWidth="1"/>
    <col min="5" max="5" width="8.875" style="7" customWidth="1"/>
    <col min="6" max="6" width="3.625" style="9" customWidth="1"/>
    <col min="7" max="7" width="6.75390625" style="756" customWidth="1"/>
    <col min="8" max="8" width="0.875" style="7" customWidth="1"/>
    <col min="9" max="9" width="4.625" style="1" customWidth="1"/>
    <col min="10" max="10" width="6.375" style="8" customWidth="1"/>
    <col min="11" max="11" width="8.625" style="10" customWidth="1"/>
    <col min="12" max="12" width="8.875" style="7" customWidth="1"/>
    <col min="13" max="13" width="5.50390625" style="10" bestFit="1" customWidth="1"/>
    <col min="14" max="14" width="6.875" style="756" customWidth="1"/>
    <col min="15" max="15" width="0.875" style="7" customWidth="1"/>
    <col min="16" max="16" width="4.625" style="1" customWidth="1"/>
    <col min="17" max="17" width="6.375" style="8" customWidth="1"/>
    <col min="18" max="18" width="9.875" style="10" customWidth="1"/>
    <col min="19" max="19" width="10.25390625" style="7" customWidth="1"/>
    <col min="20" max="20" width="3.625" style="9" customWidth="1"/>
    <col min="21" max="21" width="6.75390625" style="756" customWidth="1"/>
    <col min="22" max="22" width="0.875" style="7" customWidth="1"/>
    <col min="23" max="23" width="5.125" style="116" customWidth="1"/>
    <col min="24" max="24" width="4.25390625" style="116" customWidth="1"/>
    <col min="25" max="25" width="5.00390625" style="116" customWidth="1"/>
    <col min="26" max="26" width="5.125" style="116" customWidth="1"/>
    <col min="27" max="27" width="8.50390625" style="9" customWidth="1"/>
    <col min="28" max="16384" width="9.00390625" style="1" customWidth="1"/>
  </cols>
  <sheetData>
    <row r="1" spans="1:27" s="53" customFormat="1" ht="18">
      <c r="A1" s="1158" t="s">
        <v>245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  <c r="O1" s="1158"/>
      <c r="P1" s="1158"/>
      <c r="Q1" s="1158"/>
      <c r="R1" s="1158"/>
      <c r="S1" s="1158"/>
      <c r="T1" s="1158"/>
      <c r="U1" s="1158"/>
      <c r="V1" s="1158"/>
      <c r="W1" s="1158"/>
      <c r="X1" s="1158"/>
      <c r="Y1" s="1158"/>
      <c r="Z1" s="1158"/>
      <c r="AA1" s="1158"/>
    </row>
    <row r="2" spans="1:27" s="53" customFormat="1" ht="18">
      <c r="A2" s="1158" t="s">
        <v>246</v>
      </c>
      <c r="B2" s="1158"/>
      <c r="C2" s="1158"/>
      <c r="D2" s="1158"/>
      <c r="E2" s="1158"/>
      <c r="F2" s="1158"/>
      <c r="G2" s="1158"/>
      <c r="H2" s="1158"/>
      <c r="I2" s="1158"/>
      <c r="J2" s="1158"/>
      <c r="K2" s="1158"/>
      <c r="L2" s="1158"/>
      <c r="M2" s="1158"/>
      <c r="N2" s="1158"/>
      <c r="O2" s="1158"/>
      <c r="P2" s="1158"/>
      <c r="Q2" s="1158"/>
      <c r="R2" s="1158"/>
      <c r="S2" s="1158"/>
      <c r="T2" s="1158"/>
      <c r="U2" s="1158"/>
      <c r="V2" s="1158"/>
      <c r="W2" s="1158"/>
      <c r="X2" s="1158"/>
      <c r="Y2" s="1158"/>
      <c r="Z2" s="1158"/>
      <c r="AA2" s="1158"/>
    </row>
    <row r="3" spans="1:27" s="53" customFormat="1" ht="15" customHeight="1">
      <c r="A3" s="81"/>
      <c r="B3" s="81"/>
      <c r="C3" s="81"/>
      <c r="D3" s="81"/>
      <c r="E3" s="81"/>
      <c r="F3" s="102"/>
      <c r="G3" s="730"/>
      <c r="H3" s="81"/>
      <c r="I3" s="81"/>
      <c r="J3" s="81"/>
      <c r="K3" s="81"/>
      <c r="L3" s="81"/>
      <c r="M3" s="81"/>
      <c r="N3" s="730"/>
      <c r="O3" s="81"/>
      <c r="P3" s="81"/>
      <c r="Q3" s="81"/>
      <c r="R3" s="81"/>
      <c r="S3" s="81"/>
      <c r="T3" s="102"/>
      <c r="U3" s="730"/>
      <c r="V3" s="81"/>
      <c r="W3" s="112"/>
      <c r="X3" s="113"/>
      <c r="Y3" s="113"/>
      <c r="Z3" s="113"/>
      <c r="AA3" s="105"/>
    </row>
    <row r="4" spans="1:27" s="53" customFormat="1" ht="18">
      <c r="A4" s="1159" t="s">
        <v>156</v>
      </c>
      <c r="B4" s="1159"/>
      <c r="C4" s="1159"/>
      <c r="D4" s="1159"/>
      <c r="E4" s="1159"/>
      <c r="F4" s="1159"/>
      <c r="G4" s="1159"/>
      <c r="H4" s="1159"/>
      <c r="I4" s="1159"/>
      <c r="J4" s="1159"/>
      <c r="K4" s="1159"/>
      <c r="L4" s="1159"/>
      <c r="M4" s="1159"/>
      <c r="N4" s="1159"/>
      <c r="O4" s="1159"/>
      <c r="P4" s="1159"/>
      <c r="Q4" s="1159"/>
      <c r="R4" s="1159"/>
      <c r="S4" s="1159"/>
      <c r="T4" s="1159"/>
      <c r="U4" s="1159"/>
      <c r="V4" s="1159"/>
      <c r="W4" s="1159"/>
      <c r="X4" s="1159"/>
      <c r="Y4" s="1159"/>
      <c r="Z4" s="1159"/>
      <c r="AA4" s="1159"/>
    </row>
    <row r="5" spans="3:27" s="20" customFormat="1" ht="9.75" customHeight="1">
      <c r="C5" s="21"/>
      <c r="D5" s="22"/>
      <c r="E5" s="19"/>
      <c r="F5" s="103"/>
      <c r="G5" s="731"/>
      <c r="H5" s="23"/>
      <c r="I5" s="19"/>
      <c r="L5" s="19"/>
      <c r="M5" s="22"/>
      <c r="N5" s="731"/>
      <c r="P5" s="19"/>
      <c r="S5" s="19"/>
      <c r="T5" s="103"/>
      <c r="U5" s="731"/>
      <c r="W5" s="114"/>
      <c r="X5" s="114"/>
      <c r="Y5" s="114"/>
      <c r="Z5" s="114"/>
      <c r="AA5" s="106"/>
    </row>
    <row r="6" spans="1:27" s="119" customFormat="1" ht="12.75" customHeight="1">
      <c r="A6" s="120"/>
      <c r="B6" s="1178" t="s">
        <v>258</v>
      </c>
      <c r="C6" s="1179"/>
      <c r="D6" s="1179"/>
      <c r="E6" s="1179"/>
      <c r="F6" s="1179"/>
      <c r="G6" s="1180"/>
      <c r="H6" s="117"/>
      <c r="I6" s="1178" t="s">
        <v>259</v>
      </c>
      <c r="J6" s="1179"/>
      <c r="K6" s="1179"/>
      <c r="L6" s="1179"/>
      <c r="M6" s="1179"/>
      <c r="N6" s="1180"/>
      <c r="O6" s="118"/>
      <c r="P6" s="1178" t="s">
        <v>260</v>
      </c>
      <c r="Q6" s="1179"/>
      <c r="R6" s="1179"/>
      <c r="S6" s="1179"/>
      <c r="T6" s="1179"/>
      <c r="U6" s="1180"/>
      <c r="V6" s="118"/>
      <c r="W6" s="1190" t="s">
        <v>295</v>
      </c>
      <c r="X6" s="1194"/>
      <c r="Y6" s="1194"/>
      <c r="Z6" s="1194"/>
      <c r="AA6" s="1191"/>
    </row>
    <row r="7" spans="1:27" s="119" customFormat="1" ht="11.25">
      <c r="A7" s="121" t="s">
        <v>293</v>
      </c>
      <c r="B7" s="120" t="s">
        <v>70</v>
      </c>
      <c r="C7" s="122" t="s">
        <v>357</v>
      </c>
      <c r="D7" s="122" t="s">
        <v>357</v>
      </c>
      <c r="E7" s="120" t="s">
        <v>66</v>
      </c>
      <c r="F7" s="1190" t="s">
        <v>263</v>
      </c>
      <c r="G7" s="1191"/>
      <c r="H7" s="117"/>
      <c r="I7" s="120" t="s">
        <v>70</v>
      </c>
      <c r="J7" s="122" t="s">
        <v>357</v>
      </c>
      <c r="K7" s="122" t="s">
        <v>357</v>
      </c>
      <c r="L7" s="120" t="s">
        <v>66</v>
      </c>
      <c r="M7" s="1192" t="s">
        <v>263</v>
      </c>
      <c r="N7" s="1193"/>
      <c r="O7" s="80"/>
      <c r="P7" s="120" t="s">
        <v>70</v>
      </c>
      <c r="Q7" s="122" t="s">
        <v>357</v>
      </c>
      <c r="R7" s="122" t="s">
        <v>357</v>
      </c>
      <c r="S7" s="120" t="s">
        <v>66</v>
      </c>
      <c r="T7" s="1192" t="s">
        <v>263</v>
      </c>
      <c r="U7" s="1193"/>
      <c r="V7" s="384"/>
      <c r="W7" s="385" t="s">
        <v>287</v>
      </c>
      <c r="X7" s="385" t="s">
        <v>70</v>
      </c>
      <c r="Y7" s="385" t="s">
        <v>153</v>
      </c>
      <c r="Z7" s="385" t="s">
        <v>294</v>
      </c>
      <c r="AA7" s="385" t="s">
        <v>66</v>
      </c>
    </row>
    <row r="8" spans="1:27" s="119" customFormat="1" ht="12.75" customHeight="1">
      <c r="A8" s="124" t="s">
        <v>61</v>
      </c>
      <c r="B8" s="124" t="s">
        <v>61</v>
      </c>
      <c r="C8" s="125" t="s">
        <v>65</v>
      </c>
      <c r="D8" s="126" t="s">
        <v>812</v>
      </c>
      <c r="E8" s="126" t="s">
        <v>812</v>
      </c>
      <c r="F8" s="386" t="s">
        <v>261</v>
      </c>
      <c r="G8" s="732" t="s">
        <v>262</v>
      </c>
      <c r="H8" s="117"/>
      <c r="I8" s="124" t="s">
        <v>61</v>
      </c>
      <c r="J8" s="125" t="s">
        <v>65</v>
      </c>
      <c r="K8" s="126" t="s">
        <v>812</v>
      </c>
      <c r="L8" s="126" t="s">
        <v>812</v>
      </c>
      <c r="M8" s="126" t="s">
        <v>261</v>
      </c>
      <c r="N8" s="732" t="s">
        <v>262</v>
      </c>
      <c r="O8" s="80"/>
      <c r="P8" s="124" t="s">
        <v>61</v>
      </c>
      <c r="Q8" s="125" t="s">
        <v>65</v>
      </c>
      <c r="R8" s="126" t="s">
        <v>812</v>
      </c>
      <c r="S8" s="126" t="s">
        <v>812</v>
      </c>
      <c r="T8" s="386" t="s">
        <v>261</v>
      </c>
      <c r="U8" s="732" t="s">
        <v>262</v>
      </c>
      <c r="V8" s="384"/>
      <c r="W8" s="386" t="s">
        <v>64</v>
      </c>
      <c r="X8" s="386" t="s">
        <v>286</v>
      </c>
      <c r="Y8" s="386" t="s">
        <v>286</v>
      </c>
      <c r="Z8" s="386" t="s">
        <v>153</v>
      </c>
      <c r="AA8" s="386" t="s">
        <v>288</v>
      </c>
    </row>
    <row r="9" spans="1:27" s="300" customFormat="1" ht="6" customHeight="1">
      <c r="A9" s="294"/>
      <c r="B9" s="296"/>
      <c r="C9" s="297"/>
      <c r="D9" s="298"/>
      <c r="E9" s="296"/>
      <c r="F9" s="296"/>
      <c r="G9" s="733"/>
      <c r="H9" s="117"/>
      <c r="I9" s="296"/>
      <c r="J9" s="297"/>
      <c r="K9" s="298"/>
      <c r="L9" s="296"/>
      <c r="M9" s="298"/>
      <c r="N9" s="733"/>
      <c r="O9" s="335"/>
      <c r="P9" s="296"/>
      <c r="Q9" s="297"/>
      <c r="R9" s="298"/>
      <c r="S9" s="296"/>
      <c r="T9" s="296"/>
      <c r="U9" s="733"/>
      <c r="V9" s="335"/>
      <c r="W9" s="387"/>
      <c r="X9" s="388"/>
      <c r="Y9" s="388"/>
      <c r="Z9" s="388"/>
      <c r="AA9" s="389"/>
    </row>
    <row r="10" spans="1:27" s="308" customFormat="1" ht="12.75" customHeight="1">
      <c r="A10" s="318" t="s">
        <v>189</v>
      </c>
      <c r="B10" s="501" t="s">
        <v>267</v>
      </c>
      <c r="C10" s="303">
        <v>1</v>
      </c>
      <c r="D10" s="304">
        <v>0.91</v>
      </c>
      <c r="E10" s="504">
        <f aca="true" t="shared" si="0" ref="E10:E15">D10/C10</f>
        <v>0.91</v>
      </c>
      <c r="F10" s="490">
        <f aca="true" t="shared" si="1" ref="F10:F15">G10/14.7</f>
        <v>135.37414965986395</v>
      </c>
      <c r="G10" s="734">
        <v>1990</v>
      </c>
      <c r="H10" s="117"/>
      <c r="I10" s="341"/>
      <c r="J10" s="342"/>
      <c r="K10" s="343"/>
      <c r="L10" s="343"/>
      <c r="M10" s="343"/>
      <c r="N10" s="748"/>
      <c r="O10" s="365"/>
      <c r="P10" s="341"/>
      <c r="Q10" s="342"/>
      <c r="R10" s="343"/>
      <c r="S10" s="343"/>
      <c r="T10" s="341"/>
      <c r="U10" s="748"/>
      <c r="V10" s="391"/>
      <c r="W10" s="502">
        <v>1</v>
      </c>
      <c r="X10" s="302"/>
      <c r="Y10" s="302"/>
      <c r="Z10" s="302">
        <v>1</v>
      </c>
      <c r="AA10" s="1187">
        <f>Z16/W16</f>
        <v>0.3333333333333333</v>
      </c>
    </row>
    <row r="11" spans="1:27" s="308" customFormat="1" ht="12.75" customHeight="1">
      <c r="A11" s="44" t="s">
        <v>185</v>
      </c>
      <c r="B11" s="505" t="s">
        <v>265</v>
      </c>
      <c r="C11" s="319">
        <v>1</v>
      </c>
      <c r="D11" s="320">
        <v>0</v>
      </c>
      <c r="E11" s="506">
        <f t="shared" si="0"/>
        <v>0</v>
      </c>
      <c r="F11" s="97">
        <f t="shared" si="1"/>
        <v>151.70068027210885</v>
      </c>
      <c r="G11" s="735">
        <v>2230</v>
      </c>
      <c r="H11" s="117"/>
      <c r="I11" s="366"/>
      <c r="J11" s="367"/>
      <c r="K11" s="368"/>
      <c r="L11" s="368"/>
      <c r="M11" s="368"/>
      <c r="N11" s="749"/>
      <c r="O11" s="365"/>
      <c r="P11" s="366"/>
      <c r="Q11" s="367"/>
      <c r="R11" s="368"/>
      <c r="S11" s="368"/>
      <c r="T11" s="366"/>
      <c r="U11" s="749"/>
      <c r="V11" s="391"/>
      <c r="W11" s="402">
        <v>1</v>
      </c>
      <c r="X11" s="97"/>
      <c r="Y11" s="97">
        <v>1</v>
      </c>
      <c r="Z11" s="97"/>
      <c r="AA11" s="1188"/>
    </row>
    <row r="12" spans="1:27" s="308" customFormat="1" ht="12.75" customHeight="1">
      <c r="A12" s="485"/>
      <c r="B12" s="97" t="s">
        <v>289</v>
      </c>
      <c r="C12" s="319">
        <v>1</v>
      </c>
      <c r="D12" s="320">
        <v>1.01</v>
      </c>
      <c r="E12" s="506">
        <f t="shared" si="0"/>
        <v>1.01</v>
      </c>
      <c r="F12" s="97">
        <f t="shared" si="1"/>
        <v>253.74149659863946</v>
      </c>
      <c r="G12" s="735">
        <v>3730</v>
      </c>
      <c r="H12" s="117"/>
      <c r="I12" s="366"/>
      <c r="J12" s="367"/>
      <c r="K12" s="368"/>
      <c r="L12" s="368"/>
      <c r="M12" s="368"/>
      <c r="N12" s="749"/>
      <c r="O12" s="365"/>
      <c r="P12" s="366"/>
      <c r="Q12" s="367"/>
      <c r="R12" s="368"/>
      <c r="S12" s="368"/>
      <c r="T12" s="366"/>
      <c r="U12" s="749"/>
      <c r="V12" s="391"/>
      <c r="W12" s="402">
        <v>1</v>
      </c>
      <c r="X12" s="97"/>
      <c r="Y12" s="97"/>
      <c r="Z12" s="97">
        <v>1</v>
      </c>
      <c r="AA12" s="1188"/>
    </row>
    <row r="13" spans="1:27" s="308" customFormat="1" ht="12.75" customHeight="1">
      <c r="A13" s="485"/>
      <c r="B13" s="97" t="s">
        <v>290</v>
      </c>
      <c r="C13" s="319">
        <v>1</v>
      </c>
      <c r="D13" s="320">
        <v>0</v>
      </c>
      <c r="E13" s="506">
        <f t="shared" si="0"/>
        <v>0</v>
      </c>
      <c r="F13" s="97">
        <f t="shared" si="1"/>
        <v>136.73469387755102</v>
      </c>
      <c r="G13" s="735">
        <v>2010</v>
      </c>
      <c r="H13" s="117"/>
      <c r="I13" s="366"/>
      <c r="J13" s="367"/>
      <c r="K13" s="368"/>
      <c r="L13" s="368"/>
      <c r="M13" s="368"/>
      <c r="N13" s="749"/>
      <c r="O13" s="365"/>
      <c r="P13" s="366"/>
      <c r="Q13" s="367"/>
      <c r="R13" s="368"/>
      <c r="S13" s="368"/>
      <c r="T13" s="366"/>
      <c r="U13" s="749"/>
      <c r="V13" s="391"/>
      <c r="W13" s="402">
        <v>1</v>
      </c>
      <c r="X13" s="97"/>
      <c r="Y13" s="97">
        <v>1</v>
      </c>
      <c r="Z13" s="97"/>
      <c r="AA13" s="1188"/>
    </row>
    <row r="14" spans="1:27" s="308" customFormat="1" ht="12.75" customHeight="1">
      <c r="A14" s="485"/>
      <c r="B14" s="97" t="s">
        <v>291</v>
      </c>
      <c r="C14" s="319">
        <v>1</v>
      </c>
      <c r="D14" s="320">
        <v>0</v>
      </c>
      <c r="E14" s="506">
        <f t="shared" si="0"/>
        <v>0</v>
      </c>
      <c r="F14" s="97">
        <f t="shared" si="1"/>
        <v>0</v>
      </c>
      <c r="G14" s="735">
        <v>0</v>
      </c>
      <c r="H14" s="117"/>
      <c r="I14" s="366"/>
      <c r="J14" s="367"/>
      <c r="K14" s="368"/>
      <c r="L14" s="368"/>
      <c r="M14" s="368"/>
      <c r="N14" s="749"/>
      <c r="O14" s="365"/>
      <c r="P14" s="366"/>
      <c r="Q14" s="367"/>
      <c r="R14" s="368"/>
      <c r="S14" s="368"/>
      <c r="T14" s="366"/>
      <c r="U14" s="749"/>
      <c r="V14" s="391"/>
      <c r="W14" s="402">
        <v>1</v>
      </c>
      <c r="X14" s="97"/>
      <c r="Y14" s="97"/>
      <c r="Z14" s="97"/>
      <c r="AA14" s="1188"/>
    </row>
    <row r="15" spans="1:27" s="308" customFormat="1" ht="12.75" customHeight="1">
      <c r="A15" s="485"/>
      <c r="B15" s="475" t="s">
        <v>292</v>
      </c>
      <c r="C15" s="476">
        <v>1</v>
      </c>
      <c r="D15" s="503">
        <v>0</v>
      </c>
      <c r="E15" s="507">
        <f t="shared" si="0"/>
        <v>0</v>
      </c>
      <c r="F15" s="97">
        <f t="shared" si="1"/>
        <v>0</v>
      </c>
      <c r="G15" s="736">
        <v>0</v>
      </c>
      <c r="H15" s="117"/>
      <c r="I15" s="370"/>
      <c r="J15" s="371"/>
      <c r="K15" s="372"/>
      <c r="L15" s="372"/>
      <c r="M15" s="372"/>
      <c r="N15" s="750"/>
      <c r="O15" s="365"/>
      <c r="P15" s="370"/>
      <c r="Q15" s="371"/>
      <c r="R15" s="372"/>
      <c r="S15" s="372"/>
      <c r="T15" s="370"/>
      <c r="U15" s="750"/>
      <c r="V15" s="391"/>
      <c r="W15" s="477">
        <v>1</v>
      </c>
      <c r="X15" s="475"/>
      <c r="Y15" s="475"/>
      <c r="Z15" s="475"/>
      <c r="AA15" s="1188"/>
    </row>
    <row r="16" spans="1:27" s="308" customFormat="1" ht="12.75" customHeight="1">
      <c r="A16" s="392" t="s">
        <v>900</v>
      </c>
      <c r="B16" s="108">
        <v>6</v>
      </c>
      <c r="C16" s="109">
        <f>SUM(C10:C15)</f>
        <v>6</v>
      </c>
      <c r="D16" s="110">
        <f>SUM(D10:D15)</f>
        <v>1.92</v>
      </c>
      <c r="E16" s="111">
        <f>D16/C16</f>
        <v>0.32</v>
      </c>
      <c r="F16" s="108" t="s">
        <v>147</v>
      </c>
      <c r="G16" s="737" t="s">
        <v>147</v>
      </c>
      <c r="H16" s="345"/>
      <c r="I16" s="108"/>
      <c r="J16" s="109"/>
      <c r="K16" s="110"/>
      <c r="L16" s="111"/>
      <c r="M16" s="110"/>
      <c r="N16" s="737"/>
      <c r="O16" s="130"/>
      <c r="P16" s="108"/>
      <c r="Q16" s="109"/>
      <c r="R16" s="110"/>
      <c r="S16" s="111"/>
      <c r="T16" s="108"/>
      <c r="U16" s="737"/>
      <c r="V16" s="131"/>
      <c r="W16" s="108">
        <f>SUM(W10:W15)</f>
        <v>6</v>
      </c>
      <c r="X16" s="108">
        <f>SUM(X10:X15)</f>
        <v>0</v>
      </c>
      <c r="Y16" s="108">
        <f>SUM(Y10:Y15)</f>
        <v>2</v>
      </c>
      <c r="Z16" s="108">
        <f>SUM(Z10:Z15)</f>
        <v>2</v>
      </c>
      <c r="AA16" s="1189"/>
    </row>
    <row r="17" spans="1:27" s="308" customFormat="1" ht="6" customHeight="1">
      <c r="A17" s="352"/>
      <c r="B17" s="352"/>
      <c r="C17" s="352"/>
      <c r="D17" s="352"/>
      <c r="E17" s="352"/>
      <c r="F17" s="393"/>
      <c r="G17" s="738"/>
      <c r="H17" s="352"/>
      <c r="I17" s="352"/>
      <c r="J17" s="352"/>
      <c r="K17" s="352"/>
      <c r="L17" s="352"/>
      <c r="M17" s="352"/>
      <c r="N17" s="738"/>
      <c r="O17" s="353"/>
      <c r="P17" s="352"/>
      <c r="Q17" s="352"/>
      <c r="R17" s="352"/>
      <c r="S17" s="352"/>
      <c r="T17" s="393"/>
      <c r="U17" s="738"/>
      <c r="V17" s="353"/>
      <c r="W17" s="394"/>
      <c r="X17" s="395"/>
      <c r="Y17" s="395"/>
      <c r="Z17" s="395"/>
      <c r="AA17" s="396"/>
    </row>
    <row r="18" spans="1:27" s="416" customFormat="1" ht="12.75" customHeight="1">
      <c r="A18" s="318" t="s">
        <v>206</v>
      </c>
      <c r="B18" s="508" t="s">
        <v>430</v>
      </c>
      <c r="C18" s="491">
        <v>1</v>
      </c>
      <c r="D18" s="492">
        <v>0.95</v>
      </c>
      <c r="E18" s="509">
        <f aca="true" t="shared" si="2" ref="E18:E24">D18/C18</f>
        <v>0.95</v>
      </c>
      <c r="F18" s="490">
        <v>69</v>
      </c>
      <c r="G18" s="739">
        <f>F18*14.7</f>
        <v>1014.3</v>
      </c>
      <c r="H18" s="345"/>
      <c r="I18" s="490" t="s">
        <v>434</v>
      </c>
      <c r="J18" s="491">
        <v>1</v>
      </c>
      <c r="K18" s="492">
        <v>0.88</v>
      </c>
      <c r="L18" s="509">
        <f>K18/J18</f>
        <v>0.88</v>
      </c>
      <c r="M18" s="490">
        <v>105</v>
      </c>
      <c r="N18" s="739">
        <f>M18*14.7</f>
        <v>1543.5</v>
      </c>
      <c r="O18" s="130"/>
      <c r="P18" s="490" t="s">
        <v>435</v>
      </c>
      <c r="Q18" s="491">
        <v>1</v>
      </c>
      <c r="R18" s="492">
        <v>0</v>
      </c>
      <c r="S18" s="492">
        <v>0</v>
      </c>
      <c r="T18" s="490">
        <v>0</v>
      </c>
      <c r="U18" s="739">
        <v>0</v>
      </c>
      <c r="V18" s="131"/>
      <c r="W18" s="494">
        <v>3</v>
      </c>
      <c r="X18" s="490"/>
      <c r="Y18" s="490"/>
      <c r="Z18" s="517">
        <v>2</v>
      </c>
      <c r="AA18" s="1181">
        <f>Z24/W24</f>
        <v>0.25</v>
      </c>
    </row>
    <row r="19" spans="1:27" s="416" customFormat="1" ht="12.75" customHeight="1">
      <c r="A19" s="44" t="s">
        <v>198</v>
      </c>
      <c r="B19" s="505" t="s">
        <v>433</v>
      </c>
      <c r="C19" s="319">
        <v>1</v>
      </c>
      <c r="D19" s="320">
        <v>0.8</v>
      </c>
      <c r="E19" s="506">
        <f t="shared" si="2"/>
        <v>0.8</v>
      </c>
      <c r="F19" s="97">
        <v>0</v>
      </c>
      <c r="G19" s="735">
        <f>F19*14.7</f>
        <v>0</v>
      </c>
      <c r="H19" s="345"/>
      <c r="I19" s="97"/>
      <c r="J19" s="319"/>
      <c r="K19" s="320"/>
      <c r="L19" s="506"/>
      <c r="M19" s="320"/>
      <c r="N19" s="735"/>
      <c r="O19" s="130"/>
      <c r="P19" s="97"/>
      <c r="Q19" s="319"/>
      <c r="R19" s="320"/>
      <c r="S19" s="320"/>
      <c r="T19" s="97"/>
      <c r="U19" s="735"/>
      <c r="V19" s="131"/>
      <c r="W19" s="402">
        <v>1</v>
      </c>
      <c r="X19" s="97">
        <v>1</v>
      </c>
      <c r="Y19" s="97"/>
      <c r="Z19" s="518"/>
      <c r="AA19" s="1182"/>
    </row>
    <row r="20" spans="1:27" s="416" customFormat="1" ht="12.75" customHeight="1">
      <c r="A20" s="72"/>
      <c r="B20" s="510" t="s">
        <v>437</v>
      </c>
      <c r="C20" s="511">
        <v>1</v>
      </c>
      <c r="D20" s="512">
        <v>1</v>
      </c>
      <c r="E20" s="513">
        <f t="shared" si="2"/>
        <v>1</v>
      </c>
      <c r="F20" s="510">
        <v>0</v>
      </c>
      <c r="G20" s="740">
        <f>F20*14.7</f>
        <v>0</v>
      </c>
      <c r="H20" s="345"/>
      <c r="I20" s="510"/>
      <c r="J20" s="511"/>
      <c r="K20" s="512"/>
      <c r="L20" s="513"/>
      <c r="M20" s="512"/>
      <c r="N20" s="740"/>
      <c r="O20" s="130"/>
      <c r="P20" s="510"/>
      <c r="Q20" s="511"/>
      <c r="R20" s="512"/>
      <c r="S20" s="512"/>
      <c r="T20" s="510"/>
      <c r="U20" s="740"/>
      <c r="V20" s="131"/>
      <c r="W20" s="514">
        <v>1</v>
      </c>
      <c r="X20" s="510">
        <v>1</v>
      </c>
      <c r="Y20" s="510"/>
      <c r="Z20" s="519"/>
      <c r="AA20" s="1182"/>
    </row>
    <row r="21" spans="1:27" s="416" customFormat="1" ht="12.75" customHeight="1">
      <c r="A21" s="44" t="s">
        <v>199</v>
      </c>
      <c r="B21" s="490" t="s">
        <v>436</v>
      </c>
      <c r="C21" s="491">
        <v>1</v>
      </c>
      <c r="D21" s="492">
        <v>0.97</v>
      </c>
      <c r="E21" s="509">
        <f t="shared" si="2"/>
        <v>0.97</v>
      </c>
      <c r="F21" s="490">
        <v>0</v>
      </c>
      <c r="G21" s="739">
        <v>0</v>
      </c>
      <c r="H21" s="345"/>
      <c r="I21" s="490" t="s">
        <v>320</v>
      </c>
      <c r="J21" s="491">
        <v>1</v>
      </c>
      <c r="K21" s="492">
        <v>0.87</v>
      </c>
      <c r="L21" s="509">
        <f>K21/J21</f>
        <v>0.87</v>
      </c>
      <c r="M21" s="490">
        <v>0</v>
      </c>
      <c r="N21" s="739">
        <v>0</v>
      </c>
      <c r="O21" s="130"/>
      <c r="P21" s="490" t="s">
        <v>321</v>
      </c>
      <c r="Q21" s="491">
        <v>1</v>
      </c>
      <c r="R21" s="492">
        <v>0.56</v>
      </c>
      <c r="S21" s="509">
        <f>R21/Q21</f>
        <v>0.56</v>
      </c>
      <c r="T21" s="490">
        <v>0</v>
      </c>
      <c r="U21" s="739">
        <v>0</v>
      </c>
      <c r="V21" s="131"/>
      <c r="W21" s="494">
        <v>3</v>
      </c>
      <c r="X21" s="490">
        <v>3</v>
      </c>
      <c r="Y21" s="490"/>
      <c r="Z21" s="490"/>
      <c r="AA21" s="1182"/>
    </row>
    <row r="22" spans="1:27" s="416" customFormat="1" ht="12.75" customHeight="1">
      <c r="A22" s="242"/>
      <c r="B22" s="97" t="s">
        <v>322</v>
      </c>
      <c r="C22" s="319">
        <v>1</v>
      </c>
      <c r="D22" s="320">
        <v>0.95</v>
      </c>
      <c r="E22" s="506">
        <f t="shared" si="2"/>
        <v>0.95</v>
      </c>
      <c r="F22" s="97">
        <v>120</v>
      </c>
      <c r="G22" s="735">
        <f>F22*14.7</f>
        <v>1764</v>
      </c>
      <c r="H22" s="422"/>
      <c r="I22" s="97" t="s">
        <v>275</v>
      </c>
      <c r="J22" s="319">
        <v>1</v>
      </c>
      <c r="K22" s="320">
        <v>0</v>
      </c>
      <c r="L22" s="506">
        <v>0</v>
      </c>
      <c r="M22" s="97">
        <v>0</v>
      </c>
      <c r="N22" s="735">
        <v>0</v>
      </c>
      <c r="O22" s="130"/>
      <c r="P22" s="97"/>
      <c r="Q22" s="319"/>
      <c r="R22" s="320"/>
      <c r="S22" s="320"/>
      <c r="T22" s="97"/>
      <c r="U22" s="735"/>
      <c r="V22" s="131"/>
      <c r="W22" s="514">
        <v>2</v>
      </c>
      <c r="X22" s="510"/>
      <c r="Y22" s="510"/>
      <c r="Z22" s="519">
        <v>1</v>
      </c>
      <c r="AA22" s="1182"/>
    </row>
    <row r="23" spans="1:27" s="416" customFormat="1" ht="12.75" customHeight="1">
      <c r="A23" s="433"/>
      <c r="B23" s="97" t="s">
        <v>264</v>
      </c>
      <c r="C23" s="319">
        <v>1</v>
      </c>
      <c r="D23" s="320">
        <v>0.94</v>
      </c>
      <c r="E23" s="506">
        <f t="shared" si="2"/>
        <v>0.94</v>
      </c>
      <c r="F23" s="97">
        <v>0</v>
      </c>
      <c r="G23" s="735">
        <f>F23*14.7</f>
        <v>0</v>
      </c>
      <c r="H23" s="345"/>
      <c r="I23" s="97" t="s">
        <v>282</v>
      </c>
      <c r="J23" s="319">
        <v>1</v>
      </c>
      <c r="K23" s="320">
        <v>0.85</v>
      </c>
      <c r="L23" s="506">
        <f>K23/J23</f>
        <v>0.85</v>
      </c>
      <c r="M23" s="97">
        <v>0</v>
      </c>
      <c r="N23" s="735">
        <v>0</v>
      </c>
      <c r="O23" s="423"/>
      <c r="P23" s="515"/>
      <c r="Q23" s="445"/>
      <c r="R23" s="516"/>
      <c r="S23" s="516"/>
      <c r="T23" s="515"/>
      <c r="U23" s="757"/>
      <c r="V23" s="424"/>
      <c r="W23" s="514">
        <v>2</v>
      </c>
      <c r="X23" s="510">
        <v>2</v>
      </c>
      <c r="Y23" s="520"/>
      <c r="Z23" s="521"/>
      <c r="AA23" s="1182"/>
    </row>
    <row r="24" spans="1:27" s="416" customFormat="1" ht="12.75" customHeight="1">
      <c r="A24" s="392" t="s">
        <v>900</v>
      </c>
      <c r="B24" s="108">
        <v>6</v>
      </c>
      <c r="C24" s="109">
        <f>SUM(C18:C23)</f>
        <v>6</v>
      </c>
      <c r="D24" s="110">
        <f>SUM(D18:D23)</f>
        <v>5.609999999999999</v>
      </c>
      <c r="E24" s="111">
        <f t="shared" si="2"/>
        <v>0.9349999999999999</v>
      </c>
      <c r="F24" s="108" t="s">
        <v>147</v>
      </c>
      <c r="G24" s="737" t="s">
        <v>147</v>
      </c>
      <c r="H24" s="422"/>
      <c r="I24" s="108">
        <v>4</v>
      </c>
      <c r="J24" s="109">
        <f>SUM(J18:J23)</f>
        <v>4</v>
      </c>
      <c r="K24" s="110">
        <f>SUM(K18:K23)</f>
        <v>2.6</v>
      </c>
      <c r="L24" s="111">
        <f>K24/J24</f>
        <v>0.65</v>
      </c>
      <c r="M24" s="108" t="s">
        <v>147</v>
      </c>
      <c r="N24" s="737" t="s">
        <v>147</v>
      </c>
      <c r="O24" s="423"/>
      <c r="P24" s="108">
        <v>2</v>
      </c>
      <c r="Q24" s="109">
        <f>SUM(Q18:Q23)</f>
        <v>2</v>
      </c>
      <c r="R24" s="110">
        <f>SUM(R18:R23)</f>
        <v>0.56</v>
      </c>
      <c r="S24" s="111">
        <f>R24/Q24</f>
        <v>0.28</v>
      </c>
      <c r="T24" s="108" t="s">
        <v>147</v>
      </c>
      <c r="U24" s="737" t="s">
        <v>147</v>
      </c>
      <c r="V24" s="131"/>
      <c r="W24" s="108">
        <f>SUM(W18:W23)</f>
        <v>12</v>
      </c>
      <c r="X24" s="108">
        <f>SUM(X18:X23)</f>
        <v>7</v>
      </c>
      <c r="Y24" s="108">
        <f>SUM(Y18:Y23)</f>
        <v>0</v>
      </c>
      <c r="Z24" s="108">
        <f>SUM(Z18:Z23)</f>
        <v>3</v>
      </c>
      <c r="AA24" s="1183"/>
    </row>
    <row r="25" spans="1:27" s="308" customFormat="1" ht="6" customHeight="1">
      <c r="A25" s="352"/>
      <c r="B25" s="352"/>
      <c r="C25" s="352"/>
      <c r="D25" s="352"/>
      <c r="E25" s="352"/>
      <c r="F25" s="393"/>
      <c r="G25" s="738"/>
      <c r="H25" s="352"/>
      <c r="I25" s="352"/>
      <c r="J25" s="352"/>
      <c r="K25" s="352"/>
      <c r="L25" s="352"/>
      <c r="M25" s="352"/>
      <c r="N25" s="738"/>
      <c r="O25" s="353"/>
      <c r="P25" s="352"/>
      <c r="Q25" s="352"/>
      <c r="R25" s="352"/>
      <c r="S25" s="352"/>
      <c r="T25" s="393"/>
      <c r="U25" s="738"/>
      <c r="V25" s="353"/>
      <c r="W25" s="394"/>
      <c r="X25" s="395"/>
      <c r="Y25" s="395"/>
      <c r="Z25" s="395"/>
      <c r="AA25" s="400"/>
    </row>
    <row r="26" spans="1:27" s="308" customFormat="1" ht="12.75" customHeight="1">
      <c r="A26" s="318" t="s">
        <v>184</v>
      </c>
      <c r="B26" s="508" t="s">
        <v>264</v>
      </c>
      <c r="C26" s="491">
        <v>1</v>
      </c>
      <c r="D26" s="492">
        <v>0.36</v>
      </c>
      <c r="E26" s="493">
        <f aca="true" t="shared" si="3" ref="E26:E31">D26/C26</f>
        <v>0.36</v>
      </c>
      <c r="F26" s="490">
        <v>29</v>
      </c>
      <c r="G26" s="739">
        <f aca="true" t="shared" si="4" ref="G26:G31">F26*14.7</f>
        <v>426.29999999999995</v>
      </c>
      <c r="H26" s="345"/>
      <c r="I26" s="490"/>
      <c r="J26" s="491"/>
      <c r="K26" s="492"/>
      <c r="L26" s="493"/>
      <c r="M26" s="493"/>
      <c r="N26" s="739"/>
      <c r="O26" s="344"/>
      <c r="P26" s="490"/>
      <c r="Q26" s="491"/>
      <c r="R26" s="492"/>
      <c r="S26" s="493"/>
      <c r="T26" s="494"/>
      <c r="U26" s="739"/>
      <c r="V26" s="131"/>
      <c r="W26" s="494">
        <v>1</v>
      </c>
      <c r="X26" s="490"/>
      <c r="Y26" s="490"/>
      <c r="Z26" s="490">
        <v>1</v>
      </c>
      <c r="AA26" s="1184">
        <f>Z32/W32</f>
        <v>0.7</v>
      </c>
    </row>
    <row r="27" spans="1:27" s="308" customFormat="1" ht="12.75" customHeight="1">
      <c r="A27" s="428" t="s">
        <v>200</v>
      </c>
      <c r="B27" s="530" t="s">
        <v>265</v>
      </c>
      <c r="C27" s="496">
        <v>1</v>
      </c>
      <c r="D27" s="497">
        <v>0.85</v>
      </c>
      <c r="E27" s="498">
        <f t="shared" si="3"/>
        <v>0.85</v>
      </c>
      <c r="F27" s="495">
        <v>48</v>
      </c>
      <c r="G27" s="741">
        <f t="shared" si="4"/>
        <v>705.5999999999999</v>
      </c>
      <c r="H27" s="345"/>
      <c r="I27" s="495"/>
      <c r="J27" s="496"/>
      <c r="K27" s="497"/>
      <c r="L27" s="498"/>
      <c r="M27" s="498"/>
      <c r="N27" s="741"/>
      <c r="O27" s="408"/>
      <c r="P27" s="495"/>
      <c r="Q27" s="496"/>
      <c r="R27" s="497"/>
      <c r="S27" s="498"/>
      <c r="T27" s="499"/>
      <c r="U27" s="741"/>
      <c r="V27" s="131"/>
      <c r="W27" s="499">
        <v>1</v>
      </c>
      <c r="X27" s="495"/>
      <c r="Y27" s="495"/>
      <c r="Z27" s="495">
        <v>1</v>
      </c>
      <c r="AA27" s="1185"/>
    </row>
    <row r="28" spans="1:27" s="308" customFormat="1" ht="12.75" customHeight="1">
      <c r="A28" s="72" t="s">
        <v>201</v>
      </c>
      <c r="B28" s="362" t="s">
        <v>266</v>
      </c>
      <c r="C28" s="363">
        <v>1</v>
      </c>
      <c r="D28" s="364">
        <v>0</v>
      </c>
      <c r="E28" s="522">
        <f t="shared" si="3"/>
        <v>0</v>
      </c>
      <c r="F28" s="362">
        <v>0</v>
      </c>
      <c r="G28" s="742">
        <f t="shared" si="4"/>
        <v>0</v>
      </c>
      <c r="H28" s="345"/>
      <c r="I28" s="362" t="s">
        <v>269</v>
      </c>
      <c r="J28" s="363">
        <v>1</v>
      </c>
      <c r="K28" s="364">
        <v>0.88</v>
      </c>
      <c r="L28" s="522">
        <f>K28/J28</f>
        <v>0.88</v>
      </c>
      <c r="M28" s="475">
        <f>N28/14.7</f>
        <v>108.843537414966</v>
      </c>
      <c r="N28" s="736">
        <v>1600</v>
      </c>
      <c r="O28" s="130"/>
      <c r="P28" s="362" t="s">
        <v>271</v>
      </c>
      <c r="Q28" s="363">
        <v>1</v>
      </c>
      <c r="R28" s="503">
        <v>0.24</v>
      </c>
      <c r="S28" s="522">
        <f>R28/Q28</f>
        <v>0.24</v>
      </c>
      <c r="T28" s="475">
        <v>0</v>
      </c>
      <c r="U28" s="736">
        <v>0</v>
      </c>
      <c r="V28" s="131"/>
      <c r="W28" s="523">
        <v>3</v>
      </c>
      <c r="X28" s="362">
        <v>1</v>
      </c>
      <c r="Y28" s="362"/>
      <c r="Z28" s="526">
        <v>1</v>
      </c>
      <c r="AA28" s="1185"/>
    </row>
    <row r="29" spans="1:27" s="308" customFormat="1" ht="12.75" customHeight="1">
      <c r="A29" s="72"/>
      <c r="B29" s="97" t="s">
        <v>267</v>
      </c>
      <c r="C29" s="319">
        <v>1</v>
      </c>
      <c r="D29" s="320">
        <v>1</v>
      </c>
      <c r="E29" s="321">
        <f t="shared" si="3"/>
        <v>1</v>
      </c>
      <c r="F29" s="97">
        <v>41</v>
      </c>
      <c r="G29" s="735">
        <f t="shared" si="4"/>
        <v>602.6999999999999</v>
      </c>
      <c r="H29" s="345"/>
      <c r="I29" s="97" t="s">
        <v>270</v>
      </c>
      <c r="J29" s="319">
        <v>1</v>
      </c>
      <c r="K29" s="320">
        <v>0.88</v>
      </c>
      <c r="L29" s="524">
        <f>K29/J29</f>
        <v>0.88</v>
      </c>
      <c r="M29" s="97">
        <v>100</v>
      </c>
      <c r="N29" s="735">
        <f>M29*14.7</f>
        <v>1470</v>
      </c>
      <c r="O29" s="403"/>
      <c r="P29" s="97" t="s">
        <v>272</v>
      </c>
      <c r="Q29" s="525">
        <v>1</v>
      </c>
      <c r="R29" s="320">
        <v>0.55</v>
      </c>
      <c r="S29" s="524">
        <f>R29/Q29</f>
        <v>0.55</v>
      </c>
      <c r="T29" s="97">
        <v>100</v>
      </c>
      <c r="U29" s="735">
        <f>T29*14.7</f>
        <v>1470</v>
      </c>
      <c r="V29" s="334"/>
      <c r="W29" s="402">
        <v>3</v>
      </c>
      <c r="X29" s="97"/>
      <c r="Y29" s="97"/>
      <c r="Z29" s="518">
        <v>3</v>
      </c>
      <c r="AA29" s="1185"/>
    </row>
    <row r="30" spans="1:27" s="308" customFormat="1" ht="12.75" customHeight="1">
      <c r="A30" s="72"/>
      <c r="B30" s="97" t="s">
        <v>268</v>
      </c>
      <c r="C30" s="319">
        <v>1</v>
      </c>
      <c r="D30" s="320">
        <v>0</v>
      </c>
      <c r="E30" s="321">
        <f t="shared" si="3"/>
        <v>0</v>
      </c>
      <c r="F30" s="97">
        <v>0</v>
      </c>
      <c r="G30" s="735">
        <f t="shared" si="4"/>
        <v>0</v>
      </c>
      <c r="H30" s="345"/>
      <c r="I30" s="97"/>
      <c r="J30" s="319"/>
      <c r="K30" s="320"/>
      <c r="L30" s="321"/>
      <c r="M30" s="364"/>
      <c r="N30" s="742"/>
      <c r="O30" s="130"/>
      <c r="P30" s="97"/>
      <c r="Q30" s="319"/>
      <c r="R30" s="364"/>
      <c r="S30" s="522"/>
      <c r="T30" s="362"/>
      <c r="U30" s="742"/>
      <c r="V30" s="131"/>
      <c r="W30" s="402">
        <v>1</v>
      </c>
      <c r="X30" s="97"/>
      <c r="Y30" s="97"/>
      <c r="Z30" s="518"/>
      <c r="AA30" s="1185"/>
    </row>
    <row r="31" spans="1:27" s="308" customFormat="1" ht="12.75" customHeight="1">
      <c r="A31" s="211"/>
      <c r="B31" s="97" t="s">
        <v>265</v>
      </c>
      <c r="C31" s="319">
        <v>1</v>
      </c>
      <c r="D31" s="320">
        <v>1</v>
      </c>
      <c r="E31" s="321">
        <f t="shared" si="3"/>
        <v>1</v>
      </c>
      <c r="F31" s="97">
        <v>7</v>
      </c>
      <c r="G31" s="735">
        <f t="shared" si="4"/>
        <v>102.89999999999999</v>
      </c>
      <c r="H31" s="345"/>
      <c r="I31" s="97"/>
      <c r="J31" s="319"/>
      <c r="K31" s="320"/>
      <c r="L31" s="321"/>
      <c r="M31" s="320"/>
      <c r="N31" s="735"/>
      <c r="O31" s="130"/>
      <c r="P31" s="97"/>
      <c r="Q31" s="319"/>
      <c r="R31" s="320"/>
      <c r="S31" s="321"/>
      <c r="T31" s="97"/>
      <c r="U31" s="735"/>
      <c r="V31" s="131"/>
      <c r="W31" s="402">
        <v>1</v>
      </c>
      <c r="X31" s="97"/>
      <c r="Y31" s="97"/>
      <c r="Z31" s="518">
        <v>1</v>
      </c>
      <c r="AA31" s="1185"/>
    </row>
    <row r="32" spans="1:27" s="308" customFormat="1" ht="12.75" customHeight="1">
      <c r="A32" s="392" t="s">
        <v>900</v>
      </c>
      <c r="B32" s="108">
        <v>6</v>
      </c>
      <c r="C32" s="109">
        <f>SUM(C26:C31)</f>
        <v>6</v>
      </c>
      <c r="D32" s="110">
        <f>SUM(D26:D31)</f>
        <v>3.21</v>
      </c>
      <c r="E32" s="111">
        <f>D32/C32</f>
        <v>0.535</v>
      </c>
      <c r="F32" s="108" t="s">
        <v>147</v>
      </c>
      <c r="G32" s="737" t="s">
        <v>147</v>
      </c>
      <c r="H32" s="117"/>
      <c r="I32" s="108">
        <v>2</v>
      </c>
      <c r="J32" s="109">
        <f>SUM(J26:J31)</f>
        <v>2</v>
      </c>
      <c r="K32" s="110">
        <f>SUM(K26:K31)</f>
        <v>1.76</v>
      </c>
      <c r="L32" s="111">
        <f>K32/J32</f>
        <v>0.88</v>
      </c>
      <c r="M32" s="108" t="s">
        <v>147</v>
      </c>
      <c r="N32" s="737" t="s">
        <v>147</v>
      </c>
      <c r="O32" s="130"/>
      <c r="P32" s="108">
        <v>2</v>
      </c>
      <c r="Q32" s="109">
        <f>SUM(Q26:Q31)</f>
        <v>2</v>
      </c>
      <c r="R32" s="110">
        <f>SUM(R26:R31)</f>
        <v>0.79</v>
      </c>
      <c r="S32" s="111">
        <f>R32/Q32</f>
        <v>0.395</v>
      </c>
      <c r="T32" s="108" t="s">
        <v>147</v>
      </c>
      <c r="U32" s="737" t="s">
        <v>147</v>
      </c>
      <c r="V32" s="131"/>
      <c r="W32" s="108">
        <f>SUM(W26:W31)</f>
        <v>10</v>
      </c>
      <c r="X32" s="108">
        <f>SUM(X26:X31)</f>
        <v>1</v>
      </c>
      <c r="Y32" s="108">
        <f>SUM(Y26:Y31)</f>
        <v>0</v>
      </c>
      <c r="Z32" s="405">
        <f>SUM(Z26:Z31)</f>
        <v>7</v>
      </c>
      <c r="AA32" s="1186"/>
    </row>
    <row r="33" spans="1:27" s="308" customFormat="1" ht="6" customHeight="1">
      <c r="A33" s="352"/>
      <c r="B33" s="352"/>
      <c r="C33" s="352"/>
      <c r="D33" s="352"/>
      <c r="E33" s="352"/>
      <c r="F33" s="393"/>
      <c r="G33" s="738"/>
      <c r="H33" s="352"/>
      <c r="I33" s="352"/>
      <c r="J33" s="352"/>
      <c r="K33" s="352"/>
      <c r="L33" s="352"/>
      <c r="M33" s="352"/>
      <c r="N33" s="738"/>
      <c r="O33" s="353"/>
      <c r="P33" s="352"/>
      <c r="Q33" s="352"/>
      <c r="R33" s="352"/>
      <c r="S33" s="352"/>
      <c r="T33" s="393"/>
      <c r="U33" s="738"/>
      <c r="V33" s="353"/>
      <c r="W33" s="394"/>
      <c r="X33" s="395"/>
      <c r="Y33" s="395"/>
      <c r="Z33" s="395"/>
      <c r="AA33" s="400"/>
    </row>
    <row r="34" spans="1:27" s="308" customFormat="1" ht="12.75" customHeight="1">
      <c r="A34" s="318" t="s">
        <v>223</v>
      </c>
      <c r="B34" s="508" t="s">
        <v>323</v>
      </c>
      <c r="C34" s="491">
        <v>1</v>
      </c>
      <c r="D34" s="492">
        <v>0.89</v>
      </c>
      <c r="E34" s="493">
        <f>D34/C34</f>
        <v>0.89</v>
      </c>
      <c r="F34" s="490">
        <v>91</v>
      </c>
      <c r="G34" s="739">
        <f>F34*14.7</f>
        <v>1337.7</v>
      </c>
      <c r="H34" s="345"/>
      <c r="I34" s="490" t="s">
        <v>501</v>
      </c>
      <c r="J34" s="491">
        <v>1</v>
      </c>
      <c r="K34" s="492">
        <v>0.9</v>
      </c>
      <c r="L34" s="493">
        <f>K34/J34</f>
        <v>0.9</v>
      </c>
      <c r="M34" s="490">
        <v>0</v>
      </c>
      <c r="N34" s="739">
        <v>0</v>
      </c>
      <c r="O34" s="130"/>
      <c r="P34" s="490" t="s">
        <v>285</v>
      </c>
      <c r="Q34" s="491">
        <v>1</v>
      </c>
      <c r="R34" s="492">
        <v>0.79</v>
      </c>
      <c r="S34" s="493">
        <f>R34/Q34</f>
        <v>0.79</v>
      </c>
      <c r="T34" s="490">
        <v>30</v>
      </c>
      <c r="U34" s="739">
        <f>T34*14.7</f>
        <v>441</v>
      </c>
      <c r="V34" s="131"/>
      <c r="W34" s="494">
        <v>3</v>
      </c>
      <c r="X34" s="490">
        <v>1</v>
      </c>
      <c r="Y34" s="490"/>
      <c r="Z34" s="517">
        <v>2</v>
      </c>
      <c r="AA34" s="1181">
        <f>Z37/W37</f>
        <v>0.5714285714285714</v>
      </c>
    </row>
    <row r="35" spans="1:27" s="308" customFormat="1" ht="12.75" customHeight="1">
      <c r="A35" s="44" t="s">
        <v>202</v>
      </c>
      <c r="B35" s="505" t="s">
        <v>503</v>
      </c>
      <c r="C35" s="319">
        <v>1</v>
      </c>
      <c r="D35" s="320">
        <v>1.2</v>
      </c>
      <c r="E35" s="321">
        <f>D35/C35</f>
        <v>1.2</v>
      </c>
      <c r="F35" s="97">
        <v>100</v>
      </c>
      <c r="G35" s="735">
        <f>F35*14.7</f>
        <v>1470</v>
      </c>
      <c r="H35" s="345"/>
      <c r="I35" s="97" t="s">
        <v>502</v>
      </c>
      <c r="J35" s="319">
        <v>1</v>
      </c>
      <c r="K35" s="320">
        <v>0.8</v>
      </c>
      <c r="L35" s="321">
        <f>K35/J35</f>
        <v>0.8</v>
      </c>
      <c r="M35" s="97">
        <v>0</v>
      </c>
      <c r="N35" s="735">
        <v>0</v>
      </c>
      <c r="O35" s="130"/>
      <c r="P35" s="97"/>
      <c r="Q35" s="319"/>
      <c r="R35" s="320"/>
      <c r="S35" s="321"/>
      <c r="T35" s="97"/>
      <c r="U35" s="735"/>
      <c r="V35" s="131"/>
      <c r="W35" s="402">
        <v>2</v>
      </c>
      <c r="X35" s="97">
        <v>1</v>
      </c>
      <c r="Y35" s="97"/>
      <c r="Z35" s="97">
        <v>1</v>
      </c>
      <c r="AA35" s="1182"/>
    </row>
    <row r="36" spans="1:27" s="308" customFormat="1" ht="12.75" customHeight="1">
      <c r="A36" s="72"/>
      <c r="B36" s="475" t="s">
        <v>274</v>
      </c>
      <c r="C36" s="476">
        <v>1</v>
      </c>
      <c r="D36" s="503">
        <v>0.92</v>
      </c>
      <c r="E36" s="365">
        <f>D36/C36</f>
        <v>0.92</v>
      </c>
      <c r="F36" s="475">
        <v>75</v>
      </c>
      <c r="G36" s="736">
        <f>F36*14.7</f>
        <v>1102.5</v>
      </c>
      <c r="H36" s="345"/>
      <c r="I36" s="475" t="s">
        <v>504</v>
      </c>
      <c r="J36" s="476">
        <v>1</v>
      </c>
      <c r="K36" s="503">
        <v>0.7</v>
      </c>
      <c r="L36" s="365">
        <f>K36/J36</f>
        <v>0.7</v>
      </c>
      <c r="M36" s="475">
        <v>0</v>
      </c>
      <c r="N36" s="736">
        <v>0</v>
      </c>
      <c r="O36" s="130"/>
      <c r="P36" s="475"/>
      <c r="Q36" s="476"/>
      <c r="R36" s="503"/>
      <c r="S36" s="365"/>
      <c r="T36" s="475"/>
      <c r="U36" s="736"/>
      <c r="V36" s="131"/>
      <c r="W36" s="477">
        <v>2</v>
      </c>
      <c r="X36" s="475">
        <v>1</v>
      </c>
      <c r="Y36" s="475"/>
      <c r="Z36" s="527">
        <v>1</v>
      </c>
      <c r="AA36" s="1182"/>
    </row>
    <row r="37" spans="1:27" s="308" customFormat="1" ht="12.75" customHeight="1">
      <c r="A37" s="392" t="s">
        <v>900</v>
      </c>
      <c r="B37" s="108">
        <v>3</v>
      </c>
      <c r="C37" s="109">
        <f>SUM(C34:C36)</f>
        <v>3</v>
      </c>
      <c r="D37" s="110">
        <f>SUM(D34:D36)</f>
        <v>3.01</v>
      </c>
      <c r="E37" s="111">
        <f>D37/C37</f>
        <v>1.0033333333333332</v>
      </c>
      <c r="F37" s="108" t="s">
        <v>147</v>
      </c>
      <c r="G37" s="737" t="s">
        <v>147</v>
      </c>
      <c r="H37" s="117"/>
      <c r="I37" s="108">
        <v>3</v>
      </c>
      <c r="J37" s="109">
        <f>SUM(J34:J36)</f>
        <v>3</v>
      </c>
      <c r="K37" s="110">
        <f>SUM(K34:K36)</f>
        <v>2.4000000000000004</v>
      </c>
      <c r="L37" s="111">
        <f>K37/J37</f>
        <v>0.8000000000000002</v>
      </c>
      <c r="M37" s="108" t="s">
        <v>147</v>
      </c>
      <c r="N37" s="737" t="s">
        <v>147</v>
      </c>
      <c r="O37" s="130"/>
      <c r="P37" s="108">
        <v>1</v>
      </c>
      <c r="Q37" s="109">
        <f>SUM(Q34:Q36)</f>
        <v>1</v>
      </c>
      <c r="R37" s="110">
        <f>SUM(R34:R36)</f>
        <v>0.79</v>
      </c>
      <c r="S37" s="111">
        <f>R37/Q37</f>
        <v>0.79</v>
      </c>
      <c r="T37" s="108" t="s">
        <v>147</v>
      </c>
      <c r="U37" s="737" t="s">
        <v>147</v>
      </c>
      <c r="V37" s="131"/>
      <c r="W37" s="108">
        <f>SUM(W34:W36)</f>
        <v>7</v>
      </c>
      <c r="X37" s="108">
        <f>SUM(X34:X36)</f>
        <v>3</v>
      </c>
      <c r="Y37" s="108">
        <f>SUM(Y34:Y36)</f>
        <v>0</v>
      </c>
      <c r="Z37" s="108">
        <f>SUM(Z34:Z36)</f>
        <v>4</v>
      </c>
      <c r="AA37" s="1183"/>
    </row>
    <row r="38" spans="1:27" s="308" customFormat="1" ht="6" customHeight="1">
      <c r="A38" s="352"/>
      <c r="B38" s="352"/>
      <c r="C38" s="352"/>
      <c r="D38" s="352"/>
      <c r="E38" s="352"/>
      <c r="F38" s="393"/>
      <c r="G38" s="738"/>
      <c r="H38" s="352"/>
      <c r="I38" s="352"/>
      <c r="J38" s="352"/>
      <c r="K38" s="352"/>
      <c r="L38" s="352"/>
      <c r="M38" s="352"/>
      <c r="N38" s="738"/>
      <c r="O38" s="353"/>
      <c r="P38" s="352"/>
      <c r="Q38" s="352"/>
      <c r="R38" s="352"/>
      <c r="S38" s="352"/>
      <c r="T38" s="393"/>
      <c r="U38" s="738"/>
      <c r="V38" s="353"/>
      <c r="W38" s="394"/>
      <c r="X38" s="395"/>
      <c r="Y38" s="395"/>
      <c r="Z38" s="395"/>
      <c r="AA38" s="400"/>
    </row>
    <row r="39" spans="1:27" s="308" customFormat="1" ht="12.75" customHeight="1">
      <c r="A39" s="318" t="s">
        <v>225</v>
      </c>
      <c r="B39" s="508" t="s">
        <v>266</v>
      </c>
      <c r="C39" s="491">
        <v>1</v>
      </c>
      <c r="D39" s="492">
        <v>0</v>
      </c>
      <c r="E39" s="493">
        <f aca="true" t="shared" si="5" ref="E39:E45">D39/C39</f>
        <v>0</v>
      </c>
      <c r="F39" s="490">
        <f>G39/14.7</f>
        <v>6.802721088435375</v>
      </c>
      <c r="G39" s="739">
        <v>100</v>
      </c>
      <c r="H39" s="345"/>
      <c r="I39" s="490" t="s">
        <v>275</v>
      </c>
      <c r="J39" s="491">
        <v>1</v>
      </c>
      <c r="K39" s="492">
        <v>0.9</v>
      </c>
      <c r="L39" s="493">
        <f>K39/J39</f>
        <v>0.9</v>
      </c>
      <c r="M39" s="490">
        <f>N39/14.7</f>
        <v>100</v>
      </c>
      <c r="N39" s="739">
        <v>1470</v>
      </c>
      <c r="O39" s="130"/>
      <c r="P39" s="490" t="s">
        <v>278</v>
      </c>
      <c r="Q39" s="491">
        <v>1</v>
      </c>
      <c r="R39" s="492">
        <v>0.17</v>
      </c>
      <c r="S39" s="493">
        <f>R39/Q39</f>
        <v>0.17</v>
      </c>
      <c r="T39" s="490">
        <f>U39/14.7</f>
        <v>0</v>
      </c>
      <c r="U39" s="739">
        <v>0</v>
      </c>
      <c r="V39" s="131"/>
      <c r="W39" s="494">
        <v>3</v>
      </c>
      <c r="X39" s="490">
        <v>1</v>
      </c>
      <c r="Y39" s="490">
        <v>1</v>
      </c>
      <c r="Z39" s="517">
        <v>1</v>
      </c>
      <c r="AA39" s="1181">
        <f>Z45/W45</f>
        <v>0.4666666666666667</v>
      </c>
    </row>
    <row r="40" spans="1:27" s="308" customFormat="1" ht="12.75" customHeight="1">
      <c r="A40" s="44" t="s">
        <v>203</v>
      </c>
      <c r="B40" s="505" t="s">
        <v>273</v>
      </c>
      <c r="C40" s="319">
        <v>1</v>
      </c>
      <c r="D40" s="320">
        <v>1.13</v>
      </c>
      <c r="E40" s="321">
        <f t="shared" si="5"/>
        <v>1.13</v>
      </c>
      <c r="F40" s="97">
        <f>G40/14.7</f>
        <v>16.3265306122449</v>
      </c>
      <c r="G40" s="735">
        <v>240</v>
      </c>
      <c r="H40" s="345"/>
      <c r="I40" s="97" t="s">
        <v>276</v>
      </c>
      <c r="J40" s="319">
        <v>1</v>
      </c>
      <c r="K40" s="320">
        <v>0.9</v>
      </c>
      <c r="L40" s="321">
        <f>K40/J40</f>
        <v>0.9</v>
      </c>
      <c r="M40" s="97">
        <f>N40/14.7</f>
        <v>118.02721088435375</v>
      </c>
      <c r="N40" s="735">
        <v>1735</v>
      </c>
      <c r="O40" s="130"/>
      <c r="P40" s="97" t="s">
        <v>279</v>
      </c>
      <c r="Q40" s="319">
        <v>1</v>
      </c>
      <c r="R40" s="320">
        <v>0.42</v>
      </c>
      <c r="S40" s="321">
        <f>R40/Q40</f>
        <v>0.42</v>
      </c>
      <c r="T40" s="97">
        <f>U40/14.7</f>
        <v>0</v>
      </c>
      <c r="U40" s="735">
        <v>0</v>
      </c>
      <c r="V40" s="131"/>
      <c r="W40" s="402">
        <v>3</v>
      </c>
      <c r="X40" s="97">
        <v>1</v>
      </c>
      <c r="Y40" s="97"/>
      <c r="Z40" s="518">
        <v>2</v>
      </c>
      <c r="AA40" s="1182"/>
    </row>
    <row r="41" spans="1:27" s="308" customFormat="1" ht="12.75" customHeight="1">
      <c r="A41" s="72"/>
      <c r="B41" s="510" t="s">
        <v>274</v>
      </c>
      <c r="C41" s="511">
        <v>1</v>
      </c>
      <c r="D41" s="512">
        <v>1.67</v>
      </c>
      <c r="E41" s="528">
        <f t="shared" si="5"/>
        <v>1.67</v>
      </c>
      <c r="F41" s="510">
        <f>G41/14.7</f>
        <v>5.578231292517007</v>
      </c>
      <c r="G41" s="740">
        <v>82</v>
      </c>
      <c r="H41" s="345"/>
      <c r="I41" s="510" t="s">
        <v>277</v>
      </c>
      <c r="J41" s="511">
        <v>1</v>
      </c>
      <c r="K41" s="512">
        <v>0.33</v>
      </c>
      <c r="L41" s="528">
        <f>K41/J41</f>
        <v>0.33</v>
      </c>
      <c r="M41" s="510">
        <f>N41/14.7</f>
        <v>0</v>
      </c>
      <c r="N41" s="740">
        <v>0</v>
      </c>
      <c r="O41" s="130"/>
      <c r="P41" s="510"/>
      <c r="Q41" s="511"/>
      <c r="R41" s="512"/>
      <c r="S41" s="528"/>
      <c r="T41" s="510"/>
      <c r="U41" s="740"/>
      <c r="V41" s="131"/>
      <c r="W41" s="514">
        <v>2</v>
      </c>
      <c r="X41" s="510">
        <v>1</v>
      </c>
      <c r="Y41" s="510"/>
      <c r="Z41" s="519">
        <v>1</v>
      </c>
      <c r="AA41" s="1182"/>
    </row>
    <row r="42" spans="1:27" s="308" customFormat="1" ht="12.75" customHeight="1">
      <c r="A42" s="44" t="s">
        <v>280</v>
      </c>
      <c r="B42" s="490" t="s">
        <v>267</v>
      </c>
      <c r="C42" s="491">
        <v>1</v>
      </c>
      <c r="D42" s="492">
        <v>0.29</v>
      </c>
      <c r="E42" s="493">
        <f t="shared" si="5"/>
        <v>0.29</v>
      </c>
      <c r="F42" s="490">
        <f>G42/14.7</f>
        <v>0</v>
      </c>
      <c r="G42" s="739">
        <v>0</v>
      </c>
      <c r="H42" s="345"/>
      <c r="I42" s="490" t="s">
        <v>282</v>
      </c>
      <c r="J42" s="491">
        <v>1</v>
      </c>
      <c r="K42" s="492">
        <v>0.51</v>
      </c>
      <c r="L42" s="493">
        <f>K42/J42</f>
        <v>0.51</v>
      </c>
      <c r="M42" s="490">
        <f>N42/14.7</f>
        <v>0</v>
      </c>
      <c r="N42" s="739">
        <v>0</v>
      </c>
      <c r="O42" s="130"/>
      <c r="P42" s="490" t="s">
        <v>284</v>
      </c>
      <c r="Q42" s="491">
        <v>1</v>
      </c>
      <c r="R42" s="492">
        <v>1.09</v>
      </c>
      <c r="S42" s="493">
        <f>R42/Q42</f>
        <v>1.09</v>
      </c>
      <c r="T42" s="490">
        <v>95</v>
      </c>
      <c r="U42" s="739">
        <f>T42*14.7</f>
        <v>1396.5</v>
      </c>
      <c r="V42" s="131"/>
      <c r="W42" s="494">
        <v>3</v>
      </c>
      <c r="X42" s="494">
        <v>2</v>
      </c>
      <c r="Y42" s="490"/>
      <c r="Z42" s="490">
        <v>1</v>
      </c>
      <c r="AA42" s="1182"/>
    </row>
    <row r="43" spans="1:27" s="308" customFormat="1" ht="12.75" customHeight="1">
      <c r="A43" s="72"/>
      <c r="B43" s="510" t="s">
        <v>273</v>
      </c>
      <c r="C43" s="511">
        <v>1</v>
      </c>
      <c r="D43" s="512">
        <v>0.92</v>
      </c>
      <c r="E43" s="528">
        <f t="shared" si="5"/>
        <v>0.92</v>
      </c>
      <c r="F43" s="510">
        <v>0</v>
      </c>
      <c r="G43" s="735">
        <v>0</v>
      </c>
      <c r="H43" s="345"/>
      <c r="I43" s="510" t="s">
        <v>283</v>
      </c>
      <c r="J43" s="511">
        <v>1</v>
      </c>
      <c r="K43" s="512">
        <v>0.88</v>
      </c>
      <c r="L43" s="528">
        <f>K43/J43</f>
        <v>0.88</v>
      </c>
      <c r="M43" s="510">
        <f>N43/14.7</f>
        <v>0</v>
      </c>
      <c r="N43" s="735">
        <v>0</v>
      </c>
      <c r="O43" s="130"/>
      <c r="P43" s="510" t="s">
        <v>285</v>
      </c>
      <c r="Q43" s="531">
        <v>1</v>
      </c>
      <c r="R43" s="320">
        <v>1.05</v>
      </c>
      <c r="S43" s="321">
        <f>R43/Q43</f>
        <v>1.05</v>
      </c>
      <c r="T43" s="532">
        <v>110</v>
      </c>
      <c r="U43" s="740">
        <f>T43*14.7</f>
        <v>1617</v>
      </c>
      <c r="V43" s="131"/>
      <c r="W43" s="402">
        <v>3</v>
      </c>
      <c r="X43" s="402">
        <v>2</v>
      </c>
      <c r="Y43" s="97"/>
      <c r="Z43" s="518">
        <v>1</v>
      </c>
      <c r="AA43" s="1182"/>
    </row>
    <row r="44" spans="1:27" s="308" customFormat="1" ht="12.75" customHeight="1">
      <c r="A44" s="418"/>
      <c r="B44" s="495" t="s">
        <v>281</v>
      </c>
      <c r="C44" s="529">
        <v>1</v>
      </c>
      <c r="D44" s="497">
        <v>1.22</v>
      </c>
      <c r="E44" s="498">
        <f t="shared" si="5"/>
        <v>1.22</v>
      </c>
      <c r="F44" s="530">
        <v>87</v>
      </c>
      <c r="G44" s="741">
        <f>F44*14.7</f>
        <v>1278.8999999999999</v>
      </c>
      <c r="H44" s="345"/>
      <c r="I44" s="495"/>
      <c r="J44" s="496"/>
      <c r="K44" s="497"/>
      <c r="L44" s="498"/>
      <c r="M44" s="497"/>
      <c r="N44" s="741"/>
      <c r="O44" s="130"/>
      <c r="P44" s="495"/>
      <c r="Q44" s="496"/>
      <c r="R44" s="533"/>
      <c r="S44" s="534"/>
      <c r="T44" s="495"/>
      <c r="U44" s="741"/>
      <c r="V44" s="131"/>
      <c r="W44" s="514">
        <v>1</v>
      </c>
      <c r="X44" s="510"/>
      <c r="Y44" s="510"/>
      <c r="Z44" s="519">
        <v>1</v>
      </c>
      <c r="AA44" s="1182"/>
    </row>
    <row r="45" spans="1:27" s="308" customFormat="1" ht="12.75" customHeight="1">
      <c r="A45" s="318" t="s">
        <v>900</v>
      </c>
      <c r="B45" s="108">
        <v>6</v>
      </c>
      <c r="C45" s="109">
        <f>SUM(C39:C44)</f>
        <v>6</v>
      </c>
      <c r="D45" s="332">
        <f>SUM(D39:D44)</f>
        <v>5.2299999999999995</v>
      </c>
      <c r="E45" s="409">
        <f t="shared" si="5"/>
        <v>0.8716666666666666</v>
      </c>
      <c r="F45" s="108" t="s">
        <v>147</v>
      </c>
      <c r="G45" s="737" t="s">
        <v>147</v>
      </c>
      <c r="H45" s="117"/>
      <c r="I45" s="108">
        <v>5</v>
      </c>
      <c r="J45" s="109">
        <f>SUM(J39:J44)</f>
        <v>5</v>
      </c>
      <c r="K45" s="110">
        <f>SUM(K39:K44)</f>
        <v>3.5199999999999996</v>
      </c>
      <c r="L45" s="111">
        <f>K45/J45</f>
        <v>0.704</v>
      </c>
      <c r="M45" s="108" t="s">
        <v>147</v>
      </c>
      <c r="N45" s="737" t="s">
        <v>147</v>
      </c>
      <c r="O45" s="130"/>
      <c r="P45" s="108">
        <v>4</v>
      </c>
      <c r="Q45" s="109">
        <f>SUM(Q39:Q44)</f>
        <v>4</v>
      </c>
      <c r="R45" s="110">
        <f>SUM(R39:R44)</f>
        <v>2.7300000000000004</v>
      </c>
      <c r="S45" s="111">
        <f>R45/Q45</f>
        <v>0.6825000000000001</v>
      </c>
      <c r="T45" s="108" t="s">
        <v>147</v>
      </c>
      <c r="U45" s="737" t="s">
        <v>147</v>
      </c>
      <c r="V45" s="131"/>
      <c r="W45" s="108">
        <f>SUM(W39:W44)</f>
        <v>15</v>
      </c>
      <c r="X45" s="108">
        <f>SUM(X39:X44)</f>
        <v>7</v>
      </c>
      <c r="Y45" s="108">
        <f>SUM(Y39:Y44)</f>
        <v>1</v>
      </c>
      <c r="Z45" s="108">
        <f>SUM(Z39:Z44)</f>
        <v>7</v>
      </c>
      <c r="AA45" s="1183"/>
    </row>
    <row r="46" spans="1:27" s="308" customFormat="1" ht="6" customHeight="1">
      <c r="A46" s="352"/>
      <c r="B46" s="352"/>
      <c r="C46" s="352"/>
      <c r="D46" s="352"/>
      <c r="E46" s="352"/>
      <c r="F46" s="393"/>
      <c r="G46" s="738"/>
      <c r="H46" s="352"/>
      <c r="I46" s="352"/>
      <c r="J46" s="352"/>
      <c r="K46" s="352"/>
      <c r="L46" s="352"/>
      <c r="M46" s="352"/>
      <c r="N46" s="738"/>
      <c r="O46" s="353"/>
      <c r="P46" s="352"/>
      <c r="Q46" s="352"/>
      <c r="R46" s="352"/>
      <c r="S46" s="352"/>
      <c r="T46" s="393"/>
      <c r="U46" s="738"/>
      <c r="V46" s="353"/>
      <c r="W46" s="394"/>
      <c r="X46" s="395"/>
      <c r="Y46" s="395"/>
      <c r="Z46" s="395"/>
      <c r="AA46" s="500"/>
    </row>
    <row r="47" spans="1:27" s="308" customFormat="1" ht="12.75" customHeight="1">
      <c r="A47" s="318" t="s">
        <v>346</v>
      </c>
      <c r="B47" s="501" t="s">
        <v>322</v>
      </c>
      <c r="C47" s="303">
        <v>1</v>
      </c>
      <c r="D47" s="304">
        <v>0</v>
      </c>
      <c r="E47" s="324">
        <f>D47/C47</f>
        <v>0</v>
      </c>
      <c r="F47" s="502">
        <v>53</v>
      </c>
      <c r="G47" s="734">
        <f>F47*14.7</f>
        <v>779.0999999999999</v>
      </c>
      <c r="H47" s="345"/>
      <c r="I47" s="302" t="s">
        <v>320</v>
      </c>
      <c r="J47" s="303">
        <v>1</v>
      </c>
      <c r="K47" s="304">
        <v>0.81</v>
      </c>
      <c r="L47" s="324">
        <f>K47/J47</f>
        <v>0.81</v>
      </c>
      <c r="M47" s="502">
        <v>0</v>
      </c>
      <c r="N47" s="734">
        <f>M47*14.7</f>
        <v>0</v>
      </c>
      <c r="O47" s="130"/>
      <c r="P47" s="302" t="s">
        <v>321</v>
      </c>
      <c r="Q47" s="303">
        <v>1</v>
      </c>
      <c r="R47" s="304">
        <v>1.08</v>
      </c>
      <c r="S47" s="324">
        <f>R47/Q47</f>
        <v>1.08</v>
      </c>
      <c r="T47" s="502">
        <v>95</v>
      </c>
      <c r="U47" s="734">
        <f>T47*14.7</f>
        <v>1396.5</v>
      </c>
      <c r="V47" s="131"/>
      <c r="W47" s="502">
        <v>3</v>
      </c>
      <c r="X47" s="302">
        <v>1</v>
      </c>
      <c r="Y47" s="302">
        <v>1</v>
      </c>
      <c r="Z47" s="535">
        <v>1</v>
      </c>
      <c r="AA47" s="1187">
        <f>Z49/W49</f>
        <v>0.3333333333333333</v>
      </c>
    </row>
    <row r="48" spans="1:27" s="308" customFormat="1" ht="12.75" customHeight="1">
      <c r="A48" s="428" t="s">
        <v>204</v>
      </c>
      <c r="B48" s="530" t="s">
        <v>323</v>
      </c>
      <c r="C48" s="496">
        <v>1</v>
      </c>
      <c r="D48" s="497">
        <v>0.58</v>
      </c>
      <c r="E48" s="498">
        <f>D48/C48</f>
        <v>0.58</v>
      </c>
      <c r="F48" s="499">
        <v>0</v>
      </c>
      <c r="G48" s="741">
        <f>F48*14.7</f>
        <v>0</v>
      </c>
      <c r="H48" s="345"/>
      <c r="I48" s="495" t="s">
        <v>282</v>
      </c>
      <c r="J48" s="496">
        <v>1</v>
      </c>
      <c r="K48" s="497">
        <v>0.88</v>
      </c>
      <c r="L48" s="498">
        <f>K48/J48</f>
        <v>0.88</v>
      </c>
      <c r="M48" s="499">
        <v>131</v>
      </c>
      <c r="N48" s="741">
        <f>M48*14.7</f>
        <v>1925.6999999999998</v>
      </c>
      <c r="O48" s="130"/>
      <c r="P48" s="495" t="s">
        <v>272</v>
      </c>
      <c r="Q48" s="496">
        <v>1</v>
      </c>
      <c r="R48" s="497">
        <v>0</v>
      </c>
      <c r="S48" s="498">
        <f>R48/Q48</f>
        <v>0</v>
      </c>
      <c r="T48" s="499">
        <v>0</v>
      </c>
      <c r="U48" s="741">
        <v>0</v>
      </c>
      <c r="V48" s="131"/>
      <c r="W48" s="499">
        <v>3</v>
      </c>
      <c r="X48" s="495">
        <v>1</v>
      </c>
      <c r="Y48" s="495"/>
      <c r="Z48" s="495">
        <v>1</v>
      </c>
      <c r="AA48" s="1188"/>
    </row>
    <row r="49" spans="1:27" s="308" customFormat="1" ht="12.75" customHeight="1">
      <c r="A49" s="611" t="s">
        <v>900</v>
      </c>
      <c r="B49" s="108">
        <v>2</v>
      </c>
      <c r="C49" s="109">
        <f>C47+C48</f>
        <v>2</v>
      </c>
      <c r="D49" s="110">
        <f>D47+D48</f>
        <v>0.58</v>
      </c>
      <c r="E49" s="111">
        <f>D49/C49</f>
        <v>0.29</v>
      </c>
      <c r="F49" s="108" t="s">
        <v>147</v>
      </c>
      <c r="G49" s="737" t="s">
        <v>147</v>
      </c>
      <c r="H49" s="117"/>
      <c r="I49" s="108">
        <v>2</v>
      </c>
      <c r="J49" s="109">
        <f>J47+J48</f>
        <v>2</v>
      </c>
      <c r="K49" s="110">
        <f>K47+K48</f>
        <v>1.69</v>
      </c>
      <c r="L49" s="111">
        <f>K49/J49</f>
        <v>0.845</v>
      </c>
      <c r="M49" s="108" t="s">
        <v>147</v>
      </c>
      <c r="N49" s="737" t="s">
        <v>147</v>
      </c>
      <c r="O49" s="130"/>
      <c r="P49" s="108">
        <v>2</v>
      </c>
      <c r="Q49" s="109">
        <f>Q47+Q48</f>
        <v>2</v>
      </c>
      <c r="R49" s="110">
        <f>R47+R48</f>
        <v>1.08</v>
      </c>
      <c r="S49" s="111">
        <f>R49/Q49</f>
        <v>0.54</v>
      </c>
      <c r="T49" s="108" t="s">
        <v>147</v>
      </c>
      <c r="U49" s="737" t="s">
        <v>147</v>
      </c>
      <c r="V49" s="131"/>
      <c r="W49" s="108">
        <f>W47+W48</f>
        <v>6</v>
      </c>
      <c r="X49" s="108">
        <f>X47+X48</f>
        <v>2</v>
      </c>
      <c r="Y49" s="108">
        <f>Y47+Y48</f>
        <v>1</v>
      </c>
      <c r="Z49" s="108">
        <f>Z47+Z48</f>
        <v>2</v>
      </c>
      <c r="AA49" s="1198"/>
    </row>
    <row r="50" spans="1:27" s="308" customFormat="1" ht="6" customHeight="1">
      <c r="A50" s="352"/>
      <c r="B50" s="352"/>
      <c r="C50" s="352"/>
      <c r="D50" s="352"/>
      <c r="E50" s="352"/>
      <c r="F50" s="393"/>
      <c r="G50" s="738"/>
      <c r="H50" s="352"/>
      <c r="I50" s="352"/>
      <c r="J50" s="352"/>
      <c r="K50" s="352"/>
      <c r="L50" s="352"/>
      <c r="M50" s="352"/>
      <c r="N50" s="738"/>
      <c r="O50" s="353"/>
      <c r="P50" s="352"/>
      <c r="Q50" s="352"/>
      <c r="R50" s="352"/>
      <c r="S50" s="352"/>
      <c r="T50" s="393"/>
      <c r="U50" s="738"/>
      <c r="V50" s="353"/>
      <c r="W50" s="401"/>
      <c r="X50" s="333"/>
      <c r="Y50" s="333"/>
      <c r="Z50" s="333"/>
      <c r="AA50" s="400"/>
    </row>
    <row r="51" spans="1:27" s="308" customFormat="1" ht="12.75" customHeight="1">
      <c r="A51" s="318" t="s">
        <v>476</v>
      </c>
      <c r="B51" s="501" t="s">
        <v>268</v>
      </c>
      <c r="C51" s="303">
        <v>1</v>
      </c>
      <c r="D51" s="304">
        <v>0.79</v>
      </c>
      <c r="E51" s="324">
        <f>D51/C51</f>
        <v>0.79</v>
      </c>
      <c r="F51" s="502">
        <v>0</v>
      </c>
      <c r="G51" s="734">
        <v>0</v>
      </c>
      <c r="H51" s="345"/>
      <c r="I51" s="302" t="s">
        <v>511</v>
      </c>
      <c r="J51" s="303">
        <v>1</v>
      </c>
      <c r="K51" s="304">
        <v>0.87</v>
      </c>
      <c r="L51" s="324">
        <f>K51/J51</f>
        <v>0.87</v>
      </c>
      <c r="M51" s="502">
        <v>0</v>
      </c>
      <c r="N51" s="734">
        <v>0</v>
      </c>
      <c r="O51" s="130"/>
      <c r="P51" s="302" t="s">
        <v>513</v>
      </c>
      <c r="Q51" s="303">
        <v>1</v>
      </c>
      <c r="R51" s="304">
        <v>0.34</v>
      </c>
      <c r="S51" s="324">
        <f>R51/Q51</f>
        <v>0.34</v>
      </c>
      <c r="T51" s="502">
        <v>85</v>
      </c>
      <c r="U51" s="734">
        <f>T51*14.7</f>
        <v>1249.5</v>
      </c>
      <c r="V51" s="131"/>
      <c r="W51" s="502">
        <v>3</v>
      </c>
      <c r="X51" s="302">
        <v>2</v>
      </c>
      <c r="Y51" s="302"/>
      <c r="Z51" s="535">
        <v>1</v>
      </c>
      <c r="AA51" s="1187">
        <f>Z53/W53</f>
        <v>0.25</v>
      </c>
    </row>
    <row r="52" spans="1:27" s="308" customFormat="1" ht="12.75" customHeight="1">
      <c r="A52" s="428" t="s">
        <v>491</v>
      </c>
      <c r="B52" s="505" t="s">
        <v>512</v>
      </c>
      <c r="C52" s="319">
        <v>1</v>
      </c>
      <c r="D52" s="320">
        <v>0.91</v>
      </c>
      <c r="E52" s="321">
        <f>D52/C52</f>
        <v>0.91</v>
      </c>
      <c r="F52" s="402">
        <v>0</v>
      </c>
      <c r="G52" s="735">
        <v>0</v>
      </c>
      <c r="H52" s="345"/>
      <c r="I52" s="97"/>
      <c r="J52" s="319"/>
      <c r="K52" s="320"/>
      <c r="L52" s="321"/>
      <c r="M52" s="402"/>
      <c r="N52" s="735"/>
      <c r="O52" s="130"/>
      <c r="P52" s="97"/>
      <c r="Q52" s="319"/>
      <c r="R52" s="320"/>
      <c r="S52" s="321"/>
      <c r="T52" s="402"/>
      <c r="U52" s="735"/>
      <c r="V52" s="131"/>
      <c r="W52" s="402">
        <v>1</v>
      </c>
      <c r="X52" s="97">
        <v>1</v>
      </c>
      <c r="Y52" s="97"/>
      <c r="Z52" s="97"/>
      <c r="AA52" s="1188"/>
    </row>
    <row r="53" spans="1:27" s="308" customFormat="1" ht="12.75" customHeight="1">
      <c r="A53" s="611" t="s">
        <v>900</v>
      </c>
      <c r="B53" s="108">
        <v>2</v>
      </c>
      <c r="C53" s="109">
        <f>SUM(C51:C52)</f>
        <v>2</v>
      </c>
      <c r="D53" s="110">
        <f>SUM(D51:D52)</f>
        <v>1.7000000000000002</v>
      </c>
      <c r="E53" s="111">
        <f>D53/C53</f>
        <v>0.8500000000000001</v>
      </c>
      <c r="F53" s="108" t="s">
        <v>147</v>
      </c>
      <c r="G53" s="737" t="s">
        <v>147</v>
      </c>
      <c r="H53" s="117"/>
      <c r="I53" s="108">
        <v>1</v>
      </c>
      <c r="J53" s="109">
        <f>SUM(J51:J52)</f>
        <v>1</v>
      </c>
      <c r="K53" s="110">
        <f>SUM(K51:K52)</f>
        <v>0.87</v>
      </c>
      <c r="L53" s="111">
        <f>K53/J53</f>
        <v>0.87</v>
      </c>
      <c r="M53" s="108" t="s">
        <v>147</v>
      </c>
      <c r="N53" s="737" t="s">
        <v>147</v>
      </c>
      <c r="O53" s="130"/>
      <c r="P53" s="108">
        <v>1</v>
      </c>
      <c r="Q53" s="109">
        <f>SUM(Q51:Q52)</f>
        <v>1</v>
      </c>
      <c r="R53" s="110">
        <f>SUM(R51:R52)</f>
        <v>0.34</v>
      </c>
      <c r="S53" s="111">
        <f>R53/Q53</f>
        <v>0.34</v>
      </c>
      <c r="T53" s="108" t="s">
        <v>147</v>
      </c>
      <c r="U53" s="737" t="s">
        <v>147</v>
      </c>
      <c r="V53" s="131"/>
      <c r="W53" s="108">
        <f>SUM(W51:W52)</f>
        <v>4</v>
      </c>
      <c r="X53" s="108">
        <f>SUM(X51:X52)</f>
        <v>3</v>
      </c>
      <c r="Y53" s="108">
        <f>SUM(Y51:Y52)</f>
        <v>0</v>
      </c>
      <c r="Z53" s="108">
        <f>SUM(Z51:Z52)</f>
        <v>1</v>
      </c>
      <c r="AA53" s="1199"/>
    </row>
    <row r="54" spans="1:27" s="308" customFormat="1" ht="6" customHeight="1">
      <c r="A54" s="352"/>
      <c r="B54" s="352"/>
      <c r="C54" s="352"/>
      <c r="D54" s="352"/>
      <c r="E54" s="352"/>
      <c r="F54" s="393"/>
      <c r="G54" s="738"/>
      <c r="H54" s="352"/>
      <c r="I54" s="352"/>
      <c r="J54" s="352"/>
      <c r="K54" s="352"/>
      <c r="L54" s="352"/>
      <c r="M54" s="352"/>
      <c r="N54" s="738"/>
      <c r="O54" s="353"/>
      <c r="P54" s="352"/>
      <c r="Q54" s="352"/>
      <c r="R54" s="352"/>
      <c r="S54" s="352"/>
      <c r="T54" s="393"/>
      <c r="U54" s="738"/>
      <c r="V54" s="353"/>
      <c r="W54" s="401"/>
      <c r="X54" s="333"/>
      <c r="Y54" s="333"/>
      <c r="Z54" s="333"/>
      <c r="AA54" s="400"/>
    </row>
    <row r="55" spans="1:27" s="308" customFormat="1" ht="12.75" customHeight="1">
      <c r="A55" s="318" t="s">
        <v>477</v>
      </c>
      <c r="B55" s="501" t="s">
        <v>264</v>
      </c>
      <c r="C55" s="303">
        <v>1</v>
      </c>
      <c r="D55" s="304">
        <v>0.05</v>
      </c>
      <c r="E55" s="324">
        <f>D55/C55</f>
        <v>0.05</v>
      </c>
      <c r="F55" s="502">
        <v>70</v>
      </c>
      <c r="G55" s="734">
        <f>F55*14.7</f>
        <v>1029</v>
      </c>
      <c r="H55" s="117"/>
      <c r="I55" s="302" t="s">
        <v>270</v>
      </c>
      <c r="J55" s="303">
        <v>1</v>
      </c>
      <c r="K55" s="304">
        <v>0.84</v>
      </c>
      <c r="L55" s="324">
        <f>K55/J55</f>
        <v>0.84</v>
      </c>
      <c r="M55" s="502">
        <v>97</v>
      </c>
      <c r="N55" s="734">
        <f>M55*14.7</f>
        <v>1425.8999999999999</v>
      </c>
      <c r="O55" s="365"/>
      <c r="P55" s="302"/>
      <c r="Q55" s="303"/>
      <c r="R55" s="304"/>
      <c r="S55" s="324"/>
      <c r="T55" s="502"/>
      <c r="U55" s="734"/>
      <c r="V55" s="391"/>
      <c r="W55" s="502">
        <v>2</v>
      </c>
      <c r="X55" s="302"/>
      <c r="Y55" s="302"/>
      <c r="Z55" s="535">
        <v>2</v>
      </c>
      <c r="AA55" s="1187">
        <f>Z57/W57</f>
        <v>0.75</v>
      </c>
    </row>
    <row r="56" spans="1:27" s="308" customFormat="1" ht="12.75" customHeight="1">
      <c r="A56" s="428" t="s">
        <v>482</v>
      </c>
      <c r="B56" s="505" t="s">
        <v>273</v>
      </c>
      <c r="C56" s="319">
        <v>1</v>
      </c>
      <c r="D56" s="320">
        <v>0.88</v>
      </c>
      <c r="E56" s="321">
        <f>D56/C56</f>
        <v>0.88</v>
      </c>
      <c r="F56" s="402">
        <v>0</v>
      </c>
      <c r="G56" s="735">
        <f>F56*14.7</f>
        <v>0</v>
      </c>
      <c r="H56" s="117"/>
      <c r="I56" s="97" t="s">
        <v>502</v>
      </c>
      <c r="J56" s="319">
        <v>1</v>
      </c>
      <c r="K56" s="320">
        <v>0.91</v>
      </c>
      <c r="L56" s="321">
        <f>K56/J56</f>
        <v>0.91</v>
      </c>
      <c r="M56" s="402">
        <v>100</v>
      </c>
      <c r="N56" s="735">
        <f>M56*14.7</f>
        <v>1470</v>
      </c>
      <c r="O56" s="365"/>
      <c r="P56" s="97"/>
      <c r="Q56" s="319"/>
      <c r="R56" s="320"/>
      <c r="S56" s="321"/>
      <c r="T56" s="402"/>
      <c r="U56" s="735"/>
      <c r="V56" s="391"/>
      <c r="W56" s="402">
        <v>2</v>
      </c>
      <c r="X56" s="97">
        <v>1</v>
      </c>
      <c r="Y56" s="97"/>
      <c r="Z56" s="97">
        <v>1</v>
      </c>
      <c r="AA56" s="1188"/>
    </row>
    <row r="57" spans="1:27" s="308" customFormat="1" ht="12.75" customHeight="1">
      <c r="A57" s="611" t="s">
        <v>900</v>
      </c>
      <c r="B57" s="108">
        <v>2</v>
      </c>
      <c r="C57" s="109">
        <f>SUM(C55:C56)</f>
        <v>2</v>
      </c>
      <c r="D57" s="110">
        <f>SUM(D55:D56)</f>
        <v>0.93</v>
      </c>
      <c r="E57" s="111">
        <f>D57/C57</f>
        <v>0.465</v>
      </c>
      <c r="F57" s="108" t="s">
        <v>147</v>
      </c>
      <c r="G57" s="737" t="s">
        <v>147</v>
      </c>
      <c r="H57" s="345"/>
      <c r="I57" s="108">
        <v>2</v>
      </c>
      <c r="J57" s="109">
        <f>SUM(J55:J56)</f>
        <v>2</v>
      </c>
      <c r="K57" s="110">
        <f>SUM(K55:K56)</f>
        <v>1.75</v>
      </c>
      <c r="L57" s="111">
        <f>K57/J57</f>
        <v>0.875</v>
      </c>
      <c r="M57" s="108" t="s">
        <v>147</v>
      </c>
      <c r="N57" s="737" t="s">
        <v>147</v>
      </c>
      <c r="O57" s="130"/>
      <c r="P57" s="108">
        <v>0</v>
      </c>
      <c r="Q57" s="109">
        <f>SUM(Q55:Q56)</f>
        <v>0</v>
      </c>
      <c r="R57" s="110">
        <f>SUM(R55:R56)</f>
        <v>0</v>
      </c>
      <c r="S57" s="111">
        <v>0</v>
      </c>
      <c r="T57" s="108" t="s">
        <v>147</v>
      </c>
      <c r="U57" s="737" t="s">
        <v>147</v>
      </c>
      <c r="V57" s="131"/>
      <c r="W57" s="108">
        <f>SUM(W55:W56)</f>
        <v>4</v>
      </c>
      <c r="X57" s="108">
        <f>SUM(X55:X56)</f>
        <v>1</v>
      </c>
      <c r="Y57" s="108">
        <f>SUM(Y55:Y56)</f>
        <v>0</v>
      </c>
      <c r="Z57" s="108">
        <f>SUM(Z55:Z56)</f>
        <v>3</v>
      </c>
      <c r="AA57" s="1200"/>
    </row>
    <row r="58" spans="1:27" s="308" customFormat="1" ht="6" customHeight="1">
      <c r="A58" s="352"/>
      <c r="B58" s="352"/>
      <c r="C58" s="352"/>
      <c r="D58" s="352"/>
      <c r="E58" s="352"/>
      <c r="F58" s="393"/>
      <c r="G58" s="738"/>
      <c r="H58" s="352"/>
      <c r="I58" s="352"/>
      <c r="J58" s="352"/>
      <c r="K58" s="352"/>
      <c r="L58" s="352"/>
      <c r="M58" s="352"/>
      <c r="N58" s="738"/>
      <c r="O58" s="353"/>
      <c r="P58" s="352"/>
      <c r="Q58" s="352"/>
      <c r="R58" s="352"/>
      <c r="S58" s="352"/>
      <c r="T58" s="393"/>
      <c r="U58" s="738"/>
      <c r="V58" s="353"/>
      <c r="W58" s="401"/>
      <c r="X58" s="333"/>
      <c r="Y58" s="333"/>
      <c r="Z58" s="333"/>
      <c r="AA58" s="400"/>
    </row>
    <row r="59" spans="1:27" s="308" customFormat="1" ht="12.75" customHeight="1">
      <c r="A59" s="318" t="s">
        <v>447</v>
      </c>
      <c r="B59" s="501" t="s">
        <v>430</v>
      </c>
      <c r="C59" s="303">
        <v>1</v>
      </c>
      <c r="D59" s="304">
        <v>0.92</v>
      </c>
      <c r="E59" s="324">
        <f>D59/C59</f>
        <v>0.92</v>
      </c>
      <c r="F59" s="502">
        <v>58</v>
      </c>
      <c r="G59" s="734">
        <f>F59*14.7</f>
        <v>852.5999999999999</v>
      </c>
      <c r="H59" s="345"/>
      <c r="I59" s="302" t="s">
        <v>583</v>
      </c>
      <c r="J59" s="303">
        <v>1</v>
      </c>
      <c r="K59" s="304">
        <v>0.68</v>
      </c>
      <c r="L59" s="324">
        <f>K59/J59</f>
        <v>0.68</v>
      </c>
      <c r="M59" s="502">
        <v>0</v>
      </c>
      <c r="N59" s="734">
        <v>0</v>
      </c>
      <c r="O59" s="130"/>
      <c r="P59" s="302" t="s">
        <v>285</v>
      </c>
      <c r="Q59" s="303">
        <v>1</v>
      </c>
      <c r="R59" s="304">
        <v>0.43</v>
      </c>
      <c r="S59" s="324">
        <f>R59/Q59</f>
        <v>0.43</v>
      </c>
      <c r="T59" s="502">
        <v>120</v>
      </c>
      <c r="U59" s="734">
        <f>T59*14.7</f>
        <v>1764</v>
      </c>
      <c r="V59" s="131"/>
      <c r="W59" s="502">
        <v>3</v>
      </c>
      <c r="X59" s="302">
        <v>1</v>
      </c>
      <c r="Y59" s="302"/>
      <c r="Z59" s="535">
        <v>2</v>
      </c>
      <c r="AA59" s="1187">
        <f>Z61/W61</f>
        <v>0.5</v>
      </c>
    </row>
    <row r="60" spans="1:27" s="308" customFormat="1" ht="12.75" customHeight="1">
      <c r="A60" s="428" t="s">
        <v>483</v>
      </c>
      <c r="B60" s="505" t="s">
        <v>503</v>
      </c>
      <c r="C60" s="319">
        <v>1</v>
      </c>
      <c r="D60" s="320">
        <v>0.93</v>
      </c>
      <c r="E60" s="321">
        <f>D60/C60</f>
        <v>0.93</v>
      </c>
      <c r="F60" s="402">
        <v>0</v>
      </c>
      <c r="G60" s="735">
        <v>0</v>
      </c>
      <c r="H60" s="345"/>
      <c r="I60" s="97"/>
      <c r="J60" s="319"/>
      <c r="K60" s="320"/>
      <c r="L60" s="321"/>
      <c r="M60" s="402"/>
      <c r="N60" s="735"/>
      <c r="O60" s="130"/>
      <c r="P60" s="97"/>
      <c r="Q60" s="319"/>
      <c r="R60" s="320"/>
      <c r="S60" s="321"/>
      <c r="T60" s="402"/>
      <c r="U60" s="735"/>
      <c r="V60" s="131"/>
      <c r="W60" s="402">
        <v>1</v>
      </c>
      <c r="X60" s="97">
        <v>1</v>
      </c>
      <c r="Y60" s="97"/>
      <c r="Z60" s="97"/>
      <c r="AA60" s="1188"/>
    </row>
    <row r="61" spans="1:27" s="328" customFormat="1" ht="12.75" customHeight="1">
      <c r="A61" s="611" t="s">
        <v>900</v>
      </c>
      <c r="B61" s="108">
        <v>2</v>
      </c>
      <c r="C61" s="109">
        <f>SUM(C59:C60)</f>
        <v>2</v>
      </c>
      <c r="D61" s="110">
        <f>SUM(D59:D60)</f>
        <v>1.85</v>
      </c>
      <c r="E61" s="111">
        <f>D61/C61</f>
        <v>0.925</v>
      </c>
      <c r="F61" s="108" t="s">
        <v>147</v>
      </c>
      <c r="G61" s="737" t="s">
        <v>147</v>
      </c>
      <c r="H61" s="117"/>
      <c r="I61" s="108">
        <v>1</v>
      </c>
      <c r="J61" s="109">
        <f>SUM(J59:J60)</f>
        <v>1</v>
      </c>
      <c r="K61" s="110">
        <f>SUM(K59:K60)</f>
        <v>0.68</v>
      </c>
      <c r="L61" s="111">
        <f>K61/J61</f>
        <v>0.68</v>
      </c>
      <c r="M61" s="108" t="s">
        <v>147</v>
      </c>
      <c r="N61" s="737" t="s">
        <v>147</v>
      </c>
      <c r="O61" s="562"/>
      <c r="P61" s="108">
        <v>1</v>
      </c>
      <c r="Q61" s="109">
        <f>SUM(Q59:Q60)</f>
        <v>1</v>
      </c>
      <c r="R61" s="110">
        <f>SUM(R59:R60)</f>
        <v>0.43</v>
      </c>
      <c r="S61" s="111">
        <f>R61/Q61</f>
        <v>0.43</v>
      </c>
      <c r="T61" s="108" t="s">
        <v>147</v>
      </c>
      <c r="U61" s="737" t="s">
        <v>147</v>
      </c>
      <c r="V61" s="563"/>
      <c r="W61" s="108">
        <f>SUM(W59:W60)</f>
        <v>4</v>
      </c>
      <c r="X61" s="108">
        <f>SUM(X59:X60)</f>
        <v>2</v>
      </c>
      <c r="Y61" s="108">
        <f>SUM(Y59:Y60)</f>
        <v>0</v>
      </c>
      <c r="Z61" s="108">
        <f>SUM(Z59:Z60)</f>
        <v>2</v>
      </c>
      <c r="AA61" s="1199"/>
    </row>
    <row r="62" spans="1:27" s="416" customFormat="1" ht="6" customHeight="1">
      <c r="A62" s="564"/>
      <c r="B62" s="564"/>
      <c r="C62" s="564"/>
      <c r="D62" s="564"/>
      <c r="E62" s="564"/>
      <c r="F62" s="565"/>
      <c r="G62" s="743"/>
      <c r="H62" s="564"/>
      <c r="I62" s="564"/>
      <c r="J62" s="564"/>
      <c r="K62" s="564"/>
      <c r="L62" s="564"/>
      <c r="M62" s="564"/>
      <c r="N62" s="743"/>
      <c r="O62" s="566"/>
      <c r="P62" s="564"/>
      <c r="Q62" s="564"/>
      <c r="R62" s="564"/>
      <c r="S62" s="564"/>
      <c r="T62" s="565"/>
      <c r="U62" s="743"/>
      <c r="V62" s="566"/>
      <c r="W62" s="567"/>
      <c r="X62" s="429"/>
      <c r="Y62" s="429"/>
      <c r="Z62" s="429"/>
      <c r="AA62" s="568"/>
    </row>
    <row r="63" spans="1:27" s="308" customFormat="1" ht="12.75" customHeight="1">
      <c r="A63" s="318" t="s">
        <v>227</v>
      </c>
      <c r="B63" s="501" t="s">
        <v>292</v>
      </c>
      <c r="C63" s="303">
        <v>1</v>
      </c>
      <c r="D63" s="304">
        <v>0.93</v>
      </c>
      <c r="E63" s="324">
        <f>D63/C63</f>
        <v>0.93</v>
      </c>
      <c r="F63" s="502">
        <v>54</v>
      </c>
      <c r="G63" s="734">
        <f>F63*14.7</f>
        <v>793.8</v>
      </c>
      <c r="H63" s="345"/>
      <c r="I63" s="490" t="s">
        <v>596</v>
      </c>
      <c r="J63" s="303">
        <v>1</v>
      </c>
      <c r="K63" s="304">
        <v>0.9</v>
      </c>
      <c r="L63" s="324">
        <f>K63/J63</f>
        <v>0.9</v>
      </c>
      <c r="M63" s="502">
        <v>0</v>
      </c>
      <c r="N63" s="734">
        <v>0</v>
      </c>
      <c r="O63" s="365"/>
      <c r="P63" s="302" t="s">
        <v>606</v>
      </c>
      <c r="Q63" s="303">
        <v>1</v>
      </c>
      <c r="R63" s="304">
        <v>0.87</v>
      </c>
      <c r="S63" s="324">
        <f>R63/Q63</f>
        <v>0.87</v>
      </c>
      <c r="T63" s="502">
        <v>125</v>
      </c>
      <c r="U63" s="734">
        <f>T63*14.7</f>
        <v>1837.5</v>
      </c>
      <c r="V63" s="391"/>
      <c r="W63" s="502">
        <v>3</v>
      </c>
      <c r="X63" s="302">
        <v>1</v>
      </c>
      <c r="Y63" s="302"/>
      <c r="Z63" s="535">
        <v>2</v>
      </c>
      <c r="AA63" s="1187">
        <f>Z67/W67</f>
        <v>0.6</v>
      </c>
    </row>
    <row r="64" spans="1:27" s="328" customFormat="1" ht="12.75" customHeight="1">
      <c r="A64" s="44" t="s">
        <v>492</v>
      </c>
      <c r="B64" s="505" t="s">
        <v>605</v>
      </c>
      <c r="C64" s="319">
        <v>1</v>
      </c>
      <c r="D64" s="320">
        <v>0.89</v>
      </c>
      <c r="E64" s="528">
        <f>D64/C64</f>
        <v>0.89</v>
      </c>
      <c r="F64" s="514">
        <v>105</v>
      </c>
      <c r="G64" s="740">
        <f>F64*14.7</f>
        <v>1543.5</v>
      </c>
      <c r="H64" s="345"/>
      <c r="I64" s="97" t="s">
        <v>602</v>
      </c>
      <c r="J64" s="319">
        <v>1</v>
      </c>
      <c r="K64" s="320">
        <v>0.87</v>
      </c>
      <c r="L64" s="321">
        <f>K64/J64</f>
        <v>0.87</v>
      </c>
      <c r="M64" s="514">
        <v>167</v>
      </c>
      <c r="N64" s="740">
        <f>M64*14.7</f>
        <v>2454.9</v>
      </c>
      <c r="O64" s="365"/>
      <c r="P64" s="97" t="s">
        <v>610</v>
      </c>
      <c r="Q64" s="319">
        <v>1</v>
      </c>
      <c r="R64" s="320">
        <v>0</v>
      </c>
      <c r="S64" s="321">
        <f>R64/Q64</f>
        <v>0</v>
      </c>
      <c r="T64" s="402">
        <v>148</v>
      </c>
      <c r="U64" s="740">
        <f>T64*14.7</f>
        <v>2175.6</v>
      </c>
      <c r="V64" s="687"/>
      <c r="W64" s="402">
        <v>3</v>
      </c>
      <c r="X64" s="97"/>
      <c r="Y64" s="97"/>
      <c r="Z64" s="97">
        <v>2</v>
      </c>
      <c r="AA64" s="1188"/>
    </row>
    <row r="65" spans="1:27" s="328" customFormat="1" ht="12.75" customHeight="1">
      <c r="A65" s="560"/>
      <c r="B65" s="97" t="s">
        <v>607</v>
      </c>
      <c r="C65" s="319">
        <v>1</v>
      </c>
      <c r="D65" s="320">
        <v>0.6</v>
      </c>
      <c r="E65" s="528">
        <f>D65/C65</f>
        <v>0.6</v>
      </c>
      <c r="F65" s="514">
        <v>0</v>
      </c>
      <c r="G65" s="740">
        <f>F65*14.7</f>
        <v>0</v>
      </c>
      <c r="H65" s="345"/>
      <c r="I65" s="97" t="s">
        <v>608</v>
      </c>
      <c r="J65" s="319">
        <v>1</v>
      </c>
      <c r="K65" s="320">
        <v>0.87</v>
      </c>
      <c r="L65" s="528">
        <f>K65/J65</f>
        <v>0.87</v>
      </c>
      <c r="M65" s="514">
        <v>0</v>
      </c>
      <c r="N65" s="740">
        <f>M65*14.7</f>
        <v>0</v>
      </c>
      <c r="O65" s="365"/>
      <c r="P65" s="97" t="s">
        <v>633</v>
      </c>
      <c r="Q65" s="319">
        <v>1</v>
      </c>
      <c r="R65" s="320">
        <v>0.42</v>
      </c>
      <c r="S65" s="365">
        <f>R65/Q65</f>
        <v>0.42</v>
      </c>
      <c r="T65" s="402">
        <v>160</v>
      </c>
      <c r="U65" s="740">
        <f>T65*14.7</f>
        <v>2352</v>
      </c>
      <c r="V65" s="687"/>
      <c r="W65" s="402">
        <v>3</v>
      </c>
      <c r="X65" s="97">
        <v>2</v>
      </c>
      <c r="Y65" s="97"/>
      <c r="Z65" s="97">
        <v>1</v>
      </c>
      <c r="AA65" s="1188"/>
    </row>
    <row r="66" spans="1:27" s="328" customFormat="1" ht="12.75" customHeight="1">
      <c r="A66" s="560"/>
      <c r="B66" s="97" t="s">
        <v>609</v>
      </c>
      <c r="C66" s="319">
        <v>0.5</v>
      </c>
      <c r="D66" s="320">
        <v>0.13</v>
      </c>
      <c r="E66" s="498">
        <f>D66/C66</f>
        <v>0.26</v>
      </c>
      <c r="F66" s="499">
        <v>32</v>
      </c>
      <c r="G66" s="741">
        <f>F66*14.7</f>
        <v>470.4</v>
      </c>
      <c r="H66" s="345"/>
      <c r="I66" s="97"/>
      <c r="J66" s="319"/>
      <c r="K66" s="320"/>
      <c r="L66" s="498"/>
      <c r="M66" s="499"/>
      <c r="N66" s="741"/>
      <c r="O66" s="365"/>
      <c r="P66" s="97"/>
      <c r="Q66" s="319"/>
      <c r="R66" s="320"/>
      <c r="S66" s="321"/>
      <c r="T66" s="402"/>
      <c r="U66" s="735"/>
      <c r="V66" s="687"/>
      <c r="W66" s="402">
        <v>1</v>
      </c>
      <c r="X66" s="97"/>
      <c r="Y66" s="97"/>
      <c r="Z66" s="97">
        <v>1</v>
      </c>
      <c r="AA66" s="1188"/>
    </row>
    <row r="67" spans="1:27" s="328" customFormat="1" ht="12.75" customHeight="1">
      <c r="A67" s="318" t="s">
        <v>900</v>
      </c>
      <c r="B67" s="108">
        <v>4</v>
      </c>
      <c r="C67" s="109">
        <f>SUM(C63:C66)</f>
        <v>3.5</v>
      </c>
      <c r="D67" s="110">
        <f>SUM(D63:D66)</f>
        <v>2.55</v>
      </c>
      <c r="E67" s="111">
        <f>D67/C67</f>
        <v>0.7285714285714285</v>
      </c>
      <c r="F67" s="108" t="s">
        <v>147</v>
      </c>
      <c r="G67" s="737" t="s">
        <v>147</v>
      </c>
      <c r="H67" s="345"/>
      <c r="I67" s="108">
        <v>3</v>
      </c>
      <c r="J67" s="109">
        <f>SUM(J63:J66)</f>
        <v>3</v>
      </c>
      <c r="K67" s="110">
        <f>SUM(K63:K66)</f>
        <v>2.64</v>
      </c>
      <c r="L67" s="111">
        <f>K67/J67</f>
        <v>0.88</v>
      </c>
      <c r="M67" s="108" t="s">
        <v>147</v>
      </c>
      <c r="N67" s="737" t="s">
        <v>147</v>
      </c>
      <c r="O67" s="130"/>
      <c r="P67" s="108">
        <v>3</v>
      </c>
      <c r="Q67" s="109">
        <f>SUM(Q63:Q66)</f>
        <v>3</v>
      </c>
      <c r="R67" s="110">
        <f>SUM(R63:R66)</f>
        <v>1.29</v>
      </c>
      <c r="S67" s="111">
        <f>R67/Q67</f>
        <v>0.43</v>
      </c>
      <c r="T67" s="108" t="s">
        <v>147</v>
      </c>
      <c r="U67" s="737" t="s">
        <v>147</v>
      </c>
      <c r="V67" s="563"/>
      <c r="W67" s="108">
        <f>SUM(W63:W66)</f>
        <v>10</v>
      </c>
      <c r="X67" s="108">
        <f>SUM(X63:X66)</f>
        <v>3</v>
      </c>
      <c r="Y67" s="108">
        <f>SUM(Y63:Y66)</f>
        <v>0</v>
      </c>
      <c r="Z67" s="108">
        <f>SUM(Z63:Z66)</f>
        <v>6</v>
      </c>
      <c r="AA67" s="1200"/>
    </row>
    <row r="68" spans="1:27" s="331" customFormat="1" ht="6" customHeight="1">
      <c r="A68" s="591"/>
      <c r="B68" s="591"/>
      <c r="C68" s="591"/>
      <c r="D68" s="591"/>
      <c r="E68" s="591"/>
      <c r="F68" s="592"/>
      <c r="G68" s="744"/>
      <c r="H68" s="556"/>
      <c r="I68" s="591"/>
      <c r="J68" s="591"/>
      <c r="K68" s="591"/>
      <c r="L68" s="591"/>
      <c r="M68" s="591"/>
      <c r="N68" s="744"/>
      <c r="O68" s="558"/>
      <c r="P68" s="591"/>
      <c r="Q68" s="591"/>
      <c r="R68" s="591"/>
      <c r="S68" s="591"/>
      <c r="T68" s="592"/>
      <c r="U68" s="744"/>
      <c r="V68" s="558"/>
      <c r="W68" s="593"/>
      <c r="X68" s="594"/>
      <c r="Y68" s="594"/>
      <c r="Z68" s="594"/>
      <c r="AA68" s="595"/>
    </row>
    <row r="69" spans="1:27" s="328" customFormat="1" ht="12.75" customHeight="1">
      <c r="A69" s="318" t="s">
        <v>629</v>
      </c>
      <c r="B69" s="302" t="s">
        <v>273</v>
      </c>
      <c r="C69" s="303">
        <v>1</v>
      </c>
      <c r="D69" s="304">
        <v>0.98</v>
      </c>
      <c r="E69" s="324">
        <f>D69/C69</f>
        <v>0.98</v>
      </c>
      <c r="F69" s="502">
        <v>95</v>
      </c>
      <c r="G69" s="734">
        <f>F69*14.7</f>
        <v>1396.5</v>
      </c>
      <c r="H69" s="688"/>
      <c r="I69" s="302" t="s">
        <v>502</v>
      </c>
      <c r="J69" s="303">
        <v>1</v>
      </c>
      <c r="K69" s="304">
        <v>0.96</v>
      </c>
      <c r="L69" s="324">
        <f>K69/J69</f>
        <v>0.96</v>
      </c>
      <c r="M69" s="494">
        <v>0</v>
      </c>
      <c r="N69" s="734">
        <f>M69*14.7</f>
        <v>0</v>
      </c>
      <c r="O69" s="689"/>
      <c r="P69" s="302" t="s">
        <v>669</v>
      </c>
      <c r="Q69" s="303">
        <v>1</v>
      </c>
      <c r="R69" s="304">
        <v>0.96</v>
      </c>
      <c r="S69" s="324">
        <f>R69/Q69</f>
        <v>0.96</v>
      </c>
      <c r="T69" s="502">
        <v>130</v>
      </c>
      <c r="U69" s="734">
        <f>T69*14.7</f>
        <v>1911</v>
      </c>
      <c r="V69" s="687"/>
      <c r="W69" s="502">
        <v>3</v>
      </c>
      <c r="X69" s="302">
        <v>1</v>
      </c>
      <c r="Y69" s="302"/>
      <c r="Z69" s="535">
        <v>2</v>
      </c>
      <c r="AA69" s="1187">
        <f>X71/W71</f>
        <v>0.5</v>
      </c>
    </row>
    <row r="70" spans="1:27" s="328" customFormat="1" ht="12.75" customHeight="1">
      <c r="A70" s="44" t="s">
        <v>646</v>
      </c>
      <c r="B70" s="97" t="s">
        <v>281</v>
      </c>
      <c r="C70" s="319">
        <v>1</v>
      </c>
      <c r="D70" s="320">
        <v>0.85</v>
      </c>
      <c r="E70" s="321">
        <f>D70/C70</f>
        <v>0.85</v>
      </c>
      <c r="F70" s="402">
        <v>0</v>
      </c>
      <c r="G70" s="735">
        <f>F70*14.7</f>
        <v>0</v>
      </c>
      <c r="H70" s="688"/>
      <c r="I70" s="97" t="s">
        <v>673</v>
      </c>
      <c r="J70" s="319">
        <v>1</v>
      </c>
      <c r="K70" s="320">
        <v>0.87</v>
      </c>
      <c r="L70" s="321">
        <f>K70/J70</f>
        <v>0.87</v>
      </c>
      <c r="M70" s="514">
        <v>0</v>
      </c>
      <c r="N70" s="735">
        <f>M70*14.7</f>
        <v>0</v>
      </c>
      <c r="O70" s="689"/>
      <c r="P70" s="97" t="s">
        <v>279</v>
      </c>
      <c r="Q70" s="319">
        <v>1</v>
      </c>
      <c r="R70" s="320">
        <v>1.1</v>
      </c>
      <c r="S70" s="321">
        <f>R70/Q70</f>
        <v>1.1</v>
      </c>
      <c r="T70" s="402">
        <v>130</v>
      </c>
      <c r="U70" s="740">
        <f>T70*14.7</f>
        <v>1911</v>
      </c>
      <c r="V70" s="687"/>
      <c r="W70" s="402">
        <v>3</v>
      </c>
      <c r="X70" s="97">
        <v>2</v>
      </c>
      <c r="Y70" s="97"/>
      <c r="Z70" s="97">
        <v>1</v>
      </c>
      <c r="AA70" s="1188"/>
    </row>
    <row r="71" spans="1:27" s="328" customFormat="1" ht="12.75" customHeight="1">
      <c r="A71" s="318" t="s">
        <v>900</v>
      </c>
      <c r="B71" s="108">
        <v>2</v>
      </c>
      <c r="C71" s="109">
        <f>SUM(C69:C70)</f>
        <v>2</v>
      </c>
      <c r="D71" s="110">
        <f>SUM(D69:D70)</f>
        <v>1.83</v>
      </c>
      <c r="E71" s="111">
        <f>D71/C71</f>
        <v>0.915</v>
      </c>
      <c r="F71" s="108" t="s">
        <v>147</v>
      </c>
      <c r="G71" s="737" t="s">
        <v>147</v>
      </c>
      <c r="H71" s="345"/>
      <c r="I71" s="108">
        <v>2</v>
      </c>
      <c r="J71" s="109">
        <f>SUM(J69:J70)</f>
        <v>2</v>
      </c>
      <c r="K71" s="110">
        <f>SUM(K69:K70)</f>
        <v>1.83</v>
      </c>
      <c r="L71" s="111">
        <f>K71/J71</f>
        <v>0.915</v>
      </c>
      <c r="M71" s="108" t="s">
        <v>147</v>
      </c>
      <c r="N71" s="737" t="s">
        <v>147</v>
      </c>
      <c r="O71" s="130"/>
      <c r="P71" s="108">
        <v>2</v>
      </c>
      <c r="Q71" s="109">
        <f>SUM(Q69:Q70)</f>
        <v>2</v>
      </c>
      <c r="R71" s="110">
        <f>SUM(R69:R70)</f>
        <v>2.06</v>
      </c>
      <c r="S71" s="111">
        <f>R71/Q71</f>
        <v>1.03</v>
      </c>
      <c r="T71" s="108" t="s">
        <v>147</v>
      </c>
      <c r="U71" s="737" t="s">
        <v>147</v>
      </c>
      <c r="V71" s="131"/>
      <c r="W71" s="108">
        <f>SUM(W69:W70)</f>
        <v>6</v>
      </c>
      <c r="X71" s="108">
        <f>SUM(X69:X70)</f>
        <v>3</v>
      </c>
      <c r="Y71" s="108">
        <f>SUM(Y69:Y70)</f>
        <v>0</v>
      </c>
      <c r="Z71" s="108">
        <f>SUM(Z69:Z70)</f>
        <v>3</v>
      </c>
      <c r="AA71" s="1200"/>
    </row>
    <row r="72" spans="1:27" s="328" customFormat="1" ht="6" customHeight="1">
      <c r="A72" s="573"/>
      <c r="B72" s="573"/>
      <c r="C72" s="573"/>
      <c r="D72" s="573"/>
      <c r="E72" s="573"/>
      <c r="F72" s="658"/>
      <c r="G72" s="745"/>
      <c r="H72" s="573"/>
      <c r="I72" s="573"/>
      <c r="J72" s="573"/>
      <c r="K72" s="573"/>
      <c r="L72" s="573"/>
      <c r="M72" s="573"/>
      <c r="N72" s="745"/>
      <c r="O72" s="575"/>
      <c r="P72" s="573"/>
      <c r="Q72" s="573"/>
      <c r="R72" s="573"/>
      <c r="S72" s="573"/>
      <c r="T72" s="658"/>
      <c r="U72" s="745"/>
      <c r="V72" s="575"/>
      <c r="W72" s="659"/>
      <c r="X72" s="660"/>
      <c r="Y72" s="660"/>
      <c r="Z72" s="660"/>
      <c r="AA72" s="661"/>
    </row>
    <row r="73" spans="1:27" s="308" customFormat="1" ht="12.75" customHeight="1">
      <c r="A73" s="301" t="s">
        <v>660</v>
      </c>
      <c r="B73" s="302" t="s">
        <v>116</v>
      </c>
      <c r="C73" s="303">
        <v>1</v>
      </c>
      <c r="D73" s="304">
        <v>0.57</v>
      </c>
      <c r="E73" s="324">
        <f>D73/C73</f>
        <v>0.57</v>
      </c>
      <c r="F73" s="502">
        <v>0</v>
      </c>
      <c r="G73" s="734">
        <v>0</v>
      </c>
      <c r="H73" s="345"/>
      <c r="I73" s="341"/>
      <c r="J73" s="342"/>
      <c r="K73" s="343"/>
      <c r="L73" s="344"/>
      <c r="M73" s="344"/>
      <c r="N73" s="748"/>
      <c r="O73" s="130"/>
      <c r="P73" s="341"/>
      <c r="Q73" s="342"/>
      <c r="R73" s="343"/>
      <c r="S73" s="344"/>
      <c r="T73" s="412"/>
      <c r="U73" s="748"/>
      <c r="V73" s="131"/>
      <c r="W73" s="502">
        <v>1</v>
      </c>
      <c r="X73" s="302">
        <v>1</v>
      </c>
      <c r="Y73" s="302"/>
      <c r="Z73" s="535"/>
      <c r="AA73" s="1195">
        <f>Z75/W75</f>
        <v>0</v>
      </c>
    </row>
    <row r="74" spans="1:27" s="308" customFormat="1" ht="12.75" customHeight="1">
      <c r="A74" s="44" t="s">
        <v>647</v>
      </c>
      <c r="B74" s="373"/>
      <c r="C74" s="374"/>
      <c r="D74" s="375"/>
      <c r="E74" s="376"/>
      <c r="F74" s="407"/>
      <c r="G74" s="746"/>
      <c r="H74" s="345"/>
      <c r="I74" s="373"/>
      <c r="J74" s="374"/>
      <c r="K74" s="375"/>
      <c r="L74" s="376"/>
      <c r="M74" s="376"/>
      <c r="N74" s="746"/>
      <c r="O74" s="130"/>
      <c r="P74" s="373"/>
      <c r="Q74" s="374"/>
      <c r="R74" s="375"/>
      <c r="S74" s="376"/>
      <c r="T74" s="407"/>
      <c r="U74" s="746"/>
      <c r="V74" s="131"/>
      <c r="W74" s="499"/>
      <c r="X74" s="495"/>
      <c r="Y74" s="495"/>
      <c r="Z74" s="495"/>
      <c r="AA74" s="1196"/>
    </row>
    <row r="75" spans="1:27" s="308" customFormat="1" ht="12.75" customHeight="1">
      <c r="A75" s="318" t="s">
        <v>900</v>
      </c>
      <c r="B75" s="108">
        <v>1</v>
      </c>
      <c r="C75" s="109">
        <f>SUM(C73:C74)</f>
        <v>1</v>
      </c>
      <c r="D75" s="110">
        <f>SUM(D73:D74)</f>
        <v>0.57</v>
      </c>
      <c r="E75" s="111">
        <f>D75/C75</f>
        <v>0.57</v>
      </c>
      <c r="F75" s="108" t="s">
        <v>147</v>
      </c>
      <c r="G75" s="737" t="s">
        <v>147</v>
      </c>
      <c r="H75" s="345"/>
      <c r="I75" s="108">
        <v>0</v>
      </c>
      <c r="J75" s="109">
        <f>SUM(J73:J74)</f>
        <v>0</v>
      </c>
      <c r="K75" s="110">
        <f>SUM(K73:K74)</f>
        <v>0</v>
      </c>
      <c r="L75" s="111">
        <v>0</v>
      </c>
      <c r="M75" s="108" t="s">
        <v>147</v>
      </c>
      <c r="N75" s="737" t="s">
        <v>147</v>
      </c>
      <c r="O75" s="130"/>
      <c r="P75" s="108">
        <v>0</v>
      </c>
      <c r="Q75" s="109">
        <f>SUM(Q73:Q74)</f>
        <v>0</v>
      </c>
      <c r="R75" s="110">
        <f>SUM(R73:R74)</f>
        <v>0</v>
      </c>
      <c r="S75" s="111">
        <v>0</v>
      </c>
      <c r="T75" s="108" t="s">
        <v>147</v>
      </c>
      <c r="U75" s="737" t="s">
        <v>147</v>
      </c>
      <c r="V75" s="131"/>
      <c r="W75" s="108">
        <f>SUM(W73:W74)</f>
        <v>1</v>
      </c>
      <c r="X75" s="108">
        <f>SUM(X73:X74)</f>
        <v>1</v>
      </c>
      <c r="Y75" s="108">
        <f>SUM(Y73:Y74)</f>
        <v>0</v>
      </c>
      <c r="Z75" s="108">
        <f>SUM(Z73:Z74)</f>
        <v>0</v>
      </c>
      <c r="AA75" s="1209"/>
    </row>
    <row r="76" spans="1:27" s="331" customFormat="1" ht="6" customHeight="1">
      <c r="A76" s="555"/>
      <c r="B76" s="556"/>
      <c r="C76" s="556"/>
      <c r="D76" s="556"/>
      <c r="E76" s="556"/>
      <c r="F76" s="596"/>
      <c r="G76" s="747"/>
      <c r="H76" s="556"/>
      <c r="I76" s="556"/>
      <c r="J76" s="556"/>
      <c r="K76" s="556"/>
      <c r="L76" s="556"/>
      <c r="M76" s="556"/>
      <c r="N76" s="747"/>
      <c r="O76" s="558"/>
      <c r="P76" s="556"/>
      <c r="Q76" s="556"/>
      <c r="R76" s="556"/>
      <c r="S76" s="556"/>
      <c r="T76" s="596"/>
      <c r="U76" s="747"/>
      <c r="V76" s="558"/>
      <c r="W76" s="597"/>
      <c r="X76" s="312"/>
      <c r="Y76" s="312"/>
      <c r="Z76" s="312"/>
      <c r="AA76" s="595"/>
    </row>
    <row r="77" spans="1:27" s="308" customFormat="1" ht="12.75" customHeight="1">
      <c r="A77" s="318" t="s">
        <v>665</v>
      </c>
      <c r="B77" s="341"/>
      <c r="C77" s="342"/>
      <c r="D77" s="343"/>
      <c r="E77" s="344"/>
      <c r="F77" s="412"/>
      <c r="G77" s="748"/>
      <c r="H77" s="345"/>
      <c r="I77" s="302" t="s">
        <v>709</v>
      </c>
      <c r="J77" s="303">
        <v>1</v>
      </c>
      <c r="K77" s="304">
        <v>0.84</v>
      </c>
      <c r="L77" s="324">
        <f aca="true" t="shared" si="6" ref="L77:L83">K77/J77</f>
        <v>0.84</v>
      </c>
      <c r="M77" s="502">
        <v>110</v>
      </c>
      <c r="N77" s="734">
        <f aca="true" t="shared" si="7" ref="N77:N82">M77*14.7</f>
        <v>1617</v>
      </c>
      <c r="O77" s="130"/>
      <c r="P77" s="302" t="s">
        <v>710</v>
      </c>
      <c r="Q77" s="303">
        <v>1</v>
      </c>
      <c r="R77" s="304">
        <v>1.08</v>
      </c>
      <c r="S77" s="324">
        <f aca="true" t="shared" si="8" ref="S77:S83">R77/Q77</f>
        <v>1.08</v>
      </c>
      <c r="T77" s="502">
        <v>105</v>
      </c>
      <c r="U77" s="734">
        <f aca="true" t="shared" si="9" ref="U77:U82">T77*14.7</f>
        <v>1543.5</v>
      </c>
      <c r="V77" s="131"/>
      <c r="W77" s="502">
        <v>2</v>
      </c>
      <c r="X77" s="302"/>
      <c r="Y77" s="302"/>
      <c r="Z77" s="535">
        <v>2</v>
      </c>
      <c r="AA77" s="1195">
        <f>Z83/W83</f>
        <v>0.75</v>
      </c>
    </row>
    <row r="78" spans="1:27" s="308" customFormat="1" ht="12.75" customHeight="1">
      <c r="A78" s="44" t="s">
        <v>661</v>
      </c>
      <c r="B78" s="366"/>
      <c r="C78" s="367"/>
      <c r="D78" s="368"/>
      <c r="E78" s="369"/>
      <c r="F78" s="398"/>
      <c r="G78" s="749"/>
      <c r="H78" s="345"/>
      <c r="I78" s="97" t="s">
        <v>711</v>
      </c>
      <c r="J78" s="319">
        <v>1</v>
      </c>
      <c r="K78" s="320">
        <v>0.94</v>
      </c>
      <c r="L78" s="321">
        <f t="shared" si="6"/>
        <v>0.94</v>
      </c>
      <c r="M78" s="402">
        <v>0</v>
      </c>
      <c r="N78" s="735">
        <f t="shared" si="7"/>
        <v>0</v>
      </c>
      <c r="O78" s="130"/>
      <c r="P78" s="97" t="s">
        <v>712</v>
      </c>
      <c r="Q78" s="319">
        <v>1</v>
      </c>
      <c r="R78" s="320">
        <v>1.09</v>
      </c>
      <c r="S78" s="321">
        <f t="shared" si="8"/>
        <v>1.09</v>
      </c>
      <c r="T78" s="402">
        <v>103</v>
      </c>
      <c r="U78" s="735">
        <f t="shared" si="9"/>
        <v>1514.1</v>
      </c>
      <c r="V78" s="131"/>
      <c r="W78" s="402">
        <v>2</v>
      </c>
      <c r="X78" s="97">
        <v>1</v>
      </c>
      <c r="Y78" s="97"/>
      <c r="Z78" s="97">
        <v>1</v>
      </c>
      <c r="AA78" s="1196"/>
    </row>
    <row r="79" spans="1:27" s="308" customFormat="1" ht="12.75" customHeight="1">
      <c r="A79" s="418"/>
      <c r="B79" s="370"/>
      <c r="C79" s="371"/>
      <c r="D79" s="372"/>
      <c r="E79" s="130"/>
      <c r="F79" s="406"/>
      <c r="G79" s="750"/>
      <c r="H79" s="345"/>
      <c r="I79" s="475" t="s">
        <v>511</v>
      </c>
      <c r="J79" s="476">
        <v>1</v>
      </c>
      <c r="K79" s="503">
        <v>0.88</v>
      </c>
      <c r="L79" s="365">
        <f t="shared" si="6"/>
        <v>0.88</v>
      </c>
      <c r="M79" s="477">
        <v>0</v>
      </c>
      <c r="N79" s="736">
        <f t="shared" si="7"/>
        <v>0</v>
      </c>
      <c r="O79" s="130"/>
      <c r="P79" s="475" t="s">
        <v>278</v>
      </c>
      <c r="Q79" s="476">
        <v>1</v>
      </c>
      <c r="R79" s="503">
        <v>0.47</v>
      </c>
      <c r="S79" s="365">
        <f t="shared" si="8"/>
        <v>0.47</v>
      </c>
      <c r="T79" s="477">
        <v>100</v>
      </c>
      <c r="U79" s="736">
        <f t="shared" si="9"/>
        <v>1470</v>
      </c>
      <c r="V79" s="131"/>
      <c r="W79" s="477">
        <v>2</v>
      </c>
      <c r="X79" s="475">
        <v>1</v>
      </c>
      <c r="Y79" s="475"/>
      <c r="Z79" s="527">
        <v>1</v>
      </c>
      <c r="AA79" s="1196"/>
    </row>
    <row r="80" spans="1:27" s="308" customFormat="1" ht="12.75" customHeight="1">
      <c r="A80" s="44" t="s">
        <v>753</v>
      </c>
      <c r="B80" s="346"/>
      <c r="C80" s="347"/>
      <c r="D80" s="348"/>
      <c r="E80" s="379"/>
      <c r="F80" s="474"/>
      <c r="G80" s="751"/>
      <c r="H80" s="345"/>
      <c r="I80" s="302" t="s">
        <v>709</v>
      </c>
      <c r="J80" s="303">
        <v>1</v>
      </c>
      <c r="K80" s="304">
        <v>0</v>
      </c>
      <c r="L80" s="324">
        <f t="shared" si="6"/>
        <v>0</v>
      </c>
      <c r="M80" s="502">
        <v>0</v>
      </c>
      <c r="N80" s="734">
        <f t="shared" si="7"/>
        <v>0</v>
      </c>
      <c r="O80" s="130"/>
      <c r="P80" s="302" t="s">
        <v>752</v>
      </c>
      <c r="Q80" s="303">
        <v>1</v>
      </c>
      <c r="R80" s="304">
        <v>0.5</v>
      </c>
      <c r="S80" s="324">
        <f t="shared" si="8"/>
        <v>0.5</v>
      </c>
      <c r="T80" s="502">
        <v>102</v>
      </c>
      <c r="U80" s="734">
        <f t="shared" si="9"/>
        <v>1499.3999999999999</v>
      </c>
      <c r="V80" s="131"/>
      <c r="W80" s="502">
        <v>2</v>
      </c>
      <c r="X80" s="302"/>
      <c r="Y80" s="302"/>
      <c r="Z80" s="302">
        <v>1</v>
      </c>
      <c r="AA80" s="1196"/>
    </row>
    <row r="81" spans="1:27" s="308" customFormat="1" ht="12.75" customHeight="1">
      <c r="A81" s="44" t="s">
        <v>754</v>
      </c>
      <c r="B81" s="341"/>
      <c r="C81" s="342"/>
      <c r="D81" s="343"/>
      <c r="E81" s="344"/>
      <c r="F81" s="412"/>
      <c r="G81" s="748"/>
      <c r="H81" s="345"/>
      <c r="I81" s="490" t="s">
        <v>748</v>
      </c>
      <c r="J81" s="491">
        <v>1</v>
      </c>
      <c r="K81" s="492">
        <v>0.85</v>
      </c>
      <c r="L81" s="493">
        <f>K81/J81</f>
        <v>0.85</v>
      </c>
      <c r="M81" s="494">
        <v>120</v>
      </c>
      <c r="N81" s="739">
        <f t="shared" si="7"/>
        <v>1764</v>
      </c>
      <c r="O81" s="130"/>
      <c r="P81" s="490" t="s">
        <v>749</v>
      </c>
      <c r="Q81" s="491">
        <v>1</v>
      </c>
      <c r="R81" s="492">
        <v>1.1</v>
      </c>
      <c r="S81" s="493">
        <f>R81/Q81</f>
        <v>1.1</v>
      </c>
      <c r="T81" s="494">
        <v>105</v>
      </c>
      <c r="U81" s="739">
        <f t="shared" si="9"/>
        <v>1543.5</v>
      </c>
      <c r="V81" s="131"/>
      <c r="W81" s="494">
        <v>2</v>
      </c>
      <c r="X81" s="490"/>
      <c r="Y81" s="490"/>
      <c r="Z81" s="490">
        <v>2</v>
      </c>
      <c r="AA81" s="1196"/>
    </row>
    <row r="82" spans="1:27" s="308" customFormat="1" ht="12.75" customHeight="1">
      <c r="A82" s="418"/>
      <c r="B82" s="373"/>
      <c r="C82" s="374"/>
      <c r="D82" s="375"/>
      <c r="E82" s="376"/>
      <c r="F82" s="407"/>
      <c r="G82" s="746"/>
      <c r="H82" s="345"/>
      <c r="I82" s="495" t="s">
        <v>763</v>
      </c>
      <c r="J82" s="496">
        <v>1</v>
      </c>
      <c r="K82" s="497">
        <v>0.85</v>
      </c>
      <c r="L82" s="498">
        <f t="shared" si="6"/>
        <v>0.85</v>
      </c>
      <c r="M82" s="499">
        <v>112</v>
      </c>
      <c r="N82" s="741">
        <f t="shared" si="7"/>
        <v>1646.3999999999999</v>
      </c>
      <c r="O82" s="130"/>
      <c r="P82" s="495" t="s">
        <v>764</v>
      </c>
      <c r="Q82" s="496">
        <v>1</v>
      </c>
      <c r="R82" s="497">
        <v>1.08</v>
      </c>
      <c r="S82" s="498">
        <f t="shared" si="8"/>
        <v>1.08</v>
      </c>
      <c r="T82" s="499">
        <v>105</v>
      </c>
      <c r="U82" s="741">
        <f t="shared" si="9"/>
        <v>1543.5</v>
      </c>
      <c r="V82" s="131"/>
      <c r="W82" s="499">
        <v>2</v>
      </c>
      <c r="X82" s="495"/>
      <c r="Y82" s="495"/>
      <c r="Z82" s="495">
        <v>2</v>
      </c>
      <c r="AA82" s="1196"/>
    </row>
    <row r="83" spans="1:27" s="308" customFormat="1" ht="12.75" customHeight="1">
      <c r="A83" s="318" t="s">
        <v>900</v>
      </c>
      <c r="B83" s="108"/>
      <c r="C83" s="109"/>
      <c r="D83" s="110"/>
      <c r="E83" s="111"/>
      <c r="F83" s="108"/>
      <c r="G83" s="737"/>
      <c r="H83" s="345"/>
      <c r="I83" s="108">
        <v>6</v>
      </c>
      <c r="J83" s="109">
        <f>SUM(J77:J82)</f>
        <v>6</v>
      </c>
      <c r="K83" s="110">
        <f>SUM(K77:K82)</f>
        <v>4.359999999999999</v>
      </c>
      <c r="L83" s="111">
        <f t="shared" si="6"/>
        <v>0.7266666666666666</v>
      </c>
      <c r="M83" s="108" t="s">
        <v>147</v>
      </c>
      <c r="N83" s="737" t="s">
        <v>147</v>
      </c>
      <c r="O83" s="130"/>
      <c r="P83" s="108">
        <v>6</v>
      </c>
      <c r="Q83" s="109">
        <f>SUM(Q77:Q82)</f>
        <v>6</v>
      </c>
      <c r="R83" s="110">
        <f>SUM(R77:R82)</f>
        <v>5.32</v>
      </c>
      <c r="S83" s="111">
        <f t="shared" si="8"/>
        <v>0.8866666666666667</v>
      </c>
      <c r="T83" s="108" t="s">
        <v>147</v>
      </c>
      <c r="U83" s="737" t="s">
        <v>147</v>
      </c>
      <c r="V83" s="131"/>
      <c r="W83" s="108">
        <f>SUM(W77:W82)</f>
        <v>12</v>
      </c>
      <c r="X83" s="108">
        <f>SUM(X77:X82)</f>
        <v>2</v>
      </c>
      <c r="Y83" s="108">
        <f>SUM(Y77:Y82)</f>
        <v>0</v>
      </c>
      <c r="Z83" s="108">
        <f>SUM(Z77:Z82)</f>
        <v>9</v>
      </c>
      <c r="AA83" s="1197"/>
    </row>
    <row r="84" spans="1:27" s="331" customFormat="1" ht="12.75" customHeight="1">
      <c r="A84" s="310"/>
      <c r="B84" s="312"/>
      <c r="C84" s="313"/>
      <c r="D84" s="314"/>
      <c r="E84" s="315"/>
      <c r="F84" s="312"/>
      <c r="G84" s="752"/>
      <c r="H84" s="361"/>
      <c r="I84" s="312"/>
      <c r="J84" s="313"/>
      <c r="K84" s="314"/>
      <c r="L84" s="315"/>
      <c r="M84" s="314"/>
      <c r="N84" s="752"/>
      <c r="O84" s="315"/>
      <c r="P84" s="312"/>
      <c r="Q84" s="313"/>
      <c r="R84" s="314"/>
      <c r="S84" s="315"/>
      <c r="T84" s="312"/>
      <c r="U84" s="752"/>
      <c r="V84" s="315"/>
      <c r="W84" s="429"/>
      <c r="X84" s="569"/>
      <c r="Y84" s="569"/>
      <c r="Z84" s="569"/>
      <c r="AA84" s="570"/>
    </row>
    <row r="85" spans="1:27" s="323" customFormat="1" ht="24.75" customHeight="1">
      <c r="A85" s="695" t="s">
        <v>154</v>
      </c>
      <c r="B85" s="696">
        <f>B16+B24+B32+B37+B45+B49+B53+B57+B61+B67+B71+B75+B83</f>
        <v>42</v>
      </c>
      <c r="C85" s="697">
        <f>C16+C24+C32+C37+C45+C49+C53+C57+C61+C67+C71+C75+C83</f>
        <v>41.5</v>
      </c>
      <c r="D85" s="698">
        <f>D16+D24+D32+D37+D45+D49+D53+D57+D61+D67+D71+D75+D83</f>
        <v>28.989999999999995</v>
      </c>
      <c r="E85" s="699">
        <f>D85/C85</f>
        <v>0.6985542168674698</v>
      </c>
      <c r="F85" s="108" t="s">
        <v>147</v>
      </c>
      <c r="G85" s="737" t="s">
        <v>147</v>
      </c>
      <c r="H85" s="117"/>
      <c r="I85" s="696">
        <f>I16+I24+I32+I37+I45+I49+I53+I57+I61+I67+I71+I75+I83</f>
        <v>31</v>
      </c>
      <c r="J85" s="697">
        <f>J16+J24+J32+J37+J45+J49+J53+J57+J61+J67+J71+J75+J83</f>
        <v>31</v>
      </c>
      <c r="K85" s="698">
        <f>K16+K24+K32+K37+K45+K49+K53+K57+K61+K67+K71+K75+K83</f>
        <v>24.1</v>
      </c>
      <c r="L85" s="699">
        <f>K85/J85</f>
        <v>0.7774193548387097</v>
      </c>
      <c r="M85" s="108" t="s">
        <v>147</v>
      </c>
      <c r="N85" s="737" t="s">
        <v>147</v>
      </c>
      <c r="O85" s="130"/>
      <c r="P85" s="696">
        <f>P16+P24+P32+P37+P45+P49+P53+P57+P61+P67+P71+P75+P83</f>
        <v>24</v>
      </c>
      <c r="Q85" s="697">
        <f>Q16+Q24+Q32+Q37+Q45+Q49+Q53+Q57+Q61+Q67+Q71+Q75+Q83</f>
        <v>24</v>
      </c>
      <c r="R85" s="698">
        <f>R16+R24+R32+R37+R45+R49+R53+R57+R61+R67+R71+R75+R83</f>
        <v>15.390000000000002</v>
      </c>
      <c r="S85" s="699">
        <f>R85/Q85</f>
        <v>0.6412500000000001</v>
      </c>
      <c r="T85" s="108" t="s">
        <v>147</v>
      </c>
      <c r="U85" s="737" t="s">
        <v>147</v>
      </c>
      <c r="V85" s="131"/>
      <c r="W85" s="696">
        <f>W16+W24+W32+W37+W45+W49+W53+W57+W61+W67+W71+W75+W83</f>
        <v>97</v>
      </c>
      <c r="X85" s="696">
        <f>X16+X24+X32+X37+X45+X49+X53+X57+X61+X67+X71+X75+X83</f>
        <v>35</v>
      </c>
      <c r="Y85" s="696">
        <f>Y16+Y24+Y32+Y37+Y45+Y49+Y53+Y57+Y61+Y67+Y71+Y75+Y83</f>
        <v>4</v>
      </c>
      <c r="Z85" s="696">
        <f>Z16+Z24+Z32+Z37+Z45+Z49+Z53+Z57+Z61+Z67+Z71+Z75+Z83</f>
        <v>49</v>
      </c>
      <c r="AA85" s="700">
        <f>Z85/W85</f>
        <v>0.5051546391752577</v>
      </c>
    </row>
    <row r="86" spans="1:27" ht="12.75">
      <c r="A86" s="107"/>
      <c r="B86" s="9"/>
      <c r="C86" s="2"/>
      <c r="D86" s="50"/>
      <c r="E86" s="6"/>
      <c r="F86" s="104"/>
      <c r="G86" s="753"/>
      <c r="H86" s="6"/>
      <c r="I86" s="9"/>
      <c r="J86" s="2"/>
      <c r="K86" s="50"/>
      <c r="L86" s="6"/>
      <c r="M86" s="50"/>
      <c r="N86" s="753"/>
      <c r="O86" s="6"/>
      <c r="P86" s="9"/>
      <c r="Q86" s="2"/>
      <c r="R86" s="50"/>
      <c r="S86" s="6"/>
      <c r="T86" s="104"/>
      <c r="U86" s="753"/>
      <c r="V86" s="6"/>
      <c r="W86" s="115"/>
      <c r="AA86" s="10"/>
    </row>
    <row r="87" spans="1:27" ht="11.25">
      <c r="A87" s="488" t="s">
        <v>518</v>
      </c>
      <c r="B87" s="1204" t="s">
        <v>521</v>
      </c>
      <c r="C87" s="1205"/>
      <c r="D87" s="1206" t="s">
        <v>519</v>
      </c>
      <c r="E87" s="1207"/>
      <c r="F87" s="1208"/>
      <c r="G87" s="754" t="s">
        <v>66</v>
      </c>
      <c r="H87" s="5"/>
      <c r="I87" s="1204" t="s">
        <v>522</v>
      </c>
      <c r="J87" s="1205"/>
      <c r="K87" s="1206" t="s">
        <v>519</v>
      </c>
      <c r="L87" s="1207"/>
      <c r="M87" s="1208"/>
      <c r="N87" s="754" t="s">
        <v>66</v>
      </c>
      <c r="O87" s="5"/>
      <c r="P87" s="1204" t="s">
        <v>523</v>
      </c>
      <c r="Q87" s="1205"/>
      <c r="R87" s="1206" t="s">
        <v>519</v>
      </c>
      <c r="S87" s="1207"/>
      <c r="T87" s="1208"/>
      <c r="U87" s="754" t="s">
        <v>66</v>
      </c>
      <c r="V87" s="5"/>
      <c r="W87" s="1210" t="s">
        <v>4</v>
      </c>
      <c r="X87" s="1211"/>
      <c r="Y87" s="1206" t="s">
        <v>524</v>
      </c>
      <c r="Z87" s="1208"/>
      <c r="AA87" s="487" t="s">
        <v>66</v>
      </c>
    </row>
    <row r="88" spans="1:27" ht="11.25">
      <c r="A88" s="489" t="s">
        <v>520</v>
      </c>
      <c r="B88" s="1204">
        <f>B85</f>
        <v>42</v>
      </c>
      <c r="C88" s="1205"/>
      <c r="D88" s="1201">
        <v>20</v>
      </c>
      <c r="E88" s="1202"/>
      <c r="F88" s="1203"/>
      <c r="G88" s="755">
        <f>(D88/B88)*100</f>
        <v>47.61904761904761</v>
      </c>
      <c r="H88" s="5"/>
      <c r="I88" s="1204">
        <f>I85</f>
        <v>31</v>
      </c>
      <c r="J88" s="1205"/>
      <c r="K88" s="1201">
        <v>12</v>
      </c>
      <c r="L88" s="1202"/>
      <c r="M88" s="1203"/>
      <c r="N88" s="755">
        <f>(K88/I88)*100</f>
        <v>38.70967741935484</v>
      </c>
      <c r="O88" s="5"/>
      <c r="P88" s="1204">
        <f>P85</f>
        <v>24</v>
      </c>
      <c r="Q88" s="1205"/>
      <c r="R88" s="1201">
        <v>17</v>
      </c>
      <c r="S88" s="1202"/>
      <c r="T88" s="1203"/>
      <c r="U88" s="755">
        <f>(R88/P88)*100</f>
        <v>70.83333333333334</v>
      </c>
      <c r="V88" s="5"/>
      <c r="W88" s="1210">
        <f>B88+I88+P88</f>
        <v>97</v>
      </c>
      <c r="X88" s="1211"/>
      <c r="Y88" s="1210">
        <f>D88+K88+R88</f>
        <v>49</v>
      </c>
      <c r="Z88" s="1211"/>
      <c r="AA88" s="701">
        <f>(Y88/W88)*100</f>
        <v>50.51546391752577</v>
      </c>
    </row>
    <row r="90" spans="3:23" ht="11.25">
      <c r="C90" s="2"/>
      <c r="D90" s="4"/>
      <c r="E90" s="5"/>
      <c r="F90" s="3"/>
      <c r="G90" s="753"/>
      <c r="H90" s="5"/>
      <c r="J90" s="2"/>
      <c r="K90" s="4"/>
      <c r="L90" s="5"/>
      <c r="M90" s="4"/>
      <c r="N90" s="753"/>
      <c r="O90" s="5"/>
      <c r="Q90" s="2"/>
      <c r="R90" s="4"/>
      <c r="S90" s="5"/>
      <c r="T90" s="3"/>
      <c r="U90" s="753"/>
      <c r="V90" s="5"/>
      <c r="W90" s="115"/>
    </row>
    <row r="91" spans="3:23" ht="11.25">
      <c r="C91" s="2"/>
      <c r="D91" s="4"/>
      <c r="E91" s="5"/>
      <c r="F91" s="3"/>
      <c r="G91" s="753"/>
      <c r="H91" s="5"/>
      <c r="J91" s="2"/>
      <c r="K91" s="4"/>
      <c r="L91" s="5"/>
      <c r="M91" s="4"/>
      <c r="N91" s="753"/>
      <c r="O91" s="5"/>
      <c r="Q91" s="2"/>
      <c r="R91" s="4"/>
      <c r="S91" s="5"/>
      <c r="T91" s="3"/>
      <c r="U91" s="753"/>
      <c r="V91" s="5"/>
      <c r="W91" s="115"/>
    </row>
    <row r="92" spans="3:23" ht="11.25">
      <c r="C92" s="2"/>
      <c r="D92" s="4"/>
      <c r="E92" s="5"/>
      <c r="F92" s="3"/>
      <c r="G92" s="753"/>
      <c r="H92" s="5"/>
      <c r="J92" s="2"/>
      <c r="K92" s="4"/>
      <c r="L92" s="5"/>
      <c r="M92" s="4"/>
      <c r="N92" s="753"/>
      <c r="O92" s="5"/>
      <c r="Q92" s="2"/>
      <c r="R92" s="4"/>
      <c r="S92" s="5"/>
      <c r="T92" s="3"/>
      <c r="U92" s="753"/>
      <c r="V92" s="5"/>
      <c r="W92" s="115"/>
    </row>
    <row r="93" spans="3:23" ht="11.25">
      <c r="C93" s="2"/>
      <c r="D93" s="4"/>
      <c r="E93" s="5"/>
      <c r="F93" s="3"/>
      <c r="G93" s="753"/>
      <c r="H93" s="5"/>
      <c r="J93" s="2"/>
      <c r="K93" s="4"/>
      <c r="L93" s="5"/>
      <c r="M93" s="4"/>
      <c r="N93" s="753"/>
      <c r="O93" s="5"/>
      <c r="Q93" s="2"/>
      <c r="R93" s="4"/>
      <c r="S93" s="5"/>
      <c r="T93" s="3"/>
      <c r="U93" s="753"/>
      <c r="V93" s="5"/>
      <c r="W93" s="115"/>
    </row>
    <row r="94" spans="4:23" ht="11.25">
      <c r="D94" s="4"/>
      <c r="E94" s="5"/>
      <c r="F94" s="3"/>
      <c r="G94" s="753"/>
      <c r="H94" s="5"/>
      <c r="K94" s="4"/>
      <c r="L94" s="5"/>
      <c r="M94" s="4"/>
      <c r="N94" s="753"/>
      <c r="O94" s="5"/>
      <c r="R94" s="4"/>
      <c r="S94" s="5"/>
      <c r="T94" s="3"/>
      <c r="U94" s="753"/>
      <c r="V94" s="5"/>
      <c r="W94" s="115"/>
    </row>
    <row r="95" spans="2:23" ht="11.25">
      <c r="B95" s="3"/>
      <c r="C95" s="2"/>
      <c r="D95" s="4"/>
      <c r="E95" s="5"/>
      <c r="F95" s="3"/>
      <c r="G95" s="753"/>
      <c r="H95" s="5"/>
      <c r="I95" s="3"/>
      <c r="J95" s="2"/>
      <c r="K95" s="4"/>
      <c r="L95" s="5"/>
      <c r="M95" s="4"/>
      <c r="N95" s="753"/>
      <c r="O95" s="5"/>
      <c r="P95" s="3"/>
      <c r="Q95" s="2"/>
      <c r="R95" s="4"/>
      <c r="S95" s="5"/>
      <c r="T95" s="3"/>
      <c r="U95" s="753"/>
      <c r="V95" s="5"/>
      <c r="W95" s="115"/>
    </row>
  </sheetData>
  <sheetProtection/>
  <mergeCells count="39">
    <mergeCell ref="Y88:Z88"/>
    <mergeCell ref="P88:Q88"/>
    <mergeCell ref="R88:T88"/>
    <mergeCell ref="W87:X87"/>
    <mergeCell ref="W88:X88"/>
    <mergeCell ref="B88:C88"/>
    <mergeCell ref="D88:F88"/>
    <mergeCell ref="I87:J87"/>
    <mergeCell ref="K87:M87"/>
    <mergeCell ref="I88:J88"/>
    <mergeCell ref="K88:M88"/>
    <mergeCell ref="AA59:AA61"/>
    <mergeCell ref="AA69:AA71"/>
    <mergeCell ref="AA63:AA67"/>
    <mergeCell ref="B87:C87"/>
    <mergeCell ref="D87:F87"/>
    <mergeCell ref="P87:Q87"/>
    <mergeCell ref="R87:T87"/>
    <mergeCell ref="Y87:Z87"/>
    <mergeCell ref="AA73:AA75"/>
    <mergeCell ref="B6:G6"/>
    <mergeCell ref="I6:N6"/>
    <mergeCell ref="AA77:AA83"/>
    <mergeCell ref="AA39:AA45"/>
    <mergeCell ref="AA47:AA49"/>
    <mergeCell ref="AA51:AA53"/>
    <mergeCell ref="AA55:AA57"/>
    <mergeCell ref="AA34:AA37"/>
    <mergeCell ref="P6:U6"/>
    <mergeCell ref="AA18:AA24"/>
    <mergeCell ref="AA26:AA32"/>
    <mergeCell ref="A1:AA1"/>
    <mergeCell ref="AA10:AA16"/>
    <mergeCell ref="F7:G7"/>
    <mergeCell ref="M7:N7"/>
    <mergeCell ref="T7:U7"/>
    <mergeCell ref="W6:AA6"/>
    <mergeCell ref="A2:AA2"/>
    <mergeCell ref="A4:AA4"/>
  </mergeCells>
  <printOptions horizontalCentered="1"/>
  <pageMargins left="0" right="0" top="1" bottom="0.5" header="0" footer="0.25"/>
  <pageSetup fitToHeight="3" fitToWidth="1" orientation="landscape" scale="98" r:id="rId1"/>
  <headerFooter alignWithMargins="0">
    <oddHeader>&amp;R
</oddHeader>
    <oddFooter>&amp;L&amp;"Arial,Regular"&amp;8&amp;F&amp;C&amp;"Arial,Regular"&amp;8Page &amp;P of &amp;N&amp;R&amp;"Arial,Regular"&amp;8M. Storms, 17 August 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67">
      <selection activeCell="F93" sqref="F93"/>
    </sheetView>
  </sheetViews>
  <sheetFormatPr defaultColWidth="9.00390625" defaultRowHeight="12.75"/>
  <cols>
    <col min="1" max="1" width="7.625" style="77" customWidth="1"/>
    <col min="2" max="2" width="6.50390625" style="7" customWidth="1"/>
    <col min="3" max="3" width="5.375" style="1" customWidth="1"/>
    <col min="4" max="4" width="7.75390625" style="8" customWidth="1"/>
    <col min="5" max="5" width="7.25390625" style="727" customWidth="1"/>
    <col min="6" max="6" width="7.625" style="10" customWidth="1"/>
    <col min="7" max="7" width="7.625" style="7" customWidth="1"/>
    <col min="8" max="8" width="7.625" style="1" customWidth="1"/>
    <col min="9" max="9" width="8.50390625" style="1" customWidth="1"/>
    <col min="10" max="10" width="9.00390625" style="1" customWidth="1"/>
    <col min="11" max="11" width="7.375" style="9" bestFit="1" customWidth="1"/>
    <col min="12" max="12" width="8.375" style="10" customWidth="1"/>
    <col min="13" max="13" width="6.00390625" style="8" bestFit="1" customWidth="1"/>
    <col min="14" max="14" width="3.875" style="585" bestFit="1" customWidth="1"/>
    <col min="15" max="15" width="3.25390625" style="444" bestFit="1" customWidth="1"/>
    <col min="16" max="16384" width="9.00390625" style="1" customWidth="1"/>
  </cols>
  <sheetData>
    <row r="1" spans="1:15" s="53" customFormat="1" ht="18">
      <c r="A1" s="1158" t="s">
        <v>245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580"/>
      <c r="O1" s="705"/>
    </row>
    <row r="2" spans="1:15" s="53" customFormat="1" ht="18">
      <c r="A2" s="1158" t="s">
        <v>246</v>
      </c>
      <c r="B2" s="1158"/>
      <c r="C2" s="1158"/>
      <c r="D2" s="1158"/>
      <c r="E2" s="1158"/>
      <c r="F2" s="1158"/>
      <c r="G2" s="1158"/>
      <c r="H2" s="1158"/>
      <c r="I2" s="1158"/>
      <c r="J2" s="1158"/>
      <c r="K2" s="1158"/>
      <c r="L2" s="1158"/>
      <c r="M2" s="1158"/>
      <c r="N2" s="580"/>
      <c r="O2" s="705"/>
    </row>
    <row r="3" spans="1:15" s="53" customFormat="1" ht="9.75" customHeight="1">
      <c r="A3" s="61"/>
      <c r="B3" s="61"/>
      <c r="C3" s="61"/>
      <c r="D3" s="61"/>
      <c r="E3" s="717"/>
      <c r="F3" s="61"/>
      <c r="G3" s="61"/>
      <c r="H3" s="61"/>
      <c r="I3" s="61"/>
      <c r="J3" s="61"/>
      <c r="K3" s="128"/>
      <c r="L3" s="61"/>
      <c r="M3" s="99"/>
      <c r="N3" s="580"/>
      <c r="O3" s="705"/>
    </row>
    <row r="4" spans="1:15" s="53" customFormat="1" ht="18">
      <c r="A4" s="1159" t="s">
        <v>349</v>
      </c>
      <c r="B4" s="1159"/>
      <c r="C4" s="1159"/>
      <c r="D4" s="1159"/>
      <c r="E4" s="1159"/>
      <c r="F4" s="1159"/>
      <c r="G4" s="1159"/>
      <c r="H4" s="1159"/>
      <c r="I4" s="1159"/>
      <c r="J4" s="1159"/>
      <c r="K4" s="1159"/>
      <c r="L4" s="1159"/>
      <c r="M4" s="1159"/>
      <c r="N4" s="580"/>
      <c r="O4" s="705"/>
    </row>
    <row r="5" spans="1:15" s="20" customFormat="1" ht="6" customHeight="1">
      <c r="A5" s="129"/>
      <c r="E5" s="718"/>
      <c r="K5" s="106"/>
      <c r="M5" s="127"/>
      <c r="N5" s="581"/>
      <c r="O5" s="706"/>
    </row>
    <row r="6" spans="1:14" s="119" customFormat="1" ht="12.75" customHeight="1">
      <c r="A6" s="120"/>
      <c r="B6" s="120"/>
      <c r="C6" s="120"/>
      <c r="D6" s="122" t="s">
        <v>70</v>
      </c>
      <c r="E6" s="719" t="s">
        <v>368</v>
      </c>
      <c r="F6" s="123" t="s">
        <v>69</v>
      </c>
      <c r="G6" s="123" t="s">
        <v>69</v>
      </c>
      <c r="H6" s="120"/>
      <c r="I6" s="120" t="s">
        <v>357</v>
      </c>
      <c r="J6" s="120"/>
      <c r="K6" s="385" t="s">
        <v>71</v>
      </c>
      <c r="L6" s="123" t="s">
        <v>370</v>
      </c>
      <c r="M6" s="122" t="s">
        <v>361</v>
      </c>
      <c r="N6" s="582"/>
    </row>
    <row r="7" spans="1:14" s="119" customFormat="1" ht="12.75" customHeight="1">
      <c r="A7" s="121" t="s">
        <v>28</v>
      </c>
      <c r="B7" s="121" t="s">
        <v>62</v>
      </c>
      <c r="C7" s="121" t="s">
        <v>70</v>
      </c>
      <c r="D7" s="292" t="s">
        <v>356</v>
      </c>
      <c r="E7" s="720" t="s">
        <v>69</v>
      </c>
      <c r="F7" s="410" t="s">
        <v>898</v>
      </c>
      <c r="G7" s="410" t="s">
        <v>899</v>
      </c>
      <c r="H7" s="121" t="s">
        <v>357</v>
      </c>
      <c r="I7" s="121" t="s">
        <v>369</v>
      </c>
      <c r="J7" s="121" t="s">
        <v>66</v>
      </c>
      <c r="K7" s="411" t="s">
        <v>263</v>
      </c>
      <c r="L7" s="293" t="s">
        <v>371</v>
      </c>
      <c r="M7" s="292" t="s">
        <v>255</v>
      </c>
      <c r="N7" s="582"/>
    </row>
    <row r="8" spans="1:14" s="119" customFormat="1" ht="12.75" customHeight="1">
      <c r="A8" s="124" t="s">
        <v>61</v>
      </c>
      <c r="B8" s="124" t="s">
        <v>61</v>
      </c>
      <c r="C8" s="124" t="s">
        <v>61</v>
      </c>
      <c r="D8" s="125" t="s">
        <v>355</v>
      </c>
      <c r="E8" s="721" t="s">
        <v>46</v>
      </c>
      <c r="F8" s="126" t="s">
        <v>316</v>
      </c>
      <c r="G8" s="126" t="s">
        <v>316</v>
      </c>
      <c r="H8" s="124" t="s">
        <v>358</v>
      </c>
      <c r="I8" s="126" t="s">
        <v>812</v>
      </c>
      <c r="J8" s="126" t="s">
        <v>812</v>
      </c>
      <c r="K8" s="386" t="s">
        <v>359</v>
      </c>
      <c r="L8" s="126" t="s">
        <v>372</v>
      </c>
      <c r="M8" s="125" t="s">
        <v>360</v>
      </c>
      <c r="N8" s="582"/>
    </row>
    <row r="9" spans="1:15" s="300" customFormat="1" ht="6" customHeight="1">
      <c r="A9" s="294"/>
      <c r="B9" s="294"/>
      <c r="C9" s="296"/>
      <c r="D9" s="297"/>
      <c r="E9" s="728"/>
      <c r="F9" s="298"/>
      <c r="G9" s="296"/>
      <c r="H9" s="296"/>
      <c r="I9" s="295"/>
      <c r="J9" s="295"/>
      <c r="K9" s="296"/>
      <c r="L9" s="298"/>
      <c r="M9" s="297"/>
      <c r="N9" s="583"/>
      <c r="O9" s="299"/>
    </row>
    <row r="10" spans="1:16" s="308" customFormat="1" ht="12.75" customHeight="1">
      <c r="A10" s="318" t="s">
        <v>189</v>
      </c>
      <c r="B10" s="44" t="s">
        <v>157</v>
      </c>
      <c r="C10" s="341" t="s">
        <v>438</v>
      </c>
      <c r="D10" s="342" t="s">
        <v>362</v>
      </c>
      <c r="E10" s="758">
        <v>2674.2</v>
      </c>
      <c r="F10" s="342">
        <f aca="true" t="shared" si="0" ref="F10:F15">G10-H10</f>
        <v>42.3</v>
      </c>
      <c r="G10" s="62">
        <v>43.3</v>
      </c>
      <c r="H10" s="62">
        <v>1</v>
      </c>
      <c r="I10" s="305">
        <v>0.91</v>
      </c>
      <c r="J10" s="344">
        <f aca="true" t="shared" si="1" ref="J10:J15">I10/H10</f>
        <v>0.91</v>
      </c>
      <c r="K10" s="412">
        <v>1990</v>
      </c>
      <c r="L10" s="62" t="s">
        <v>152</v>
      </c>
      <c r="M10" s="62">
        <v>0</v>
      </c>
      <c r="N10" s="579"/>
      <c r="O10" s="307"/>
      <c r="P10" s="307"/>
    </row>
    <row r="11" spans="1:16" s="308" customFormat="1" ht="12.75" customHeight="1">
      <c r="A11" s="413"/>
      <c r="B11" s="473"/>
      <c r="C11" s="398" t="s">
        <v>265</v>
      </c>
      <c r="D11" s="42" t="s">
        <v>363</v>
      </c>
      <c r="E11" s="759">
        <v>2674.2</v>
      </c>
      <c r="F11" s="367">
        <f t="shared" si="0"/>
        <v>91.8</v>
      </c>
      <c r="G11" s="42">
        <v>92.8</v>
      </c>
      <c r="H11" s="42">
        <v>1</v>
      </c>
      <c r="I11" s="43">
        <v>0</v>
      </c>
      <c r="J11" s="369">
        <f t="shared" si="1"/>
        <v>0</v>
      </c>
      <c r="K11" s="398">
        <v>2230</v>
      </c>
      <c r="L11" s="42" t="s">
        <v>152</v>
      </c>
      <c r="M11" s="42">
        <v>0.311</v>
      </c>
      <c r="N11" s="579"/>
      <c r="O11" s="307"/>
      <c r="P11" s="307"/>
    </row>
    <row r="12" spans="1:16" s="317" customFormat="1" ht="12.75" customHeight="1">
      <c r="A12" s="413"/>
      <c r="B12" s="473"/>
      <c r="C12" s="398" t="s">
        <v>289</v>
      </c>
      <c r="D12" s="42" t="s">
        <v>364</v>
      </c>
      <c r="E12" s="759">
        <v>2674.2</v>
      </c>
      <c r="F12" s="367">
        <f t="shared" si="0"/>
        <v>152.8</v>
      </c>
      <c r="G12" s="42">
        <v>153.8</v>
      </c>
      <c r="H12" s="42">
        <v>1</v>
      </c>
      <c r="I12" s="43">
        <v>1.01</v>
      </c>
      <c r="J12" s="369">
        <f t="shared" si="1"/>
        <v>1.01</v>
      </c>
      <c r="K12" s="398">
        <v>3730</v>
      </c>
      <c r="L12" s="42" t="s">
        <v>152</v>
      </c>
      <c r="M12" s="42">
        <v>0.015</v>
      </c>
      <c r="N12" s="578"/>
      <c r="O12" s="316"/>
      <c r="P12" s="316"/>
    </row>
    <row r="13" spans="1:16" s="317" customFormat="1" ht="12.75" customHeight="1">
      <c r="A13" s="413"/>
      <c r="B13" s="473"/>
      <c r="C13" s="398" t="s">
        <v>290</v>
      </c>
      <c r="D13" s="42" t="s">
        <v>365</v>
      </c>
      <c r="E13" s="759">
        <v>2674.2</v>
      </c>
      <c r="F13" s="367">
        <f t="shared" si="0"/>
        <v>203</v>
      </c>
      <c r="G13" s="42">
        <v>204</v>
      </c>
      <c r="H13" s="42">
        <v>1</v>
      </c>
      <c r="I13" s="43">
        <v>0</v>
      </c>
      <c r="J13" s="369">
        <f t="shared" si="1"/>
        <v>0</v>
      </c>
      <c r="K13" s="398">
        <v>2010</v>
      </c>
      <c r="L13" s="42" t="s">
        <v>152</v>
      </c>
      <c r="M13" s="42">
        <v>0.603</v>
      </c>
      <c r="N13" s="578"/>
      <c r="O13" s="316"/>
      <c r="P13" s="316"/>
    </row>
    <row r="14" spans="1:16" s="317" customFormat="1" ht="12.75" customHeight="1">
      <c r="A14" s="413"/>
      <c r="B14" s="473"/>
      <c r="C14" s="398" t="s">
        <v>291</v>
      </c>
      <c r="D14" s="42" t="s">
        <v>366</v>
      </c>
      <c r="E14" s="759">
        <v>2674.2</v>
      </c>
      <c r="F14" s="367">
        <f t="shared" si="0"/>
        <v>243.6</v>
      </c>
      <c r="G14" s="42">
        <v>244.6</v>
      </c>
      <c r="H14" s="42">
        <v>1</v>
      </c>
      <c r="I14" s="43">
        <v>0</v>
      </c>
      <c r="J14" s="369">
        <f t="shared" si="1"/>
        <v>0</v>
      </c>
      <c r="K14" s="398">
        <v>0</v>
      </c>
      <c r="L14" s="42" t="s">
        <v>152</v>
      </c>
      <c r="M14" s="42">
        <v>0</v>
      </c>
      <c r="N14" s="578"/>
      <c r="O14" s="316"/>
      <c r="P14" s="316"/>
    </row>
    <row r="15" spans="1:16" s="317" customFormat="1" ht="12.75" customHeight="1">
      <c r="A15" s="413"/>
      <c r="B15" s="413"/>
      <c r="C15" s="397" t="s">
        <v>292</v>
      </c>
      <c r="D15" s="67" t="s">
        <v>367</v>
      </c>
      <c r="E15" s="760">
        <v>2674.2</v>
      </c>
      <c r="F15" s="357">
        <f t="shared" si="0"/>
        <v>289</v>
      </c>
      <c r="G15" s="67">
        <v>290</v>
      </c>
      <c r="H15" s="67">
        <v>1</v>
      </c>
      <c r="I15" s="68">
        <v>0</v>
      </c>
      <c r="J15" s="359">
        <f t="shared" si="1"/>
        <v>0</v>
      </c>
      <c r="K15" s="397">
        <v>0</v>
      </c>
      <c r="L15" s="67" t="s">
        <v>152</v>
      </c>
      <c r="M15" s="67">
        <v>0</v>
      </c>
      <c r="N15" s="578"/>
      <c r="O15" s="316"/>
      <c r="P15" s="316"/>
    </row>
    <row r="16" spans="1:16" s="416" customFormat="1" ht="12.75" customHeight="1">
      <c r="A16" s="318" t="s">
        <v>206</v>
      </c>
      <c r="B16" s="44" t="s">
        <v>350</v>
      </c>
      <c r="C16" s="341" t="s">
        <v>430</v>
      </c>
      <c r="D16" s="342" t="s">
        <v>373</v>
      </c>
      <c r="E16" s="758">
        <v>1085.1</v>
      </c>
      <c r="F16" s="342">
        <f>G16-H16</f>
        <v>104.9</v>
      </c>
      <c r="G16" s="62">
        <v>105.9</v>
      </c>
      <c r="H16" s="62">
        <v>1</v>
      </c>
      <c r="I16" s="305">
        <v>0.95</v>
      </c>
      <c r="J16" s="344">
        <f>I16/H16</f>
        <v>0.95</v>
      </c>
      <c r="K16" s="412">
        <v>1014</v>
      </c>
      <c r="L16" s="62" t="s">
        <v>152</v>
      </c>
      <c r="M16" s="62">
        <v>1.2</v>
      </c>
      <c r="N16" s="579"/>
      <c r="O16" s="415"/>
      <c r="P16" s="415"/>
    </row>
    <row r="17" spans="1:16" s="416" customFormat="1" ht="12.75" customHeight="1">
      <c r="A17" s="242"/>
      <c r="B17" s="40"/>
      <c r="C17" s="366" t="s">
        <v>433</v>
      </c>
      <c r="D17" s="367" t="s">
        <v>374</v>
      </c>
      <c r="E17" s="759">
        <v>1085.1</v>
      </c>
      <c r="F17" s="367">
        <f aca="true" t="shared" si="2" ref="F17:F27">G17-H17</f>
        <v>174.9</v>
      </c>
      <c r="G17" s="42">
        <v>175.9</v>
      </c>
      <c r="H17" s="42">
        <v>1</v>
      </c>
      <c r="I17" s="43">
        <v>0.8</v>
      </c>
      <c r="J17" s="369">
        <f>I17/H17</f>
        <v>0.8</v>
      </c>
      <c r="K17" s="398">
        <v>0</v>
      </c>
      <c r="L17" s="42" t="s">
        <v>152</v>
      </c>
      <c r="M17" s="42">
        <v>0</v>
      </c>
      <c r="N17" s="579"/>
      <c r="O17" s="415"/>
      <c r="P17" s="415"/>
    </row>
    <row r="18" spans="1:16" s="416" customFormat="1" ht="12.75" customHeight="1">
      <c r="A18" s="242"/>
      <c r="B18" s="40"/>
      <c r="C18" s="366" t="s">
        <v>434</v>
      </c>
      <c r="D18" s="367" t="s">
        <v>379</v>
      </c>
      <c r="E18" s="759">
        <v>1085.1</v>
      </c>
      <c r="F18" s="367">
        <f t="shared" si="2"/>
        <v>175.9</v>
      </c>
      <c r="G18" s="42">
        <v>176.9</v>
      </c>
      <c r="H18" s="42">
        <v>1</v>
      </c>
      <c r="I18" s="43">
        <v>0.88</v>
      </c>
      <c r="J18" s="369">
        <f aca="true" t="shared" si="3" ref="J18:J27">I18/H18</f>
        <v>0.88</v>
      </c>
      <c r="K18" s="398">
        <v>1544</v>
      </c>
      <c r="L18" s="42" t="s">
        <v>147</v>
      </c>
      <c r="M18" s="42">
        <v>5</v>
      </c>
      <c r="N18" s="579"/>
      <c r="O18" s="415"/>
      <c r="P18" s="415"/>
    </row>
    <row r="19" spans="1:16" s="416" customFormat="1" ht="12.75" customHeight="1">
      <c r="A19" s="242"/>
      <c r="B19" s="40"/>
      <c r="C19" s="366" t="s">
        <v>437</v>
      </c>
      <c r="D19" s="367" t="s">
        <v>375</v>
      </c>
      <c r="E19" s="759">
        <v>1085.1</v>
      </c>
      <c r="F19" s="367">
        <f t="shared" si="2"/>
        <v>198.9</v>
      </c>
      <c r="G19" s="42">
        <v>199.9</v>
      </c>
      <c r="H19" s="42">
        <v>1</v>
      </c>
      <c r="I19" s="43">
        <v>1</v>
      </c>
      <c r="J19" s="369">
        <f t="shared" si="3"/>
        <v>1</v>
      </c>
      <c r="K19" s="398">
        <v>0</v>
      </c>
      <c r="L19" s="42" t="s">
        <v>152</v>
      </c>
      <c r="M19" s="42">
        <v>0</v>
      </c>
      <c r="N19" s="579"/>
      <c r="O19" s="415"/>
      <c r="P19" s="415"/>
    </row>
    <row r="20" spans="1:16" s="416" customFormat="1" ht="12.75" customHeight="1">
      <c r="A20" s="242"/>
      <c r="B20" s="418"/>
      <c r="C20" s="373" t="s">
        <v>435</v>
      </c>
      <c r="D20" s="374" t="s">
        <v>380</v>
      </c>
      <c r="E20" s="761">
        <v>1085.1</v>
      </c>
      <c r="F20" s="371">
        <f t="shared" si="2"/>
        <v>199.9</v>
      </c>
      <c r="G20" s="48">
        <v>200.9</v>
      </c>
      <c r="H20" s="48">
        <v>1</v>
      </c>
      <c r="I20" s="49">
        <v>0</v>
      </c>
      <c r="J20" s="359">
        <f t="shared" si="3"/>
        <v>0</v>
      </c>
      <c r="K20" s="407">
        <v>0</v>
      </c>
      <c r="L20" s="48" t="s">
        <v>147</v>
      </c>
      <c r="M20" s="48">
        <v>0</v>
      </c>
      <c r="N20" s="579"/>
      <c r="O20" s="415"/>
      <c r="P20" s="415"/>
    </row>
    <row r="21" spans="1:16" s="308" customFormat="1" ht="12.75" customHeight="1">
      <c r="A21" s="242"/>
      <c r="B21" s="44" t="s">
        <v>351</v>
      </c>
      <c r="C21" s="341" t="s">
        <v>439</v>
      </c>
      <c r="D21" s="342" t="s">
        <v>376</v>
      </c>
      <c r="E21" s="758">
        <v>1086</v>
      </c>
      <c r="F21" s="347">
        <f t="shared" si="2"/>
        <v>170</v>
      </c>
      <c r="G21" s="62">
        <v>171</v>
      </c>
      <c r="H21" s="62">
        <v>1</v>
      </c>
      <c r="I21" s="305">
        <v>0.97</v>
      </c>
      <c r="J21" s="379">
        <f t="shared" si="3"/>
        <v>0.97</v>
      </c>
      <c r="K21" s="412">
        <v>0</v>
      </c>
      <c r="L21" s="62" t="s">
        <v>152</v>
      </c>
      <c r="M21" s="62">
        <v>0</v>
      </c>
      <c r="N21" s="579"/>
      <c r="O21" s="307"/>
      <c r="P21" s="307"/>
    </row>
    <row r="22" spans="1:16" s="308" customFormat="1" ht="12.75" customHeight="1">
      <c r="A22" s="242"/>
      <c r="B22" s="40"/>
      <c r="C22" s="366" t="s">
        <v>440</v>
      </c>
      <c r="D22" s="367" t="s">
        <v>382</v>
      </c>
      <c r="E22" s="759">
        <v>1086</v>
      </c>
      <c r="F22" s="367">
        <f t="shared" si="2"/>
        <v>175</v>
      </c>
      <c r="G22" s="42">
        <v>176</v>
      </c>
      <c r="H22" s="42">
        <v>1</v>
      </c>
      <c r="I22" s="43">
        <v>0.87</v>
      </c>
      <c r="J22" s="369">
        <f t="shared" si="3"/>
        <v>0.87</v>
      </c>
      <c r="K22" s="398">
        <v>0</v>
      </c>
      <c r="L22" s="42" t="s">
        <v>147</v>
      </c>
      <c r="M22" s="42">
        <v>0</v>
      </c>
      <c r="N22" s="579"/>
      <c r="O22" s="307"/>
      <c r="P22" s="307"/>
    </row>
    <row r="23" spans="1:16" s="308" customFormat="1" ht="12.75" customHeight="1">
      <c r="A23" s="72"/>
      <c r="B23" s="40"/>
      <c r="C23" s="366" t="s">
        <v>441</v>
      </c>
      <c r="D23" s="367" t="s">
        <v>381</v>
      </c>
      <c r="E23" s="759">
        <v>1086</v>
      </c>
      <c r="F23" s="367">
        <f t="shared" si="2"/>
        <v>180</v>
      </c>
      <c r="G23" s="42">
        <v>181</v>
      </c>
      <c r="H23" s="42">
        <v>1</v>
      </c>
      <c r="I23" s="43">
        <v>0.56</v>
      </c>
      <c r="J23" s="369">
        <f t="shared" si="3"/>
        <v>0.56</v>
      </c>
      <c r="K23" s="398">
        <v>0</v>
      </c>
      <c r="L23" s="42" t="s">
        <v>147</v>
      </c>
      <c r="M23" s="42">
        <v>0</v>
      </c>
      <c r="N23" s="579"/>
      <c r="O23" s="307"/>
      <c r="P23" s="307"/>
    </row>
    <row r="24" spans="1:16" s="308" customFormat="1" ht="12.75" customHeight="1">
      <c r="A24" s="72"/>
      <c r="B24" s="40"/>
      <c r="C24" s="366" t="s">
        <v>442</v>
      </c>
      <c r="D24" s="367" t="s">
        <v>377</v>
      </c>
      <c r="E24" s="759">
        <v>1086</v>
      </c>
      <c r="F24" s="367">
        <f t="shared" si="2"/>
        <v>184</v>
      </c>
      <c r="G24" s="42">
        <v>185</v>
      </c>
      <c r="H24" s="42">
        <v>1</v>
      </c>
      <c r="I24" s="43">
        <v>0.95</v>
      </c>
      <c r="J24" s="43">
        <v>0.95</v>
      </c>
      <c r="K24" s="398">
        <v>1764</v>
      </c>
      <c r="L24" s="42" t="s">
        <v>152</v>
      </c>
      <c r="M24" s="42">
        <v>2.5</v>
      </c>
      <c r="N24" s="579"/>
      <c r="O24" s="307"/>
      <c r="P24" s="307"/>
    </row>
    <row r="25" spans="1:16" s="308" customFormat="1" ht="12.75" customHeight="1">
      <c r="A25" s="72"/>
      <c r="B25" s="40"/>
      <c r="C25" s="366" t="s">
        <v>443</v>
      </c>
      <c r="D25" s="367" t="s">
        <v>386</v>
      </c>
      <c r="E25" s="759">
        <v>1086</v>
      </c>
      <c r="F25" s="367">
        <f t="shared" si="2"/>
        <v>190</v>
      </c>
      <c r="G25" s="42">
        <v>191</v>
      </c>
      <c r="H25" s="42">
        <v>1</v>
      </c>
      <c r="I25" s="43">
        <v>0</v>
      </c>
      <c r="J25" s="369">
        <f t="shared" si="3"/>
        <v>0</v>
      </c>
      <c r="K25" s="398">
        <v>0</v>
      </c>
      <c r="L25" s="42" t="s">
        <v>147</v>
      </c>
      <c r="M25" s="42">
        <v>0</v>
      </c>
      <c r="N25" s="579"/>
      <c r="O25" s="307"/>
      <c r="P25" s="307"/>
    </row>
    <row r="26" spans="1:16" s="308" customFormat="1" ht="12.75" customHeight="1">
      <c r="A26" s="72"/>
      <c r="B26" s="40"/>
      <c r="C26" s="366" t="s">
        <v>446</v>
      </c>
      <c r="D26" s="371" t="s">
        <v>387</v>
      </c>
      <c r="E26" s="759">
        <v>1086</v>
      </c>
      <c r="F26" s="367">
        <f t="shared" si="2"/>
        <v>195</v>
      </c>
      <c r="G26" s="42">
        <v>196</v>
      </c>
      <c r="H26" s="42">
        <v>1</v>
      </c>
      <c r="I26" s="43">
        <v>0.85</v>
      </c>
      <c r="J26" s="369">
        <f t="shared" si="3"/>
        <v>0.85</v>
      </c>
      <c r="K26" s="398">
        <v>0</v>
      </c>
      <c r="L26" s="42" t="s">
        <v>147</v>
      </c>
      <c r="M26" s="42">
        <v>0</v>
      </c>
      <c r="N26" s="579"/>
      <c r="O26" s="307"/>
      <c r="P26" s="307"/>
    </row>
    <row r="27" spans="1:16" s="308" customFormat="1" ht="12.75" customHeight="1">
      <c r="A27" s="72"/>
      <c r="B27" s="72"/>
      <c r="C27" s="370" t="s">
        <v>264</v>
      </c>
      <c r="D27" s="357" t="s">
        <v>378</v>
      </c>
      <c r="E27" s="760">
        <v>1086</v>
      </c>
      <c r="F27" s="371">
        <f t="shared" si="2"/>
        <v>196</v>
      </c>
      <c r="G27" s="73">
        <v>197</v>
      </c>
      <c r="H27" s="73">
        <v>1</v>
      </c>
      <c r="I27" s="74">
        <v>0.94</v>
      </c>
      <c r="J27" s="359">
        <f t="shared" si="3"/>
        <v>0.94</v>
      </c>
      <c r="K27" s="406">
        <v>0</v>
      </c>
      <c r="L27" s="67" t="s">
        <v>152</v>
      </c>
      <c r="M27" s="42">
        <v>0</v>
      </c>
      <c r="N27" s="579"/>
      <c r="O27" s="307"/>
      <c r="P27" s="307"/>
    </row>
    <row r="28" spans="1:16" s="323" customFormat="1" ht="12.75" customHeight="1">
      <c r="A28" s="318" t="s">
        <v>184</v>
      </c>
      <c r="B28" s="69" t="s">
        <v>181</v>
      </c>
      <c r="C28" s="346" t="s">
        <v>264</v>
      </c>
      <c r="D28" s="347" t="s">
        <v>383</v>
      </c>
      <c r="E28" s="762">
        <v>957.2</v>
      </c>
      <c r="F28" s="347">
        <f aca="true" t="shared" si="4" ref="F28:F37">G28-H28</f>
        <v>78.3</v>
      </c>
      <c r="G28" s="45">
        <v>79.3</v>
      </c>
      <c r="H28" s="45">
        <v>1</v>
      </c>
      <c r="I28" s="46">
        <v>0.36</v>
      </c>
      <c r="J28" s="379">
        <f>I28/H28</f>
        <v>0.36</v>
      </c>
      <c r="K28" s="474">
        <v>426</v>
      </c>
      <c r="L28" s="45" t="s">
        <v>152</v>
      </c>
      <c r="M28" s="45">
        <v>1</v>
      </c>
      <c r="N28" s="584"/>
      <c r="O28" s="307"/>
      <c r="P28" s="322"/>
    </row>
    <row r="29" spans="1:16" s="323" customFormat="1" ht="12.75" customHeight="1">
      <c r="A29" s="72"/>
      <c r="B29" s="414"/>
      <c r="C29" s="373" t="s">
        <v>265</v>
      </c>
      <c r="D29" s="374" t="s">
        <v>384</v>
      </c>
      <c r="E29" s="763">
        <v>957.2</v>
      </c>
      <c r="F29" s="374">
        <f t="shared" si="4"/>
        <v>86</v>
      </c>
      <c r="G29" s="48">
        <v>87</v>
      </c>
      <c r="H29" s="48">
        <v>1</v>
      </c>
      <c r="I29" s="49">
        <v>0.85</v>
      </c>
      <c r="J29" s="359">
        <f aca="true" t="shared" si="5" ref="J29:J37">I29/H29</f>
        <v>0.85</v>
      </c>
      <c r="K29" s="407">
        <v>706</v>
      </c>
      <c r="L29" s="48" t="s">
        <v>152</v>
      </c>
      <c r="M29" s="48">
        <v>3</v>
      </c>
      <c r="N29" s="584"/>
      <c r="O29" s="307"/>
      <c r="P29" s="322"/>
    </row>
    <row r="30" spans="1:16" s="331" customFormat="1" ht="12.75" customHeight="1">
      <c r="A30" s="72"/>
      <c r="B30" s="72" t="s">
        <v>352</v>
      </c>
      <c r="C30" s="380" t="s">
        <v>266</v>
      </c>
      <c r="D30" s="381" t="s">
        <v>385</v>
      </c>
      <c r="E30" s="764">
        <v>955.1</v>
      </c>
      <c r="F30" s="357">
        <f t="shared" si="4"/>
        <v>44.9</v>
      </c>
      <c r="G30" s="381">
        <v>45.9</v>
      </c>
      <c r="H30" s="78">
        <v>1</v>
      </c>
      <c r="I30" s="79">
        <v>0</v>
      </c>
      <c r="J30" s="344">
        <f t="shared" si="5"/>
        <v>0</v>
      </c>
      <c r="K30" s="404">
        <v>0</v>
      </c>
      <c r="L30" s="62" t="s">
        <v>152</v>
      </c>
      <c r="M30" s="78">
        <v>0</v>
      </c>
      <c r="N30" s="584"/>
      <c r="O30" s="415"/>
      <c r="P30" s="330"/>
    </row>
    <row r="31" spans="1:16" s="331" customFormat="1" ht="12.75" customHeight="1">
      <c r="A31" s="72"/>
      <c r="B31" s="473"/>
      <c r="C31" s="356" t="s">
        <v>267</v>
      </c>
      <c r="D31" s="357" t="s">
        <v>391</v>
      </c>
      <c r="E31" s="760">
        <v>955.1</v>
      </c>
      <c r="F31" s="357">
        <f t="shared" si="4"/>
        <v>76.9</v>
      </c>
      <c r="G31" s="67">
        <v>77.9</v>
      </c>
      <c r="H31" s="67">
        <v>1</v>
      </c>
      <c r="I31" s="68">
        <v>1</v>
      </c>
      <c r="J31" s="359">
        <f t="shared" si="5"/>
        <v>1</v>
      </c>
      <c r="K31" s="397">
        <v>603</v>
      </c>
      <c r="L31" s="42" t="s">
        <v>152</v>
      </c>
      <c r="M31" s="67">
        <v>15</v>
      </c>
      <c r="N31" s="584"/>
      <c r="O31" s="415"/>
      <c r="P31" s="330"/>
    </row>
    <row r="32" spans="1:16" s="331" customFormat="1" ht="12.75" customHeight="1">
      <c r="A32" s="72"/>
      <c r="B32" s="40"/>
      <c r="C32" s="356" t="s">
        <v>269</v>
      </c>
      <c r="D32" s="357" t="s">
        <v>388</v>
      </c>
      <c r="E32" s="759">
        <v>955.1</v>
      </c>
      <c r="F32" s="357">
        <f t="shared" si="4"/>
        <v>84.9</v>
      </c>
      <c r="G32" s="67">
        <v>85.9</v>
      </c>
      <c r="H32" s="67">
        <v>1</v>
      </c>
      <c r="I32" s="68">
        <v>0.88</v>
      </c>
      <c r="J32" s="359">
        <f t="shared" si="5"/>
        <v>0.88</v>
      </c>
      <c r="K32" s="397">
        <v>1600</v>
      </c>
      <c r="L32" s="73" t="s">
        <v>147</v>
      </c>
      <c r="M32" s="67">
        <v>15</v>
      </c>
      <c r="N32" s="584"/>
      <c r="O32" s="415"/>
      <c r="P32" s="330"/>
    </row>
    <row r="33" spans="1:16" s="331" customFormat="1" ht="12.75" customHeight="1">
      <c r="A33" s="72"/>
      <c r="B33" s="473"/>
      <c r="C33" s="356" t="s">
        <v>271</v>
      </c>
      <c r="D33" s="357" t="s">
        <v>389</v>
      </c>
      <c r="E33" s="760">
        <v>955.1</v>
      </c>
      <c r="F33" s="357">
        <f t="shared" si="4"/>
        <v>88.9</v>
      </c>
      <c r="G33" s="67">
        <v>89.9</v>
      </c>
      <c r="H33" s="67">
        <v>1</v>
      </c>
      <c r="I33" s="68">
        <v>0.24</v>
      </c>
      <c r="J33" s="359">
        <f t="shared" si="5"/>
        <v>0.24</v>
      </c>
      <c r="K33" s="397">
        <v>0</v>
      </c>
      <c r="L33" s="67" t="s">
        <v>147</v>
      </c>
      <c r="M33" s="67">
        <v>0</v>
      </c>
      <c r="N33" s="584"/>
      <c r="O33" s="415"/>
      <c r="P33" s="330"/>
    </row>
    <row r="34" spans="1:16" s="331" customFormat="1" ht="12.75" customHeight="1">
      <c r="A34" s="72"/>
      <c r="B34" s="40"/>
      <c r="C34" s="356" t="s">
        <v>268</v>
      </c>
      <c r="D34" s="357" t="s">
        <v>392</v>
      </c>
      <c r="E34" s="759">
        <v>955.1</v>
      </c>
      <c r="F34" s="357">
        <f t="shared" si="4"/>
        <v>92.9</v>
      </c>
      <c r="G34" s="67">
        <v>93.9</v>
      </c>
      <c r="H34" s="67">
        <v>1</v>
      </c>
      <c r="I34" s="68">
        <v>0</v>
      </c>
      <c r="J34" s="359">
        <f t="shared" si="5"/>
        <v>0</v>
      </c>
      <c r="K34" s="397">
        <v>0</v>
      </c>
      <c r="L34" s="42" t="s">
        <v>152</v>
      </c>
      <c r="M34" s="67">
        <v>0</v>
      </c>
      <c r="N34" s="584"/>
      <c r="O34" s="415"/>
      <c r="P34" s="330"/>
    </row>
    <row r="35" spans="1:16" s="331" customFormat="1" ht="12.75" customHeight="1">
      <c r="A35" s="72"/>
      <c r="B35" s="473"/>
      <c r="C35" s="356" t="s">
        <v>272</v>
      </c>
      <c r="D35" s="357" t="s">
        <v>390</v>
      </c>
      <c r="E35" s="760">
        <v>955.1</v>
      </c>
      <c r="F35" s="357">
        <f t="shared" si="4"/>
        <v>114.9</v>
      </c>
      <c r="G35" s="67">
        <v>115.9</v>
      </c>
      <c r="H35" s="67">
        <v>1</v>
      </c>
      <c r="I35" s="68">
        <v>0.55</v>
      </c>
      <c r="J35" s="359">
        <f t="shared" si="5"/>
        <v>0.55</v>
      </c>
      <c r="K35" s="397">
        <v>1470</v>
      </c>
      <c r="L35" s="73" t="s">
        <v>147</v>
      </c>
      <c r="M35" s="67">
        <v>1</v>
      </c>
      <c r="N35" s="584"/>
      <c r="O35" s="415"/>
      <c r="P35" s="330"/>
    </row>
    <row r="36" spans="1:16" s="331" customFormat="1" ht="12.75" customHeight="1">
      <c r="A36" s="72"/>
      <c r="B36" s="40"/>
      <c r="C36" s="356" t="s">
        <v>270</v>
      </c>
      <c r="D36" s="357" t="s">
        <v>394</v>
      </c>
      <c r="E36" s="759">
        <v>955.1</v>
      </c>
      <c r="F36" s="357">
        <f t="shared" si="4"/>
        <v>124.9</v>
      </c>
      <c r="G36" s="67">
        <v>125.9</v>
      </c>
      <c r="H36" s="67">
        <v>1</v>
      </c>
      <c r="I36" s="68">
        <v>0.88</v>
      </c>
      <c r="J36" s="359">
        <f t="shared" si="5"/>
        <v>0.88</v>
      </c>
      <c r="K36" s="397">
        <v>1470</v>
      </c>
      <c r="L36" s="67" t="s">
        <v>147</v>
      </c>
      <c r="M36" s="67">
        <v>2</v>
      </c>
      <c r="N36" s="584"/>
      <c r="O36" s="415"/>
      <c r="P36" s="330"/>
    </row>
    <row r="37" spans="1:16" s="331" customFormat="1" ht="12.75" customHeight="1">
      <c r="A37" s="72"/>
      <c r="B37" s="414"/>
      <c r="C37" s="373" t="s">
        <v>265</v>
      </c>
      <c r="D37" s="374" t="s">
        <v>393</v>
      </c>
      <c r="E37" s="763">
        <v>955.1</v>
      </c>
      <c r="F37" s="357">
        <f t="shared" si="4"/>
        <v>200</v>
      </c>
      <c r="G37" s="48">
        <v>201</v>
      </c>
      <c r="H37" s="48">
        <v>1</v>
      </c>
      <c r="I37" s="49">
        <v>1</v>
      </c>
      <c r="J37" s="359">
        <f t="shared" si="5"/>
        <v>1</v>
      </c>
      <c r="K37" s="407">
        <v>103</v>
      </c>
      <c r="L37" s="48" t="s">
        <v>152</v>
      </c>
      <c r="M37" s="48">
        <v>2</v>
      </c>
      <c r="N37" s="584"/>
      <c r="O37" s="415"/>
      <c r="P37" s="330"/>
    </row>
    <row r="38" spans="1:16" s="308" customFormat="1" ht="12.75" customHeight="1">
      <c r="A38" s="318" t="s">
        <v>223</v>
      </c>
      <c r="B38" s="44" t="s">
        <v>353</v>
      </c>
      <c r="C38" s="341" t="s">
        <v>323</v>
      </c>
      <c r="D38" s="342" t="s">
        <v>398</v>
      </c>
      <c r="E38" s="758">
        <v>1295.8</v>
      </c>
      <c r="F38" s="342">
        <f aca="true" t="shared" si="6" ref="F38:F44">G38-H38</f>
        <v>84.2</v>
      </c>
      <c r="G38" s="62">
        <v>85.2</v>
      </c>
      <c r="H38" s="62">
        <v>1</v>
      </c>
      <c r="I38" s="305">
        <v>0.89</v>
      </c>
      <c r="J38" s="344">
        <f aca="true" t="shared" si="7" ref="J38:J44">I38/H38</f>
        <v>0.89</v>
      </c>
      <c r="K38" s="412">
        <v>1337.7</v>
      </c>
      <c r="L38" s="62" t="s">
        <v>152</v>
      </c>
      <c r="M38" s="62">
        <v>1</v>
      </c>
      <c r="N38" s="579"/>
      <c r="O38" s="307"/>
      <c r="P38" s="307"/>
    </row>
    <row r="39" spans="1:16" s="308" customFormat="1" ht="12.75" customHeight="1">
      <c r="A39" s="413"/>
      <c r="B39" s="40"/>
      <c r="C39" s="366" t="s">
        <v>501</v>
      </c>
      <c r="D39" s="367" t="s">
        <v>395</v>
      </c>
      <c r="E39" s="759">
        <v>1295.8</v>
      </c>
      <c r="F39" s="367">
        <f t="shared" si="6"/>
        <v>85.2</v>
      </c>
      <c r="G39" s="42">
        <v>86.2</v>
      </c>
      <c r="H39" s="42">
        <v>1</v>
      </c>
      <c r="I39" s="43">
        <v>0.9</v>
      </c>
      <c r="J39" s="369">
        <f t="shared" si="7"/>
        <v>0.9</v>
      </c>
      <c r="K39" s="398">
        <v>0</v>
      </c>
      <c r="L39" s="42" t="s">
        <v>147</v>
      </c>
      <c r="M39" s="42">
        <v>0</v>
      </c>
      <c r="N39" s="579"/>
      <c r="O39" s="307"/>
      <c r="P39" s="307"/>
    </row>
    <row r="40" spans="1:16" s="308" customFormat="1" ht="12.75" customHeight="1">
      <c r="A40" s="413"/>
      <c r="B40" s="40"/>
      <c r="C40" s="366" t="s">
        <v>502</v>
      </c>
      <c r="D40" s="367" t="s">
        <v>400</v>
      </c>
      <c r="E40" s="759">
        <v>1295.8</v>
      </c>
      <c r="F40" s="367">
        <f t="shared" si="6"/>
        <v>114.2</v>
      </c>
      <c r="G40" s="42">
        <v>115.2</v>
      </c>
      <c r="H40" s="42">
        <v>1</v>
      </c>
      <c r="I40" s="43">
        <v>0.8</v>
      </c>
      <c r="J40" s="369">
        <f t="shared" si="7"/>
        <v>0.8</v>
      </c>
      <c r="K40" s="398">
        <v>0</v>
      </c>
      <c r="L40" s="42" t="s">
        <v>147</v>
      </c>
      <c r="M40" s="42">
        <v>0</v>
      </c>
      <c r="N40" s="579"/>
      <c r="O40" s="307"/>
      <c r="P40" s="307"/>
    </row>
    <row r="41" spans="1:16" s="308" customFormat="1" ht="12.75" customHeight="1">
      <c r="A41" s="413"/>
      <c r="B41" s="40"/>
      <c r="C41" s="366" t="s">
        <v>503</v>
      </c>
      <c r="D41" s="367" t="s">
        <v>399</v>
      </c>
      <c r="E41" s="759">
        <v>1295.8</v>
      </c>
      <c r="F41" s="367">
        <f t="shared" si="6"/>
        <v>148.2</v>
      </c>
      <c r="G41" s="42">
        <v>149.2</v>
      </c>
      <c r="H41" s="42">
        <v>1</v>
      </c>
      <c r="I41" s="43">
        <v>1.2</v>
      </c>
      <c r="J41" s="369">
        <f t="shared" si="7"/>
        <v>1.2</v>
      </c>
      <c r="K41" s="398">
        <v>1470</v>
      </c>
      <c r="L41" s="42" t="s">
        <v>152</v>
      </c>
      <c r="M41" s="42">
        <v>4</v>
      </c>
      <c r="N41" s="579"/>
      <c r="O41" s="307"/>
      <c r="P41" s="307"/>
    </row>
    <row r="42" spans="1:16" s="308" customFormat="1" ht="12.75" customHeight="1">
      <c r="A42" s="413"/>
      <c r="B42" s="40"/>
      <c r="C42" s="366" t="s">
        <v>285</v>
      </c>
      <c r="D42" s="367" t="s">
        <v>396</v>
      </c>
      <c r="E42" s="759">
        <v>1295.8</v>
      </c>
      <c r="F42" s="367">
        <f t="shared" si="6"/>
        <v>149.2</v>
      </c>
      <c r="G42" s="42">
        <v>150.2</v>
      </c>
      <c r="H42" s="42">
        <v>1</v>
      </c>
      <c r="I42" s="43">
        <v>0.79</v>
      </c>
      <c r="J42" s="369">
        <f t="shared" si="7"/>
        <v>0.79</v>
      </c>
      <c r="K42" s="398">
        <v>441</v>
      </c>
      <c r="L42" s="42" t="s">
        <v>147</v>
      </c>
      <c r="M42" s="42">
        <v>1</v>
      </c>
      <c r="N42" s="579"/>
      <c r="O42" s="307"/>
      <c r="P42" s="307"/>
    </row>
    <row r="43" spans="1:16" s="308" customFormat="1" ht="12.75" customHeight="1">
      <c r="A43" s="413"/>
      <c r="B43" s="72"/>
      <c r="C43" s="370" t="s">
        <v>274</v>
      </c>
      <c r="D43" s="371" t="s">
        <v>514</v>
      </c>
      <c r="E43" s="759">
        <v>1295.8</v>
      </c>
      <c r="F43" s="371">
        <f t="shared" si="6"/>
        <v>193.4</v>
      </c>
      <c r="G43" s="73">
        <v>194.4</v>
      </c>
      <c r="H43" s="73">
        <v>1</v>
      </c>
      <c r="I43" s="74">
        <v>0.92</v>
      </c>
      <c r="J43" s="130">
        <f t="shared" si="7"/>
        <v>0.92</v>
      </c>
      <c r="K43" s="406">
        <v>1102.5</v>
      </c>
      <c r="L43" s="73" t="s">
        <v>152</v>
      </c>
      <c r="M43" s="73">
        <v>1</v>
      </c>
      <c r="N43" s="579"/>
      <c r="O43" s="307"/>
      <c r="P43" s="307"/>
    </row>
    <row r="44" spans="1:16" s="308" customFormat="1" ht="12.75" customHeight="1">
      <c r="A44" s="413"/>
      <c r="B44" s="47"/>
      <c r="C44" s="373" t="s">
        <v>504</v>
      </c>
      <c r="D44" s="374" t="s">
        <v>401</v>
      </c>
      <c r="E44" s="760">
        <v>1295.8</v>
      </c>
      <c r="F44" s="374">
        <f t="shared" si="6"/>
        <v>194.4</v>
      </c>
      <c r="G44" s="48">
        <v>195.4</v>
      </c>
      <c r="H44" s="48">
        <v>1</v>
      </c>
      <c r="I44" s="49">
        <v>0.7</v>
      </c>
      <c r="J44" s="376">
        <f t="shared" si="7"/>
        <v>0.7</v>
      </c>
      <c r="K44" s="407">
        <v>0</v>
      </c>
      <c r="L44" s="48" t="s">
        <v>147</v>
      </c>
      <c r="M44" s="48">
        <v>0</v>
      </c>
      <c r="N44" s="579"/>
      <c r="O44" s="307"/>
      <c r="P44" s="307"/>
    </row>
    <row r="45" spans="1:16" s="323" customFormat="1" ht="12.75" customHeight="1">
      <c r="A45" s="318" t="s">
        <v>225</v>
      </c>
      <c r="B45" s="44" t="s">
        <v>305</v>
      </c>
      <c r="C45" s="341" t="s">
        <v>266</v>
      </c>
      <c r="D45" s="342" t="s">
        <v>516</v>
      </c>
      <c r="E45" s="758">
        <v>1049.4</v>
      </c>
      <c r="F45" s="342">
        <f aca="true" t="shared" si="8" ref="F45:F59">G45-H45</f>
        <v>31.4</v>
      </c>
      <c r="G45" s="62">
        <v>32.4</v>
      </c>
      <c r="H45" s="62">
        <v>1</v>
      </c>
      <c r="I45" s="305">
        <v>0</v>
      </c>
      <c r="J45" s="344">
        <f aca="true" t="shared" si="9" ref="J45:J59">I45/H45</f>
        <v>0</v>
      </c>
      <c r="K45" s="412">
        <v>100</v>
      </c>
      <c r="L45" s="62" t="s">
        <v>152</v>
      </c>
      <c r="M45" s="62">
        <v>0</v>
      </c>
      <c r="N45" s="584"/>
      <c r="O45" s="307"/>
      <c r="P45" s="322"/>
    </row>
    <row r="46" spans="1:16" s="323" customFormat="1" ht="12.75" customHeight="1">
      <c r="A46" s="72"/>
      <c r="B46" s="40"/>
      <c r="C46" s="366" t="s">
        <v>275</v>
      </c>
      <c r="D46" s="367" t="s">
        <v>515</v>
      </c>
      <c r="E46" s="759">
        <v>1049.4</v>
      </c>
      <c r="F46" s="367">
        <f t="shared" si="8"/>
        <v>50.2</v>
      </c>
      <c r="G46" s="42">
        <v>51.2</v>
      </c>
      <c r="H46" s="42">
        <v>1</v>
      </c>
      <c r="I46" s="43">
        <v>0.9</v>
      </c>
      <c r="J46" s="369">
        <f t="shared" si="9"/>
        <v>0.9</v>
      </c>
      <c r="K46" s="398">
        <v>1470</v>
      </c>
      <c r="L46" s="42" t="s">
        <v>147</v>
      </c>
      <c r="M46" s="42" t="s">
        <v>762</v>
      </c>
      <c r="N46" s="584"/>
      <c r="O46" s="307"/>
      <c r="P46" s="322"/>
    </row>
    <row r="47" spans="1:16" s="323" customFormat="1" ht="12.75" customHeight="1">
      <c r="A47" s="72"/>
      <c r="B47" s="40"/>
      <c r="C47" s="366" t="s">
        <v>278</v>
      </c>
      <c r="D47" s="367" t="s">
        <v>397</v>
      </c>
      <c r="E47" s="759">
        <v>1049.4</v>
      </c>
      <c r="F47" s="367">
        <f t="shared" si="8"/>
        <v>70</v>
      </c>
      <c r="G47" s="42">
        <v>71</v>
      </c>
      <c r="H47" s="42">
        <v>1</v>
      </c>
      <c r="I47" s="43">
        <v>0.17</v>
      </c>
      <c r="J47" s="369">
        <f t="shared" si="9"/>
        <v>0.17</v>
      </c>
      <c r="K47" s="398">
        <v>0</v>
      </c>
      <c r="L47" s="42" t="s">
        <v>147</v>
      </c>
      <c r="M47" s="42">
        <v>0</v>
      </c>
      <c r="N47" s="584"/>
      <c r="O47" s="307"/>
      <c r="P47" s="322"/>
    </row>
    <row r="48" spans="1:16" s="323" customFormat="1" ht="12.75" customHeight="1">
      <c r="A48" s="72"/>
      <c r="B48" s="40"/>
      <c r="C48" s="366" t="s">
        <v>273</v>
      </c>
      <c r="D48" s="367" t="s">
        <v>533</v>
      </c>
      <c r="E48" s="759">
        <v>1049.4</v>
      </c>
      <c r="F48" s="367">
        <f t="shared" si="8"/>
        <v>98.2</v>
      </c>
      <c r="G48" s="42">
        <v>99.2</v>
      </c>
      <c r="H48" s="42">
        <v>1</v>
      </c>
      <c r="I48" s="43">
        <v>1.13</v>
      </c>
      <c r="J48" s="369">
        <f t="shared" si="9"/>
        <v>1.13</v>
      </c>
      <c r="K48" s="398">
        <v>240</v>
      </c>
      <c r="L48" s="42" t="s">
        <v>152</v>
      </c>
      <c r="M48" s="42">
        <v>30</v>
      </c>
      <c r="N48" s="584"/>
      <c r="O48" s="307"/>
      <c r="P48" s="322"/>
    </row>
    <row r="49" spans="1:16" s="323" customFormat="1" ht="12.75" customHeight="1">
      <c r="A49" s="72"/>
      <c r="B49" s="40"/>
      <c r="C49" s="366" t="s">
        <v>276</v>
      </c>
      <c r="D49" s="367" t="s">
        <v>534</v>
      </c>
      <c r="E49" s="759">
        <v>1049.4</v>
      </c>
      <c r="F49" s="367">
        <f t="shared" si="8"/>
        <v>117.4</v>
      </c>
      <c r="G49" s="42">
        <v>118.4</v>
      </c>
      <c r="H49" s="42">
        <v>1</v>
      </c>
      <c r="I49" s="43">
        <v>0.9</v>
      </c>
      <c r="J49" s="369">
        <f t="shared" si="9"/>
        <v>0.9</v>
      </c>
      <c r="K49" s="398">
        <v>1735</v>
      </c>
      <c r="L49" s="42" t="s">
        <v>147</v>
      </c>
      <c r="M49" s="42">
        <v>52</v>
      </c>
      <c r="N49" s="584"/>
      <c r="O49" s="307"/>
      <c r="P49" s="322"/>
    </row>
    <row r="50" spans="1:16" s="323" customFormat="1" ht="12.75" customHeight="1">
      <c r="A50" s="72"/>
      <c r="B50" s="40"/>
      <c r="C50" s="366" t="s">
        <v>277</v>
      </c>
      <c r="D50" s="367" t="s">
        <v>539</v>
      </c>
      <c r="E50" s="759">
        <v>1049.4</v>
      </c>
      <c r="F50" s="367">
        <f t="shared" si="8"/>
        <v>136.6</v>
      </c>
      <c r="G50" s="42">
        <v>137.6</v>
      </c>
      <c r="H50" s="42">
        <v>1</v>
      </c>
      <c r="I50" s="43">
        <v>0.33</v>
      </c>
      <c r="J50" s="369">
        <f t="shared" si="9"/>
        <v>0.33</v>
      </c>
      <c r="K50" s="398">
        <v>0</v>
      </c>
      <c r="L50" s="42" t="s">
        <v>147</v>
      </c>
      <c r="M50" s="42">
        <v>0</v>
      </c>
      <c r="N50" s="584"/>
      <c r="O50" s="307"/>
      <c r="P50" s="322"/>
    </row>
    <row r="51" spans="1:16" s="323" customFormat="1" ht="12.75" customHeight="1">
      <c r="A51" s="72"/>
      <c r="B51" s="40"/>
      <c r="C51" s="366" t="s">
        <v>279</v>
      </c>
      <c r="D51" s="367" t="s">
        <v>402</v>
      </c>
      <c r="E51" s="759">
        <v>1049.4</v>
      </c>
      <c r="F51" s="367">
        <f t="shared" si="8"/>
        <v>174.1</v>
      </c>
      <c r="G51" s="42">
        <v>175.1</v>
      </c>
      <c r="H51" s="42">
        <v>1</v>
      </c>
      <c r="I51" s="43">
        <v>0.42</v>
      </c>
      <c r="J51" s="369">
        <f t="shared" si="9"/>
        <v>0.42</v>
      </c>
      <c r="K51" s="398">
        <v>0</v>
      </c>
      <c r="L51" s="42" t="s">
        <v>147</v>
      </c>
      <c r="M51" s="42">
        <v>0</v>
      </c>
      <c r="N51" s="584"/>
      <c r="O51" s="307"/>
      <c r="P51" s="322"/>
    </row>
    <row r="52" spans="1:16" s="323" customFormat="1" ht="12.75" customHeight="1">
      <c r="A52" s="418"/>
      <c r="B52" s="418"/>
      <c r="C52" s="373" t="s">
        <v>274</v>
      </c>
      <c r="D52" s="374" t="s">
        <v>538</v>
      </c>
      <c r="E52" s="763">
        <v>1049.4</v>
      </c>
      <c r="F52" s="374">
        <f t="shared" si="8"/>
        <v>175.1</v>
      </c>
      <c r="G52" s="48">
        <v>176.1</v>
      </c>
      <c r="H52" s="48">
        <v>1</v>
      </c>
      <c r="I52" s="49">
        <v>1.67</v>
      </c>
      <c r="J52" s="376">
        <f t="shared" si="9"/>
        <v>1.67</v>
      </c>
      <c r="K52" s="407">
        <v>82</v>
      </c>
      <c r="L52" s="48" t="s">
        <v>152</v>
      </c>
      <c r="M52" s="48">
        <v>1.5</v>
      </c>
      <c r="N52" s="584"/>
      <c r="O52" s="307"/>
      <c r="P52" s="322"/>
    </row>
    <row r="53" spans="1:16" s="323" customFormat="1" ht="12.75" customHeight="1">
      <c r="A53" s="318" t="s">
        <v>225</v>
      </c>
      <c r="B53" s="44" t="s">
        <v>310</v>
      </c>
      <c r="C53" s="341" t="s">
        <v>267</v>
      </c>
      <c r="D53" s="342" t="s">
        <v>540</v>
      </c>
      <c r="E53" s="758">
        <v>1050.4</v>
      </c>
      <c r="F53" s="342">
        <f t="shared" si="8"/>
        <v>40.1</v>
      </c>
      <c r="G53" s="62">
        <v>41.1</v>
      </c>
      <c r="H53" s="62">
        <v>1</v>
      </c>
      <c r="I53" s="305">
        <v>0.29</v>
      </c>
      <c r="J53" s="344">
        <f t="shared" si="9"/>
        <v>0.29</v>
      </c>
      <c r="K53" s="412">
        <v>0</v>
      </c>
      <c r="L53" s="45" t="s">
        <v>152</v>
      </c>
      <c r="M53" s="62">
        <v>0</v>
      </c>
      <c r="N53" s="584"/>
      <c r="O53" s="307"/>
      <c r="P53" s="322"/>
    </row>
    <row r="54" spans="1:16" s="323" customFormat="1" ht="12.75" customHeight="1">
      <c r="A54" s="72"/>
      <c r="B54" s="40"/>
      <c r="C54" s="366" t="s">
        <v>282</v>
      </c>
      <c r="D54" s="367" t="s">
        <v>541</v>
      </c>
      <c r="E54" s="759">
        <v>1050.4</v>
      </c>
      <c r="F54" s="367">
        <f t="shared" si="8"/>
        <v>58.8</v>
      </c>
      <c r="G54" s="42">
        <v>59.8</v>
      </c>
      <c r="H54" s="42">
        <v>1</v>
      </c>
      <c r="I54" s="43">
        <v>0.51</v>
      </c>
      <c r="J54" s="369">
        <f t="shared" si="9"/>
        <v>0.51</v>
      </c>
      <c r="K54" s="398">
        <v>0</v>
      </c>
      <c r="L54" s="42" t="s">
        <v>147</v>
      </c>
      <c r="M54" s="42">
        <v>0</v>
      </c>
      <c r="N54" s="584"/>
      <c r="O54" s="307"/>
      <c r="P54" s="322"/>
    </row>
    <row r="55" spans="1:16" s="323" customFormat="1" ht="12.75" customHeight="1">
      <c r="A55" s="72"/>
      <c r="B55" s="40"/>
      <c r="C55" s="366" t="s">
        <v>284</v>
      </c>
      <c r="D55" s="367" t="s">
        <v>403</v>
      </c>
      <c r="E55" s="759">
        <v>1050.4</v>
      </c>
      <c r="F55" s="367">
        <f t="shared" si="8"/>
        <v>77.8</v>
      </c>
      <c r="G55" s="42">
        <v>78.8</v>
      </c>
      <c r="H55" s="42">
        <v>1</v>
      </c>
      <c r="I55" s="43">
        <v>1.09</v>
      </c>
      <c r="J55" s="369">
        <f t="shared" si="9"/>
        <v>1.09</v>
      </c>
      <c r="K55" s="398">
        <v>1397</v>
      </c>
      <c r="L55" s="42" t="s">
        <v>147</v>
      </c>
      <c r="M55" s="42">
        <v>26</v>
      </c>
      <c r="N55" s="584"/>
      <c r="O55" s="307"/>
      <c r="P55" s="322"/>
    </row>
    <row r="56" spans="1:16" s="323" customFormat="1" ht="12.75" customHeight="1">
      <c r="A56" s="72"/>
      <c r="B56" s="40"/>
      <c r="C56" s="366" t="s">
        <v>273</v>
      </c>
      <c r="D56" s="367" t="s">
        <v>542</v>
      </c>
      <c r="E56" s="759">
        <v>1050.4</v>
      </c>
      <c r="F56" s="367">
        <f t="shared" si="8"/>
        <v>97</v>
      </c>
      <c r="G56" s="42">
        <v>98</v>
      </c>
      <c r="H56" s="42">
        <v>1</v>
      </c>
      <c r="I56" s="43">
        <v>0.92</v>
      </c>
      <c r="J56" s="369">
        <f t="shared" si="9"/>
        <v>0.92</v>
      </c>
      <c r="K56" s="398">
        <v>0</v>
      </c>
      <c r="L56" s="42" t="s">
        <v>152</v>
      </c>
      <c r="M56" s="42">
        <v>0</v>
      </c>
      <c r="N56" s="584"/>
      <c r="O56" s="307"/>
      <c r="P56" s="322"/>
    </row>
    <row r="57" spans="1:16" s="323" customFormat="1" ht="12.75" customHeight="1">
      <c r="A57" s="72"/>
      <c r="B57" s="40"/>
      <c r="C57" s="366" t="s">
        <v>283</v>
      </c>
      <c r="D57" s="367" t="s">
        <v>543</v>
      </c>
      <c r="E57" s="759">
        <v>1050.4</v>
      </c>
      <c r="F57" s="367">
        <f t="shared" si="8"/>
        <v>125.8</v>
      </c>
      <c r="G57" s="42">
        <v>126.8</v>
      </c>
      <c r="H57" s="42">
        <v>1</v>
      </c>
      <c r="I57" s="43">
        <v>0.88</v>
      </c>
      <c r="J57" s="369">
        <f t="shared" si="9"/>
        <v>0.88</v>
      </c>
      <c r="K57" s="398">
        <v>0</v>
      </c>
      <c r="L57" s="42" t="s">
        <v>147</v>
      </c>
      <c r="M57" s="42">
        <v>0</v>
      </c>
      <c r="N57" s="584"/>
      <c r="O57" s="307"/>
      <c r="P57" s="322"/>
    </row>
    <row r="58" spans="1:16" s="323" customFormat="1" ht="12.75" customHeight="1">
      <c r="A58" s="72"/>
      <c r="B58" s="40"/>
      <c r="C58" s="370" t="s">
        <v>285</v>
      </c>
      <c r="D58" s="371" t="s">
        <v>517</v>
      </c>
      <c r="E58" s="759">
        <v>1050.4</v>
      </c>
      <c r="F58" s="371">
        <f t="shared" si="8"/>
        <v>145.1</v>
      </c>
      <c r="G58" s="73">
        <v>146.1</v>
      </c>
      <c r="H58" s="73">
        <v>1</v>
      </c>
      <c r="I58" s="74">
        <v>1.05</v>
      </c>
      <c r="J58" s="130">
        <f t="shared" si="9"/>
        <v>1.05</v>
      </c>
      <c r="K58" s="406">
        <v>1697</v>
      </c>
      <c r="L58" s="73" t="s">
        <v>147</v>
      </c>
      <c r="M58" s="73">
        <v>16</v>
      </c>
      <c r="N58" s="584"/>
      <c r="O58" s="307"/>
      <c r="P58" s="322"/>
    </row>
    <row r="59" spans="1:16" s="323" customFormat="1" ht="12.75" customHeight="1">
      <c r="A59" s="72"/>
      <c r="B59" s="418"/>
      <c r="C59" s="373" t="s">
        <v>281</v>
      </c>
      <c r="D59" s="374" t="s">
        <v>544</v>
      </c>
      <c r="E59" s="760">
        <v>1050.4</v>
      </c>
      <c r="F59" s="374">
        <f t="shared" si="8"/>
        <v>164.4</v>
      </c>
      <c r="G59" s="48">
        <v>165.4</v>
      </c>
      <c r="H59" s="48">
        <v>1</v>
      </c>
      <c r="I59" s="49">
        <v>1.22</v>
      </c>
      <c r="J59" s="376">
        <f t="shared" si="9"/>
        <v>1.22</v>
      </c>
      <c r="K59" s="407">
        <v>1279</v>
      </c>
      <c r="L59" s="48" t="s">
        <v>152</v>
      </c>
      <c r="M59" s="48">
        <v>5</v>
      </c>
      <c r="N59" s="584"/>
      <c r="O59" s="307"/>
      <c r="P59" s="322"/>
    </row>
    <row r="60" spans="1:16" s="308" customFormat="1" ht="12.75" customHeight="1">
      <c r="A60" s="318" t="s">
        <v>319</v>
      </c>
      <c r="B60" s="66" t="s">
        <v>354</v>
      </c>
      <c r="C60" s="366" t="s">
        <v>320</v>
      </c>
      <c r="D60" s="367" t="s">
        <v>545</v>
      </c>
      <c r="E60" s="762">
        <v>1045.8</v>
      </c>
      <c r="F60" s="367">
        <f aca="true" t="shared" si="10" ref="F60:F86">G60-H60</f>
        <v>45.7</v>
      </c>
      <c r="G60" s="42">
        <v>46.7</v>
      </c>
      <c r="H60" s="42">
        <v>1</v>
      </c>
      <c r="I60" s="43">
        <v>0.81</v>
      </c>
      <c r="J60" s="369">
        <f aca="true" t="shared" si="11" ref="J60:J70">I60/H60</f>
        <v>0.81</v>
      </c>
      <c r="K60" s="398">
        <v>0</v>
      </c>
      <c r="L60" s="42" t="s">
        <v>147</v>
      </c>
      <c r="M60" s="42">
        <v>0</v>
      </c>
      <c r="N60" s="579"/>
      <c r="O60" s="307"/>
      <c r="P60" s="322"/>
    </row>
    <row r="61" spans="1:16" s="308" customFormat="1" ht="12.75" customHeight="1">
      <c r="A61" s="72"/>
      <c r="B61" s="40"/>
      <c r="C61" s="356" t="s">
        <v>321</v>
      </c>
      <c r="D61" s="357" t="s">
        <v>546</v>
      </c>
      <c r="E61" s="760">
        <v>1045.8</v>
      </c>
      <c r="F61" s="357">
        <f t="shared" si="10"/>
        <v>46.7</v>
      </c>
      <c r="G61" s="67">
        <v>47.7</v>
      </c>
      <c r="H61" s="67">
        <v>1</v>
      </c>
      <c r="I61" s="68">
        <v>1.08</v>
      </c>
      <c r="J61" s="359">
        <f t="shared" si="11"/>
        <v>1.08</v>
      </c>
      <c r="K61" s="397">
        <v>1397</v>
      </c>
      <c r="L61" s="67" t="s">
        <v>147</v>
      </c>
      <c r="M61" s="67">
        <v>7</v>
      </c>
      <c r="N61" s="579"/>
      <c r="O61" s="307"/>
      <c r="P61" s="322"/>
    </row>
    <row r="62" spans="1:16" s="308" customFormat="1" ht="12.75" customHeight="1">
      <c r="A62" s="72"/>
      <c r="B62" s="40"/>
      <c r="C62" s="356" t="s">
        <v>322</v>
      </c>
      <c r="D62" s="357" t="s">
        <v>547</v>
      </c>
      <c r="E62" s="760">
        <v>1045.8</v>
      </c>
      <c r="F62" s="357">
        <f t="shared" si="10"/>
        <v>47.7</v>
      </c>
      <c r="G62" s="67">
        <v>48.7</v>
      </c>
      <c r="H62" s="67">
        <v>1</v>
      </c>
      <c r="I62" s="68">
        <v>0</v>
      </c>
      <c r="J62" s="359">
        <f t="shared" si="11"/>
        <v>0</v>
      </c>
      <c r="K62" s="397">
        <v>779</v>
      </c>
      <c r="L62" s="42" t="s">
        <v>152</v>
      </c>
      <c r="M62" s="67">
        <v>2</v>
      </c>
      <c r="N62" s="579"/>
      <c r="O62" s="307"/>
      <c r="P62" s="322"/>
    </row>
    <row r="63" spans="1:16" s="308" customFormat="1" ht="12.75" customHeight="1">
      <c r="A63" s="72"/>
      <c r="B63" s="40"/>
      <c r="C63" s="356" t="s">
        <v>282</v>
      </c>
      <c r="D63" s="357" t="s">
        <v>548</v>
      </c>
      <c r="E63" s="760">
        <v>1045.8</v>
      </c>
      <c r="F63" s="357">
        <f t="shared" si="10"/>
        <v>93.3</v>
      </c>
      <c r="G63" s="67">
        <v>94.3</v>
      </c>
      <c r="H63" s="67">
        <v>1</v>
      </c>
      <c r="I63" s="68">
        <v>0.88</v>
      </c>
      <c r="J63" s="359">
        <f t="shared" si="11"/>
        <v>0.88</v>
      </c>
      <c r="K63" s="397">
        <v>1926</v>
      </c>
      <c r="L63" s="67" t="s">
        <v>147</v>
      </c>
      <c r="M63" s="67">
        <v>6</v>
      </c>
      <c r="N63" s="579"/>
      <c r="O63" s="307"/>
      <c r="P63" s="322"/>
    </row>
    <row r="64" spans="1:16" s="308" customFormat="1" ht="12.75" customHeight="1">
      <c r="A64" s="72"/>
      <c r="B64" s="40"/>
      <c r="C64" s="356" t="s">
        <v>272</v>
      </c>
      <c r="D64" s="357" t="s">
        <v>549</v>
      </c>
      <c r="E64" s="760">
        <v>1045.8</v>
      </c>
      <c r="F64" s="357">
        <f t="shared" si="10"/>
        <v>94.3</v>
      </c>
      <c r="G64" s="67">
        <v>95.3</v>
      </c>
      <c r="H64" s="67">
        <v>1</v>
      </c>
      <c r="I64" s="68">
        <v>0</v>
      </c>
      <c r="J64" s="359">
        <f t="shared" si="11"/>
        <v>0</v>
      </c>
      <c r="K64" s="397">
        <v>0</v>
      </c>
      <c r="L64" s="67" t="s">
        <v>147</v>
      </c>
      <c r="M64" s="67">
        <v>0</v>
      </c>
      <c r="N64" s="579"/>
      <c r="O64" s="307"/>
      <c r="P64" s="322"/>
    </row>
    <row r="65" spans="1:16" s="308" customFormat="1" ht="12.75" customHeight="1">
      <c r="A65" s="418"/>
      <c r="B65" s="419"/>
      <c r="C65" s="407" t="s">
        <v>323</v>
      </c>
      <c r="D65" s="48" t="s">
        <v>550</v>
      </c>
      <c r="E65" s="763">
        <v>1045.8</v>
      </c>
      <c r="F65" s="48">
        <f t="shared" si="10"/>
        <v>95.3</v>
      </c>
      <c r="G65" s="48">
        <v>96.3</v>
      </c>
      <c r="H65" s="48">
        <v>1</v>
      </c>
      <c r="I65" s="49">
        <v>0.58</v>
      </c>
      <c r="J65" s="376">
        <f t="shared" si="11"/>
        <v>0.58</v>
      </c>
      <c r="K65" s="407">
        <v>0</v>
      </c>
      <c r="L65" s="48" t="s">
        <v>152</v>
      </c>
      <c r="M65" s="48">
        <v>0</v>
      </c>
      <c r="N65" s="579"/>
      <c r="O65" s="307"/>
      <c r="P65" s="322"/>
    </row>
    <row r="66" spans="1:16" s="308" customFormat="1" ht="12.75" customHeight="1">
      <c r="A66" s="318" t="s">
        <v>476</v>
      </c>
      <c r="B66" s="72" t="s">
        <v>500</v>
      </c>
      <c r="C66" s="370" t="s">
        <v>268</v>
      </c>
      <c r="D66" s="371" t="s">
        <v>551</v>
      </c>
      <c r="E66" s="761">
        <v>906.6</v>
      </c>
      <c r="F66" s="371">
        <f t="shared" si="10"/>
        <v>71</v>
      </c>
      <c r="G66" s="73">
        <v>72</v>
      </c>
      <c r="H66" s="73">
        <v>1</v>
      </c>
      <c r="I66" s="74">
        <v>0.79</v>
      </c>
      <c r="J66" s="130">
        <f t="shared" si="11"/>
        <v>0.79</v>
      </c>
      <c r="K66" s="406">
        <v>0</v>
      </c>
      <c r="L66" s="73" t="s">
        <v>152</v>
      </c>
      <c r="M66" s="73">
        <v>0</v>
      </c>
      <c r="N66" s="579"/>
      <c r="O66" s="307"/>
      <c r="P66" s="322"/>
    </row>
    <row r="67" spans="1:16" s="308" customFormat="1" ht="12.75" customHeight="1">
      <c r="A67" s="44"/>
      <c r="B67" s="40"/>
      <c r="C67" s="366" t="s">
        <v>511</v>
      </c>
      <c r="D67" s="367" t="s">
        <v>552</v>
      </c>
      <c r="E67" s="759">
        <v>906.6</v>
      </c>
      <c r="F67" s="367">
        <f t="shared" si="10"/>
        <v>72</v>
      </c>
      <c r="G67" s="42">
        <v>73</v>
      </c>
      <c r="H67" s="42">
        <v>1</v>
      </c>
      <c r="I67" s="43">
        <v>0.87</v>
      </c>
      <c r="J67" s="369">
        <f t="shared" si="11"/>
        <v>0.87</v>
      </c>
      <c r="K67" s="398">
        <v>0</v>
      </c>
      <c r="L67" s="42" t="s">
        <v>147</v>
      </c>
      <c r="M67" s="42">
        <v>0</v>
      </c>
      <c r="N67" s="579"/>
      <c r="O67" s="307"/>
      <c r="P67" s="307"/>
    </row>
    <row r="68" spans="1:16" s="308" customFormat="1" ht="12.75" customHeight="1">
      <c r="A68" s="72"/>
      <c r="B68" s="40"/>
      <c r="C68" s="366" t="s">
        <v>512</v>
      </c>
      <c r="D68" s="367" t="s">
        <v>553</v>
      </c>
      <c r="E68" s="759">
        <v>906.6</v>
      </c>
      <c r="F68" s="367">
        <f t="shared" si="10"/>
        <v>100</v>
      </c>
      <c r="G68" s="42">
        <v>101</v>
      </c>
      <c r="H68" s="42">
        <v>1</v>
      </c>
      <c r="I68" s="43">
        <v>0.91</v>
      </c>
      <c r="J68" s="369">
        <f t="shared" si="11"/>
        <v>0.91</v>
      </c>
      <c r="K68" s="398">
        <v>0</v>
      </c>
      <c r="L68" s="42" t="s">
        <v>152</v>
      </c>
      <c r="M68" s="42">
        <v>0</v>
      </c>
      <c r="N68" s="579"/>
      <c r="O68" s="307"/>
      <c r="P68" s="307"/>
    </row>
    <row r="69" spans="1:16" s="308" customFormat="1" ht="12.75" customHeight="1">
      <c r="A69" s="72"/>
      <c r="B69" s="40"/>
      <c r="C69" s="366" t="s">
        <v>513</v>
      </c>
      <c r="D69" s="367" t="s">
        <v>554</v>
      </c>
      <c r="E69" s="759">
        <v>906.6</v>
      </c>
      <c r="F69" s="367">
        <f t="shared" si="10"/>
        <v>101</v>
      </c>
      <c r="G69" s="42">
        <v>102</v>
      </c>
      <c r="H69" s="42">
        <v>1</v>
      </c>
      <c r="I69" s="43">
        <v>0.34</v>
      </c>
      <c r="J69" s="369">
        <f t="shared" si="11"/>
        <v>0.34</v>
      </c>
      <c r="K69" s="398">
        <v>1249.5</v>
      </c>
      <c r="L69" s="42" t="s">
        <v>147</v>
      </c>
      <c r="M69" s="42">
        <v>1.7</v>
      </c>
      <c r="N69" s="579"/>
      <c r="O69" s="307"/>
      <c r="P69" s="307"/>
    </row>
    <row r="70" spans="1:16" s="308" customFormat="1" ht="12.75" customHeight="1">
      <c r="A70" s="301" t="s">
        <v>505</v>
      </c>
      <c r="B70" s="44" t="s">
        <v>532</v>
      </c>
      <c r="C70" s="341" t="s">
        <v>264</v>
      </c>
      <c r="D70" s="342" t="s">
        <v>555</v>
      </c>
      <c r="E70" s="758">
        <v>937.9</v>
      </c>
      <c r="F70" s="342">
        <f t="shared" si="10"/>
        <v>85.7</v>
      </c>
      <c r="G70" s="62">
        <v>86.7</v>
      </c>
      <c r="H70" s="62">
        <v>1</v>
      </c>
      <c r="I70" s="305">
        <v>0.05</v>
      </c>
      <c r="J70" s="344">
        <f t="shared" si="11"/>
        <v>0.05</v>
      </c>
      <c r="K70" s="412">
        <v>1029</v>
      </c>
      <c r="L70" s="62" t="s">
        <v>152</v>
      </c>
      <c r="M70" s="612" t="s">
        <v>302</v>
      </c>
      <c r="N70" s="577"/>
      <c r="O70" s="307"/>
      <c r="P70" s="307"/>
    </row>
    <row r="71" spans="1:16" s="308" customFormat="1" ht="12.75" customHeight="1">
      <c r="A71" s="44"/>
      <c r="B71" s="40"/>
      <c r="C71" s="366" t="s">
        <v>270</v>
      </c>
      <c r="D71" s="367" t="s">
        <v>556</v>
      </c>
      <c r="E71" s="759">
        <v>937.9</v>
      </c>
      <c r="F71" s="367">
        <f t="shared" si="10"/>
        <v>86.7</v>
      </c>
      <c r="G71" s="42">
        <v>87.7</v>
      </c>
      <c r="H71" s="42">
        <v>1</v>
      </c>
      <c r="I71" s="43">
        <v>0.84</v>
      </c>
      <c r="J71" s="369">
        <f aca="true" t="shared" si="12" ref="J71:J77">I71/H71</f>
        <v>0.84</v>
      </c>
      <c r="K71" s="398">
        <v>1425.9</v>
      </c>
      <c r="L71" s="42" t="s">
        <v>147</v>
      </c>
      <c r="M71" s="42">
        <v>3.5</v>
      </c>
      <c r="N71" s="577"/>
      <c r="O71" s="307"/>
      <c r="P71" s="307"/>
    </row>
    <row r="72" spans="1:16" s="308" customFormat="1" ht="12.75" customHeight="1">
      <c r="A72" s="72"/>
      <c r="B72" s="40"/>
      <c r="C72" s="366" t="s">
        <v>273</v>
      </c>
      <c r="D72" s="367" t="s">
        <v>557</v>
      </c>
      <c r="E72" s="759">
        <v>937.9</v>
      </c>
      <c r="F72" s="367">
        <f t="shared" si="10"/>
        <v>115</v>
      </c>
      <c r="G72" s="42">
        <v>116</v>
      </c>
      <c r="H72" s="42">
        <v>1</v>
      </c>
      <c r="I72" s="43">
        <v>0.88</v>
      </c>
      <c r="J72" s="369">
        <f t="shared" si="12"/>
        <v>0.88</v>
      </c>
      <c r="K72" s="398">
        <v>0</v>
      </c>
      <c r="L72" s="42" t="s">
        <v>152</v>
      </c>
      <c r="M72" s="42">
        <v>0</v>
      </c>
      <c r="N72" s="577"/>
      <c r="O72" s="307"/>
      <c r="P72" s="307"/>
    </row>
    <row r="73" spans="1:16" s="308" customFormat="1" ht="12.75" customHeight="1">
      <c r="A73" s="72"/>
      <c r="B73" s="418"/>
      <c r="C73" s="586" t="s">
        <v>502</v>
      </c>
      <c r="D73" s="587" t="s">
        <v>558</v>
      </c>
      <c r="E73" s="765">
        <v>937.9</v>
      </c>
      <c r="F73" s="587">
        <f t="shared" si="10"/>
        <v>116</v>
      </c>
      <c r="G73" s="588">
        <v>117</v>
      </c>
      <c r="H73" s="588">
        <v>1</v>
      </c>
      <c r="I73" s="589">
        <v>0.91</v>
      </c>
      <c r="J73" s="408">
        <f t="shared" si="12"/>
        <v>0.91</v>
      </c>
      <c r="K73" s="590">
        <v>1470</v>
      </c>
      <c r="L73" s="588" t="s">
        <v>147</v>
      </c>
      <c r="M73" s="588">
        <v>2</v>
      </c>
      <c r="N73" s="577"/>
      <c r="O73" s="307"/>
      <c r="P73" s="307"/>
    </row>
    <row r="74" spans="1:16" s="308" customFormat="1" ht="12.75" customHeight="1">
      <c r="A74" s="301" t="s">
        <v>560</v>
      </c>
      <c r="B74" s="44" t="s">
        <v>559</v>
      </c>
      <c r="C74" s="341" t="s">
        <v>430</v>
      </c>
      <c r="D74" s="342" t="s">
        <v>584</v>
      </c>
      <c r="E74" s="758">
        <v>1264.5</v>
      </c>
      <c r="F74" s="342">
        <f t="shared" si="10"/>
        <v>104.2</v>
      </c>
      <c r="G74" s="62">
        <v>105.2</v>
      </c>
      <c r="H74" s="62">
        <v>1</v>
      </c>
      <c r="I74" s="305">
        <v>0.92</v>
      </c>
      <c r="J74" s="344">
        <f t="shared" si="12"/>
        <v>0.92</v>
      </c>
      <c r="K74" s="412">
        <v>852.6</v>
      </c>
      <c r="L74" s="62" t="s">
        <v>152</v>
      </c>
      <c r="M74" s="62">
        <v>1</v>
      </c>
      <c r="N74" s="577"/>
      <c r="O74" s="307"/>
      <c r="P74" s="307"/>
    </row>
    <row r="75" spans="1:16" s="308" customFormat="1" ht="12.75" customHeight="1">
      <c r="A75" s="44"/>
      <c r="B75" s="40"/>
      <c r="C75" s="366" t="s">
        <v>583</v>
      </c>
      <c r="D75" s="367" t="s">
        <v>586</v>
      </c>
      <c r="E75" s="759">
        <v>1264.5</v>
      </c>
      <c r="F75" s="367">
        <f t="shared" si="10"/>
        <v>105.2</v>
      </c>
      <c r="G75" s="42">
        <v>106.2</v>
      </c>
      <c r="H75" s="42">
        <v>1</v>
      </c>
      <c r="I75" s="43">
        <v>0.68</v>
      </c>
      <c r="J75" s="369">
        <f t="shared" si="12"/>
        <v>0.68</v>
      </c>
      <c r="K75" s="398">
        <v>0</v>
      </c>
      <c r="L75" s="42" t="s">
        <v>147</v>
      </c>
      <c r="M75" s="42">
        <v>0</v>
      </c>
      <c r="N75" s="577"/>
      <c r="O75" s="307"/>
      <c r="P75" s="307"/>
    </row>
    <row r="76" spans="1:16" s="308" customFormat="1" ht="12.75" customHeight="1">
      <c r="A76" s="72"/>
      <c r="B76" s="40"/>
      <c r="C76" s="366" t="s">
        <v>503</v>
      </c>
      <c r="D76" s="367" t="s">
        <v>585</v>
      </c>
      <c r="E76" s="759">
        <v>1264.5</v>
      </c>
      <c r="F76" s="367">
        <f t="shared" si="10"/>
        <v>162.2</v>
      </c>
      <c r="G76" s="42">
        <v>163.2</v>
      </c>
      <c r="H76" s="42">
        <v>1</v>
      </c>
      <c r="I76" s="43">
        <v>0.93</v>
      </c>
      <c r="J76" s="369">
        <f t="shared" si="12"/>
        <v>0.93</v>
      </c>
      <c r="K76" s="398">
        <v>0</v>
      </c>
      <c r="L76" s="42" t="s">
        <v>152</v>
      </c>
      <c r="M76" s="42">
        <v>0</v>
      </c>
      <c r="N76" s="577"/>
      <c r="O76" s="307"/>
      <c r="P76" s="307"/>
    </row>
    <row r="77" spans="1:16" s="308" customFormat="1" ht="12.75" customHeight="1">
      <c r="A77" s="72"/>
      <c r="B77" s="40"/>
      <c r="C77" s="366" t="s">
        <v>285</v>
      </c>
      <c r="D77" s="367" t="s">
        <v>587</v>
      </c>
      <c r="E77" s="759">
        <v>1264.5</v>
      </c>
      <c r="F77" s="367">
        <f t="shared" si="10"/>
        <v>163.2</v>
      </c>
      <c r="G77" s="42">
        <v>164.2</v>
      </c>
      <c r="H77" s="42">
        <v>1</v>
      </c>
      <c r="I77" s="43">
        <v>0.43</v>
      </c>
      <c r="J77" s="369">
        <f t="shared" si="12"/>
        <v>0.43</v>
      </c>
      <c r="K77" s="398">
        <v>1764</v>
      </c>
      <c r="L77" s="42" t="s">
        <v>147</v>
      </c>
      <c r="M77" s="42">
        <v>2</v>
      </c>
      <c r="N77" s="577"/>
      <c r="O77" s="307"/>
      <c r="P77" s="307"/>
    </row>
    <row r="78" spans="1:16" s="308" customFormat="1" ht="12.75" customHeight="1">
      <c r="A78" s="301" t="s">
        <v>227</v>
      </c>
      <c r="B78" s="69" t="s">
        <v>595</v>
      </c>
      <c r="C78" s="346" t="s">
        <v>596</v>
      </c>
      <c r="D78" s="347" t="s">
        <v>597</v>
      </c>
      <c r="E78" s="758">
        <v>1356</v>
      </c>
      <c r="F78" s="347">
        <f t="shared" si="10"/>
        <v>175.5</v>
      </c>
      <c r="G78" s="45">
        <v>176.5</v>
      </c>
      <c r="H78" s="45">
        <v>1</v>
      </c>
      <c r="I78" s="46">
        <v>0.9</v>
      </c>
      <c r="J78" s="379">
        <f aca="true" t="shared" si="13" ref="J78:J96">I78/H78</f>
        <v>0.9</v>
      </c>
      <c r="K78" s="474">
        <v>0</v>
      </c>
      <c r="L78" s="45" t="s">
        <v>147</v>
      </c>
      <c r="M78" s="45">
        <v>0</v>
      </c>
      <c r="N78" s="577"/>
      <c r="O78" s="307"/>
      <c r="P78" s="307"/>
    </row>
    <row r="79" spans="1:16" s="308" customFormat="1" ht="12.75" customHeight="1">
      <c r="A79" s="44"/>
      <c r="B79" s="40"/>
      <c r="C79" s="366" t="s">
        <v>292</v>
      </c>
      <c r="D79" s="367" t="s">
        <v>603</v>
      </c>
      <c r="E79" s="759">
        <v>1356</v>
      </c>
      <c r="F79" s="367">
        <f t="shared" si="10"/>
        <v>328</v>
      </c>
      <c r="G79" s="42">
        <v>329</v>
      </c>
      <c r="H79" s="42">
        <v>1</v>
      </c>
      <c r="I79" s="43">
        <v>0.93</v>
      </c>
      <c r="J79" s="369">
        <f t="shared" si="13"/>
        <v>0.93</v>
      </c>
      <c r="K79" s="398">
        <v>794</v>
      </c>
      <c r="L79" s="42" t="s">
        <v>152</v>
      </c>
      <c r="M79" s="42">
        <v>1.7</v>
      </c>
      <c r="N79" s="577"/>
      <c r="O79" s="307"/>
      <c r="P79" s="307"/>
    </row>
    <row r="80" spans="1:16" s="308" customFormat="1" ht="12.75" customHeight="1">
      <c r="A80" s="72"/>
      <c r="B80" s="40"/>
      <c r="C80" s="366" t="s">
        <v>602</v>
      </c>
      <c r="D80" s="367" t="s">
        <v>604</v>
      </c>
      <c r="E80" s="764">
        <v>1356</v>
      </c>
      <c r="F80" s="367">
        <f t="shared" si="10"/>
        <v>329</v>
      </c>
      <c r="G80" s="42">
        <v>330</v>
      </c>
      <c r="H80" s="42">
        <v>1</v>
      </c>
      <c r="I80" s="43">
        <v>0.87</v>
      </c>
      <c r="J80" s="369">
        <f t="shared" si="13"/>
        <v>0.87</v>
      </c>
      <c r="K80" s="398">
        <v>2455</v>
      </c>
      <c r="L80" s="42" t="s">
        <v>147</v>
      </c>
      <c r="M80" s="42">
        <v>1.9</v>
      </c>
      <c r="N80" s="577"/>
      <c r="O80" s="307"/>
      <c r="P80" s="307"/>
    </row>
    <row r="81" spans="1:16" s="308" customFormat="1" ht="12.75" customHeight="1">
      <c r="A81" s="72"/>
      <c r="B81" s="40"/>
      <c r="C81" s="366" t="s">
        <v>605</v>
      </c>
      <c r="D81" s="367" t="s">
        <v>611</v>
      </c>
      <c r="E81" s="759">
        <v>1356</v>
      </c>
      <c r="F81" s="367">
        <f t="shared" si="10"/>
        <v>412.7</v>
      </c>
      <c r="G81" s="42">
        <v>413.7</v>
      </c>
      <c r="H81" s="42">
        <v>1</v>
      </c>
      <c r="I81" s="43">
        <v>0.89</v>
      </c>
      <c r="J81" s="369">
        <f t="shared" si="13"/>
        <v>0.89</v>
      </c>
      <c r="K81" s="398">
        <v>1543.5</v>
      </c>
      <c r="L81" s="42" t="s">
        <v>152</v>
      </c>
      <c r="M81" s="42">
        <v>2.5</v>
      </c>
      <c r="N81" s="577"/>
      <c r="O81" s="307"/>
      <c r="P81" s="307"/>
    </row>
    <row r="82" spans="1:16" s="308" customFormat="1" ht="12.75" customHeight="1">
      <c r="A82" s="72"/>
      <c r="B82" s="72"/>
      <c r="C82" s="370" t="s">
        <v>606</v>
      </c>
      <c r="D82" s="371" t="s">
        <v>614</v>
      </c>
      <c r="E82" s="764">
        <v>1356</v>
      </c>
      <c r="F82" s="367">
        <f t="shared" si="10"/>
        <v>413.7</v>
      </c>
      <c r="G82" s="73">
        <v>414.7</v>
      </c>
      <c r="H82" s="42">
        <v>1</v>
      </c>
      <c r="I82" s="74">
        <v>0.87</v>
      </c>
      <c r="J82" s="130">
        <f t="shared" si="13"/>
        <v>0.87</v>
      </c>
      <c r="K82" s="406">
        <v>1837.5</v>
      </c>
      <c r="L82" s="42" t="s">
        <v>147</v>
      </c>
      <c r="M82" s="73">
        <v>1.9</v>
      </c>
      <c r="N82" s="577"/>
      <c r="O82" s="307"/>
      <c r="P82" s="307"/>
    </row>
    <row r="83" spans="1:16" s="308" customFormat="1" ht="12.75" customHeight="1">
      <c r="A83" s="72"/>
      <c r="B83" s="40"/>
      <c r="C83" s="366" t="s">
        <v>607</v>
      </c>
      <c r="D83" s="367" t="s">
        <v>612</v>
      </c>
      <c r="E83" s="759">
        <v>1356</v>
      </c>
      <c r="F83" s="367">
        <f t="shared" si="10"/>
        <v>499.6</v>
      </c>
      <c r="G83" s="42">
        <v>500.6</v>
      </c>
      <c r="H83" s="42">
        <v>1</v>
      </c>
      <c r="I83" s="43">
        <v>0.6</v>
      </c>
      <c r="J83" s="369">
        <f t="shared" si="13"/>
        <v>0.6</v>
      </c>
      <c r="K83" s="398">
        <v>0</v>
      </c>
      <c r="L83" s="42" t="s">
        <v>152</v>
      </c>
      <c r="M83" s="42">
        <v>0</v>
      </c>
      <c r="N83" s="577"/>
      <c r="O83" s="307"/>
      <c r="P83" s="307"/>
    </row>
    <row r="84" spans="1:16" s="308" customFormat="1" ht="12.75" customHeight="1">
      <c r="A84" s="72"/>
      <c r="B84" s="40"/>
      <c r="C84" s="366" t="s">
        <v>608</v>
      </c>
      <c r="D84" s="367" t="s">
        <v>615</v>
      </c>
      <c r="E84" s="764">
        <v>1356</v>
      </c>
      <c r="F84" s="367">
        <f t="shared" si="10"/>
        <v>500.6</v>
      </c>
      <c r="G84" s="42">
        <v>501.6</v>
      </c>
      <c r="H84" s="42">
        <v>1</v>
      </c>
      <c r="I84" s="43">
        <v>0.87</v>
      </c>
      <c r="J84" s="369">
        <f t="shared" si="13"/>
        <v>0.87</v>
      </c>
      <c r="K84" s="398">
        <v>0</v>
      </c>
      <c r="L84" s="42" t="s">
        <v>147</v>
      </c>
      <c r="M84" s="42">
        <v>0</v>
      </c>
      <c r="N84" s="577"/>
      <c r="O84" s="307"/>
      <c r="P84" s="307"/>
    </row>
    <row r="85" spans="1:16" s="308" customFormat="1" ht="12.75" customHeight="1">
      <c r="A85" s="72"/>
      <c r="B85" s="40"/>
      <c r="C85" s="366" t="s">
        <v>609</v>
      </c>
      <c r="D85" s="367" t="s">
        <v>613</v>
      </c>
      <c r="E85" s="759">
        <v>1356</v>
      </c>
      <c r="F85" s="367">
        <f t="shared" si="10"/>
        <v>586.3</v>
      </c>
      <c r="G85" s="42">
        <v>586.8</v>
      </c>
      <c r="H85" s="42">
        <v>0.5</v>
      </c>
      <c r="I85" s="43">
        <v>0.13</v>
      </c>
      <c r="J85" s="369">
        <f t="shared" si="13"/>
        <v>0.26</v>
      </c>
      <c r="K85" s="398">
        <v>470.4</v>
      </c>
      <c r="L85" s="42" t="s">
        <v>152</v>
      </c>
      <c r="M85" s="42">
        <v>0</v>
      </c>
      <c r="N85" s="577"/>
      <c r="O85" s="307"/>
      <c r="P85" s="307"/>
    </row>
    <row r="86" spans="1:16" s="328" customFormat="1" ht="12.75" customHeight="1">
      <c r="A86" s="560"/>
      <c r="B86" s="560"/>
      <c r="C86" s="370" t="s">
        <v>610</v>
      </c>
      <c r="D86" s="371" t="s">
        <v>616</v>
      </c>
      <c r="E86" s="764">
        <v>1356</v>
      </c>
      <c r="F86" s="367">
        <f t="shared" si="10"/>
        <v>586.8</v>
      </c>
      <c r="G86" s="73">
        <v>587.8</v>
      </c>
      <c r="H86" s="42">
        <v>1</v>
      </c>
      <c r="I86" s="43">
        <v>0</v>
      </c>
      <c r="J86" s="369">
        <f t="shared" si="13"/>
        <v>0</v>
      </c>
      <c r="K86" s="406">
        <v>2175.6</v>
      </c>
      <c r="L86" s="42" t="s">
        <v>147</v>
      </c>
      <c r="M86" s="42">
        <v>0</v>
      </c>
      <c r="N86" s="579"/>
      <c r="O86" s="327"/>
      <c r="P86" s="327"/>
    </row>
    <row r="87" spans="1:16" s="308" customFormat="1" ht="12.75" customHeight="1">
      <c r="A87" s="72"/>
      <c r="B87" s="47"/>
      <c r="C87" s="373" t="s">
        <v>633</v>
      </c>
      <c r="D87" s="374" t="s">
        <v>634</v>
      </c>
      <c r="E87" s="764">
        <v>1356</v>
      </c>
      <c r="F87" s="367">
        <f>G87-H87</f>
        <v>672.3</v>
      </c>
      <c r="G87" s="73">
        <v>673.3</v>
      </c>
      <c r="H87" s="42">
        <v>1</v>
      </c>
      <c r="I87" s="43">
        <v>0.42</v>
      </c>
      <c r="J87" s="369">
        <f t="shared" si="13"/>
        <v>0.42</v>
      </c>
      <c r="K87" s="406">
        <v>2352</v>
      </c>
      <c r="L87" s="42" t="s">
        <v>147</v>
      </c>
      <c r="M87" s="42">
        <v>4</v>
      </c>
      <c r="N87" s="577"/>
      <c r="O87" s="307"/>
      <c r="P87" s="307"/>
    </row>
    <row r="88" spans="1:16" s="308" customFormat="1" ht="12.75" customHeight="1">
      <c r="A88" s="301" t="s">
        <v>630</v>
      </c>
      <c r="B88" s="69" t="s">
        <v>659</v>
      </c>
      <c r="C88" s="346" t="s">
        <v>273</v>
      </c>
      <c r="D88" s="347" t="s">
        <v>670</v>
      </c>
      <c r="E88" s="762">
        <v>1434.2</v>
      </c>
      <c r="F88" s="347">
        <f aca="true" t="shared" si="14" ref="F88:F100">G88-H88</f>
        <v>126</v>
      </c>
      <c r="G88" s="45">
        <v>127</v>
      </c>
      <c r="H88" s="45">
        <v>1</v>
      </c>
      <c r="I88" s="46">
        <v>0.98</v>
      </c>
      <c r="J88" s="379">
        <f t="shared" si="13"/>
        <v>0.98</v>
      </c>
      <c r="K88" s="474">
        <v>1396.5</v>
      </c>
      <c r="L88" s="45" t="s">
        <v>152</v>
      </c>
      <c r="M88" s="45">
        <v>1.5</v>
      </c>
      <c r="N88" s="577"/>
      <c r="O88" s="307"/>
      <c r="P88" s="307"/>
    </row>
    <row r="89" spans="1:16" s="308" customFormat="1" ht="12.75" customHeight="1">
      <c r="A89" s="611" t="s">
        <v>619</v>
      </c>
      <c r="B89" s="40"/>
      <c r="C89" s="366" t="s">
        <v>502</v>
      </c>
      <c r="D89" s="367" t="s">
        <v>671</v>
      </c>
      <c r="E89" s="759">
        <v>1434.2</v>
      </c>
      <c r="F89" s="367">
        <f t="shared" si="14"/>
        <v>127</v>
      </c>
      <c r="G89" s="42">
        <v>128</v>
      </c>
      <c r="H89" s="42">
        <v>1</v>
      </c>
      <c r="I89" s="43">
        <v>0.96</v>
      </c>
      <c r="J89" s="369">
        <f t="shared" si="13"/>
        <v>0.96</v>
      </c>
      <c r="K89" s="398">
        <v>0</v>
      </c>
      <c r="L89" s="42" t="s">
        <v>147</v>
      </c>
      <c r="M89" s="42">
        <v>0</v>
      </c>
      <c r="N89" s="577"/>
      <c r="O89" s="307"/>
      <c r="P89" s="307"/>
    </row>
    <row r="90" spans="1:16" s="308" customFormat="1" ht="12.75" customHeight="1">
      <c r="A90" s="72"/>
      <c r="B90" s="72"/>
      <c r="C90" s="370" t="s">
        <v>669</v>
      </c>
      <c r="D90" s="371" t="s">
        <v>672</v>
      </c>
      <c r="E90" s="759">
        <v>1434.2</v>
      </c>
      <c r="F90" s="371">
        <f t="shared" si="14"/>
        <v>128</v>
      </c>
      <c r="G90" s="73">
        <v>129</v>
      </c>
      <c r="H90" s="73">
        <v>1</v>
      </c>
      <c r="I90" s="74">
        <v>0.96</v>
      </c>
      <c r="J90" s="130">
        <f t="shared" si="13"/>
        <v>0.96</v>
      </c>
      <c r="K90" s="406">
        <v>1911</v>
      </c>
      <c r="L90" s="73" t="s">
        <v>147</v>
      </c>
      <c r="M90" s="73">
        <v>3.5</v>
      </c>
      <c r="N90" s="577"/>
      <c r="O90" s="307"/>
      <c r="P90" s="307"/>
    </row>
    <row r="91" spans="1:16" s="308" customFormat="1" ht="12.75" customHeight="1">
      <c r="A91" s="72"/>
      <c r="B91" s="40"/>
      <c r="C91" s="366" t="s">
        <v>281</v>
      </c>
      <c r="D91" s="367" t="s">
        <v>674</v>
      </c>
      <c r="E91" s="759">
        <v>1434.2</v>
      </c>
      <c r="F91" s="367">
        <f t="shared" si="14"/>
        <v>193.3</v>
      </c>
      <c r="G91" s="42">
        <v>194.3</v>
      </c>
      <c r="H91" s="42">
        <v>1</v>
      </c>
      <c r="I91" s="43">
        <v>0.85</v>
      </c>
      <c r="J91" s="369">
        <f t="shared" si="13"/>
        <v>0.85</v>
      </c>
      <c r="K91" s="398">
        <v>0</v>
      </c>
      <c r="L91" s="42" t="s">
        <v>152</v>
      </c>
      <c r="M91" s="42">
        <v>0</v>
      </c>
      <c r="N91" s="577"/>
      <c r="O91" s="307"/>
      <c r="P91" s="307"/>
    </row>
    <row r="92" spans="1:16" s="308" customFormat="1" ht="12.75" customHeight="1">
      <c r="A92" s="72"/>
      <c r="B92" s="40"/>
      <c r="C92" s="366" t="s">
        <v>673</v>
      </c>
      <c r="D92" s="367" t="s">
        <v>675</v>
      </c>
      <c r="E92" s="759">
        <v>1434.2</v>
      </c>
      <c r="F92" s="367">
        <f t="shared" si="14"/>
        <v>194.3</v>
      </c>
      <c r="G92" s="42">
        <v>195.3</v>
      </c>
      <c r="H92" s="42">
        <v>1</v>
      </c>
      <c r="I92" s="43">
        <v>0.87</v>
      </c>
      <c r="J92" s="369">
        <f t="shared" si="13"/>
        <v>0.87</v>
      </c>
      <c r="K92" s="398">
        <v>0</v>
      </c>
      <c r="L92" s="42" t="s">
        <v>147</v>
      </c>
      <c r="M92" s="42">
        <v>0</v>
      </c>
      <c r="N92" s="577"/>
      <c r="O92" s="307"/>
      <c r="P92" s="307"/>
    </row>
    <row r="93" spans="1:16" s="308" customFormat="1" ht="12.75" customHeight="1">
      <c r="A93" s="72"/>
      <c r="B93" s="72"/>
      <c r="C93" s="370" t="s">
        <v>279</v>
      </c>
      <c r="D93" s="371" t="s">
        <v>676</v>
      </c>
      <c r="E93" s="760">
        <v>1434.2</v>
      </c>
      <c r="F93" s="371">
        <f t="shared" si="14"/>
        <v>195.3</v>
      </c>
      <c r="G93" s="73">
        <v>196.3</v>
      </c>
      <c r="H93" s="73">
        <v>1</v>
      </c>
      <c r="I93" s="74">
        <v>1.1</v>
      </c>
      <c r="J93" s="130">
        <f t="shared" si="13"/>
        <v>1.1</v>
      </c>
      <c r="K93" s="406">
        <v>1911</v>
      </c>
      <c r="L93" s="73" t="s">
        <v>147</v>
      </c>
      <c r="M93" s="73">
        <v>8</v>
      </c>
      <c r="N93" s="577"/>
      <c r="O93" s="307"/>
      <c r="P93" s="307"/>
    </row>
    <row r="94" spans="1:16" s="308" customFormat="1" ht="12.75" customHeight="1">
      <c r="A94" s="301" t="s">
        <v>662</v>
      </c>
      <c r="B94" s="44" t="s">
        <v>663</v>
      </c>
      <c r="C94" s="341" t="s">
        <v>289</v>
      </c>
      <c r="D94" s="342" t="s">
        <v>702</v>
      </c>
      <c r="E94" s="758">
        <v>1157.9</v>
      </c>
      <c r="F94" s="647">
        <f t="shared" si="14"/>
        <v>147.8</v>
      </c>
      <c r="G94" s="62">
        <v>148.8</v>
      </c>
      <c r="H94" s="427">
        <v>1</v>
      </c>
      <c r="I94" s="305">
        <v>0.57</v>
      </c>
      <c r="J94" s="344">
        <f t="shared" si="13"/>
        <v>0.57</v>
      </c>
      <c r="K94" s="412">
        <v>0</v>
      </c>
      <c r="L94" s="62" t="s">
        <v>152</v>
      </c>
      <c r="M94" s="62" t="s">
        <v>147</v>
      </c>
      <c r="N94" s="577"/>
      <c r="O94" s="307"/>
      <c r="P94" s="307"/>
    </row>
    <row r="95" spans="1:16" s="308" customFormat="1" ht="12.75" customHeight="1">
      <c r="A95" s="318" t="s">
        <v>665</v>
      </c>
      <c r="B95" s="428" t="s">
        <v>664</v>
      </c>
      <c r="C95" s="646" t="s">
        <v>709</v>
      </c>
      <c r="D95" s="647" t="s">
        <v>713</v>
      </c>
      <c r="E95" s="766">
        <v>1049</v>
      </c>
      <c r="F95" s="647">
        <f t="shared" si="14"/>
        <v>58</v>
      </c>
      <c r="G95" s="427">
        <v>59</v>
      </c>
      <c r="H95" s="427">
        <v>1</v>
      </c>
      <c r="I95" s="648">
        <v>0.84</v>
      </c>
      <c r="J95" s="383">
        <f t="shared" si="13"/>
        <v>0.84</v>
      </c>
      <c r="K95" s="707">
        <v>1617</v>
      </c>
      <c r="L95" s="427" t="s">
        <v>147</v>
      </c>
      <c r="M95" s="427" t="s">
        <v>762</v>
      </c>
      <c r="N95" s="577"/>
      <c r="O95" s="307"/>
      <c r="P95" s="307"/>
    </row>
    <row r="96" spans="1:16" s="308" customFormat="1" ht="12.75" customHeight="1">
      <c r="A96" s="44"/>
      <c r="B96" s="69"/>
      <c r="C96" s="346" t="s">
        <v>710</v>
      </c>
      <c r="D96" s="347" t="s">
        <v>716</v>
      </c>
      <c r="E96" s="762">
        <v>1049</v>
      </c>
      <c r="F96" s="347">
        <f t="shared" si="14"/>
        <v>59</v>
      </c>
      <c r="G96" s="45">
        <v>60</v>
      </c>
      <c r="H96" s="45">
        <v>1</v>
      </c>
      <c r="I96" s="46">
        <v>1.08</v>
      </c>
      <c r="J96" s="379">
        <f t="shared" si="13"/>
        <v>1.08</v>
      </c>
      <c r="K96" s="474">
        <v>1543.5</v>
      </c>
      <c r="L96" s="45" t="s">
        <v>147</v>
      </c>
      <c r="M96" s="45" t="s">
        <v>762</v>
      </c>
      <c r="N96" s="577"/>
      <c r="O96" s="307"/>
      <c r="P96" s="307"/>
    </row>
    <row r="97" spans="1:16" s="308" customFormat="1" ht="12.75" customHeight="1">
      <c r="A97" s="72"/>
      <c r="B97" s="40"/>
      <c r="C97" s="366" t="s">
        <v>711</v>
      </c>
      <c r="D97" s="367" t="s">
        <v>714</v>
      </c>
      <c r="E97" s="759">
        <v>1049</v>
      </c>
      <c r="F97" s="367">
        <f t="shared" si="14"/>
        <v>69</v>
      </c>
      <c r="G97" s="42">
        <v>70</v>
      </c>
      <c r="H97" s="42">
        <v>1</v>
      </c>
      <c r="I97" s="43">
        <v>0.94</v>
      </c>
      <c r="J97" s="369">
        <f>I97/H97</f>
        <v>0.94</v>
      </c>
      <c r="K97" s="398">
        <v>0</v>
      </c>
      <c r="L97" s="42" t="s">
        <v>147</v>
      </c>
      <c r="M97" s="42">
        <v>0</v>
      </c>
      <c r="N97" s="577"/>
      <c r="O97" s="307"/>
      <c r="P97" s="307"/>
    </row>
    <row r="98" spans="1:16" s="308" customFormat="1" ht="12.75" customHeight="1">
      <c r="A98" s="72"/>
      <c r="B98" s="40"/>
      <c r="C98" s="366" t="s">
        <v>712</v>
      </c>
      <c r="D98" s="367" t="s">
        <v>717</v>
      </c>
      <c r="E98" s="759">
        <v>1049</v>
      </c>
      <c r="F98" s="367">
        <f t="shared" si="14"/>
        <v>70</v>
      </c>
      <c r="G98" s="42">
        <v>71</v>
      </c>
      <c r="H98" s="42">
        <v>1</v>
      </c>
      <c r="I98" s="43">
        <v>1.09</v>
      </c>
      <c r="J98" s="369">
        <f>I98/H98</f>
        <v>1.09</v>
      </c>
      <c r="K98" s="398">
        <v>1514.1</v>
      </c>
      <c r="L98" s="42" t="s">
        <v>147</v>
      </c>
      <c r="M98" s="42">
        <v>70</v>
      </c>
      <c r="N98" s="577"/>
      <c r="O98" s="307"/>
      <c r="P98" s="307"/>
    </row>
    <row r="99" spans="1:16" s="308" customFormat="1" ht="12.75" customHeight="1">
      <c r="A99" s="72"/>
      <c r="B99" s="40"/>
      <c r="C99" s="366" t="s">
        <v>511</v>
      </c>
      <c r="D99" s="367" t="s">
        <v>715</v>
      </c>
      <c r="E99" s="759">
        <v>1049</v>
      </c>
      <c r="F99" s="367">
        <f t="shared" si="14"/>
        <v>80</v>
      </c>
      <c r="G99" s="42">
        <v>81</v>
      </c>
      <c r="H99" s="42">
        <v>1</v>
      </c>
      <c r="I99" s="43">
        <v>0.88</v>
      </c>
      <c r="J99" s="369">
        <f>I99/H99</f>
        <v>0.88</v>
      </c>
      <c r="K99" s="398">
        <v>0</v>
      </c>
      <c r="L99" s="42" t="s">
        <v>147</v>
      </c>
      <c r="M99" s="42">
        <v>0</v>
      </c>
      <c r="N99" s="577"/>
      <c r="O99" s="307"/>
      <c r="P99" s="307"/>
    </row>
    <row r="100" spans="1:16" s="308" customFormat="1" ht="12.75" customHeight="1">
      <c r="A100" s="72"/>
      <c r="B100" s="47"/>
      <c r="C100" s="373" t="s">
        <v>278</v>
      </c>
      <c r="D100" s="374" t="s">
        <v>718</v>
      </c>
      <c r="E100" s="763">
        <v>1049</v>
      </c>
      <c r="F100" s="374">
        <f t="shared" si="14"/>
        <v>81</v>
      </c>
      <c r="G100" s="48">
        <v>82</v>
      </c>
      <c r="H100" s="48">
        <v>1</v>
      </c>
      <c r="I100" s="49">
        <v>0.47</v>
      </c>
      <c r="J100" s="376">
        <f>I100/H100</f>
        <v>0.47</v>
      </c>
      <c r="K100" s="407">
        <v>1470</v>
      </c>
      <c r="L100" s="48" t="s">
        <v>147</v>
      </c>
      <c r="M100" s="45" t="s">
        <v>762</v>
      </c>
      <c r="N100" s="577"/>
      <c r="O100" s="307"/>
      <c r="P100" s="307"/>
    </row>
    <row r="101" spans="1:16" s="308" customFormat="1" ht="12.75" customHeight="1">
      <c r="A101" s="72"/>
      <c r="B101" s="44" t="s">
        <v>720</v>
      </c>
      <c r="C101" s="341" t="s">
        <v>752</v>
      </c>
      <c r="D101" s="357" t="s">
        <v>722</v>
      </c>
      <c r="E101" s="758">
        <v>1050</v>
      </c>
      <c r="F101" s="342">
        <f aca="true" t="shared" si="15" ref="F101:F106">G101-H101</f>
        <v>55</v>
      </c>
      <c r="G101" s="62">
        <v>56</v>
      </c>
      <c r="H101" s="62">
        <v>1</v>
      </c>
      <c r="I101" s="305">
        <v>0.5</v>
      </c>
      <c r="J101" s="379">
        <f>I101/H101</f>
        <v>0.5</v>
      </c>
      <c r="K101" s="412">
        <v>1499.4</v>
      </c>
      <c r="L101" s="62" t="s">
        <v>147</v>
      </c>
      <c r="M101" s="45" t="s">
        <v>762</v>
      </c>
      <c r="N101" s="577"/>
      <c r="O101" s="307"/>
      <c r="P101" s="307"/>
    </row>
    <row r="102" spans="1:16" s="308" customFormat="1" ht="12.75" customHeight="1">
      <c r="A102" s="72"/>
      <c r="B102" s="66"/>
      <c r="C102" s="356" t="s">
        <v>709</v>
      </c>
      <c r="D102" s="357" t="s">
        <v>719</v>
      </c>
      <c r="E102" s="760">
        <v>1050</v>
      </c>
      <c r="F102" s="357">
        <f t="shared" si="15"/>
        <v>56</v>
      </c>
      <c r="G102" s="67">
        <v>57</v>
      </c>
      <c r="H102" s="67">
        <v>1</v>
      </c>
      <c r="I102" s="68">
        <v>0</v>
      </c>
      <c r="J102" s="359">
        <v>0</v>
      </c>
      <c r="K102" s="397">
        <v>0</v>
      </c>
      <c r="L102" s="67" t="s">
        <v>147</v>
      </c>
      <c r="M102" s="67">
        <v>0</v>
      </c>
      <c r="N102" s="577"/>
      <c r="O102" s="307"/>
      <c r="P102" s="307"/>
    </row>
    <row r="103" spans="1:16" s="308" customFormat="1" ht="12.75" customHeight="1">
      <c r="A103" s="72"/>
      <c r="B103" s="69" t="s">
        <v>747</v>
      </c>
      <c r="C103" s="346" t="s">
        <v>748</v>
      </c>
      <c r="D103" s="347" t="s">
        <v>721</v>
      </c>
      <c r="E103" s="762">
        <v>1049</v>
      </c>
      <c r="F103" s="347">
        <f t="shared" si="15"/>
        <v>55</v>
      </c>
      <c r="G103" s="45">
        <v>56</v>
      </c>
      <c r="H103" s="45">
        <v>1</v>
      </c>
      <c r="I103" s="305">
        <v>0.85</v>
      </c>
      <c r="J103" s="344">
        <f>I103/H103</f>
        <v>0.85</v>
      </c>
      <c r="K103" s="474">
        <v>1764</v>
      </c>
      <c r="L103" s="45" t="s">
        <v>147</v>
      </c>
      <c r="M103" s="45" t="s">
        <v>762</v>
      </c>
      <c r="N103" s="577"/>
      <c r="O103" s="307"/>
      <c r="P103" s="307"/>
    </row>
    <row r="104" spans="1:16" s="308" customFormat="1" ht="12.75" customHeight="1">
      <c r="A104" s="72"/>
      <c r="B104" s="72"/>
      <c r="C104" s="356" t="s">
        <v>749</v>
      </c>
      <c r="D104" s="357" t="s">
        <v>723</v>
      </c>
      <c r="E104" s="760">
        <v>1049</v>
      </c>
      <c r="F104" s="357">
        <f t="shared" si="15"/>
        <v>56.5</v>
      </c>
      <c r="G104" s="67">
        <v>57.5</v>
      </c>
      <c r="H104" s="67">
        <v>1</v>
      </c>
      <c r="I104" s="43">
        <v>1.1</v>
      </c>
      <c r="J104" s="369">
        <f>I104/H104</f>
        <v>1.1</v>
      </c>
      <c r="K104" s="397">
        <v>1543.5</v>
      </c>
      <c r="L104" s="67" t="s">
        <v>147</v>
      </c>
      <c r="M104" s="67" t="s">
        <v>762</v>
      </c>
      <c r="N104" s="577"/>
      <c r="O104" s="307"/>
      <c r="P104" s="307"/>
    </row>
    <row r="105" spans="1:16" s="308" customFormat="1" ht="12.75" customHeight="1">
      <c r="A105" s="72"/>
      <c r="B105" s="40"/>
      <c r="C105" s="366" t="s">
        <v>763</v>
      </c>
      <c r="D105" s="367" t="s">
        <v>765</v>
      </c>
      <c r="E105" s="759">
        <v>1049</v>
      </c>
      <c r="F105" s="367">
        <f t="shared" si="15"/>
        <v>76</v>
      </c>
      <c r="G105" s="42">
        <v>77</v>
      </c>
      <c r="H105" s="42">
        <v>1</v>
      </c>
      <c r="I105" s="43">
        <v>0.85</v>
      </c>
      <c r="J105" s="369">
        <f>I105/H105</f>
        <v>0.85</v>
      </c>
      <c r="K105" s="398">
        <v>1646.4</v>
      </c>
      <c r="L105" s="42" t="s">
        <v>147</v>
      </c>
      <c r="M105" s="45" t="s">
        <v>762</v>
      </c>
      <c r="N105" s="577"/>
      <c r="O105" s="307"/>
      <c r="P105" s="307"/>
    </row>
    <row r="106" spans="1:16" s="308" customFormat="1" ht="12.75" customHeight="1">
      <c r="A106" s="418"/>
      <c r="B106" s="47"/>
      <c r="C106" s="373" t="s">
        <v>764</v>
      </c>
      <c r="D106" s="374" t="s">
        <v>766</v>
      </c>
      <c r="E106" s="763">
        <v>1049</v>
      </c>
      <c r="F106" s="374">
        <f t="shared" si="15"/>
        <v>77</v>
      </c>
      <c r="G106" s="48">
        <v>78</v>
      </c>
      <c r="H106" s="48">
        <v>1</v>
      </c>
      <c r="I106" s="589">
        <v>1.08</v>
      </c>
      <c r="J106" s="376">
        <f>I106/H106</f>
        <v>1.08</v>
      </c>
      <c r="K106" s="407">
        <v>1543.5</v>
      </c>
      <c r="L106" s="48" t="s">
        <v>147</v>
      </c>
      <c r="M106" s="48" t="s">
        <v>762</v>
      </c>
      <c r="N106" s="577"/>
      <c r="O106" s="307"/>
      <c r="P106" s="307"/>
    </row>
    <row r="107" ht="12.75" customHeight="1"/>
    <row r="108" spans="8:10" ht="12.75" customHeight="1">
      <c r="H108" s="704" t="s">
        <v>770</v>
      </c>
      <c r="I108" s="1215">
        <f>SUM(H10:H106)</f>
        <v>96.5</v>
      </c>
      <c r="J108" s="1213"/>
    </row>
    <row r="109" spans="8:10" ht="12.75" customHeight="1">
      <c r="H109" s="704" t="s">
        <v>773</v>
      </c>
      <c r="I109" s="1212">
        <f>SUM(I10:I106)</f>
        <v>68.47999999999998</v>
      </c>
      <c r="J109" s="1212"/>
    </row>
    <row r="110" spans="8:10" ht="12.75" customHeight="1">
      <c r="H110" s="704" t="s">
        <v>771</v>
      </c>
      <c r="I110" s="1214">
        <f>I109/I108</f>
        <v>0.7096373056994816</v>
      </c>
      <c r="J110" s="1214"/>
    </row>
    <row r="111" spans="8:10" ht="12.75" customHeight="1">
      <c r="H111" s="704" t="s">
        <v>772</v>
      </c>
      <c r="I111" s="1212">
        <f>I10+I11+I12+I13+I16+I18+I24+I28+I29+I31+I32+I35+I36+I37+I38+I41+I42+I43+I45+I46+I48+I49+I52+I55+I58+I59+I61+I62+I63+I69+I70+I71+I73+I74+I77+I79+I80+I81+I82+I85+I86+I87+I88+I90+I93+I95+I96+I98+I100+I101+I103+I104+I105+I106</f>
        <v>42.440000000000005</v>
      </c>
      <c r="J111" s="1213"/>
    </row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</sheetData>
  <sheetProtection/>
  <mergeCells count="7">
    <mergeCell ref="I109:J109"/>
    <mergeCell ref="I111:J111"/>
    <mergeCell ref="I110:J110"/>
    <mergeCell ref="A1:M1"/>
    <mergeCell ref="A4:M4"/>
    <mergeCell ref="A2:M2"/>
    <mergeCell ref="I108:J108"/>
  </mergeCells>
  <printOptions horizontalCentered="1"/>
  <pageMargins left="0.5" right="0.25" top="0.5" bottom="0.5" header="0" footer="0.25"/>
  <pageSetup orientation="portrait" r:id="rId1"/>
  <headerFooter alignWithMargins="0">
    <oddHeader>&amp;R
</oddHeader>
    <oddFooter>&amp;L&amp;"Arial,Regular"&amp;8&amp;F&amp;C&amp;"Arial,Regular"&amp;8Page &amp;P of &amp;N&amp;R&amp;"Arial,Regular"&amp;8M. Storms, 17 August 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11.625" style="972" customWidth="1"/>
    <col min="2" max="2" width="9.625" style="972" customWidth="1"/>
    <col min="3" max="3" width="0.875" style="972" customWidth="1"/>
    <col min="4" max="4" width="7.625" style="972" bestFit="1" customWidth="1"/>
    <col min="5" max="5" width="7.00390625" style="972" customWidth="1"/>
    <col min="6" max="6" width="9.625" style="984" customWidth="1"/>
    <col min="7" max="7" width="13.625" style="1064" customWidth="1"/>
    <col min="8" max="8" width="12.625" style="984" customWidth="1"/>
    <col min="9" max="9" width="18.625" style="1064" customWidth="1"/>
    <col min="10" max="10" width="0.875" style="972" customWidth="1"/>
    <col min="11" max="11" width="11.625" style="1065" customWidth="1"/>
    <col min="12" max="16384" width="9.00390625" style="971" customWidth="1"/>
  </cols>
  <sheetData>
    <row r="1" spans="1:11" s="809" customFormat="1" ht="18">
      <c r="A1" s="1175" t="s">
        <v>245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</row>
    <row r="2" spans="1:11" s="809" customFormat="1" ht="18">
      <c r="A2" s="1175" t="s">
        <v>246</v>
      </c>
      <c r="B2" s="1175"/>
      <c r="C2" s="1175"/>
      <c r="D2" s="1175"/>
      <c r="E2" s="1175"/>
      <c r="F2" s="1175"/>
      <c r="G2" s="1175"/>
      <c r="H2" s="1175"/>
      <c r="I2" s="1175"/>
      <c r="J2" s="1175"/>
      <c r="K2" s="1175"/>
    </row>
    <row r="3" spans="1:11" s="809" customFormat="1" ht="18">
      <c r="A3" s="1175" t="s">
        <v>582</v>
      </c>
      <c r="B3" s="1175"/>
      <c r="C3" s="1175"/>
      <c r="D3" s="1175"/>
      <c r="E3" s="1175"/>
      <c r="F3" s="1175"/>
      <c r="G3" s="1175"/>
      <c r="H3" s="1175"/>
      <c r="I3" s="1175"/>
      <c r="J3" s="1175"/>
      <c r="K3" s="1175"/>
    </row>
    <row r="4" spans="1:11" s="813" customFormat="1" ht="6" customHeight="1">
      <c r="A4" s="1216"/>
      <c r="B4" s="1216"/>
      <c r="C4" s="1216"/>
      <c r="D4" s="1216"/>
      <c r="E4" s="1216"/>
      <c r="F4" s="1216"/>
      <c r="G4" s="1216"/>
      <c r="H4" s="1216"/>
      <c r="I4" s="1216"/>
      <c r="J4" s="1216"/>
      <c r="K4" s="1216"/>
    </row>
    <row r="5" spans="1:11" s="823" customFormat="1" ht="12.75" customHeight="1">
      <c r="A5" s="819"/>
      <c r="B5" s="819"/>
      <c r="C5" s="988"/>
      <c r="D5" s="819"/>
      <c r="E5" s="989" t="s">
        <v>571</v>
      </c>
      <c r="F5" s="822" t="s">
        <v>568</v>
      </c>
      <c r="G5" s="1217" t="s">
        <v>851</v>
      </c>
      <c r="H5" s="1218"/>
      <c r="I5" s="822" t="s">
        <v>850</v>
      </c>
      <c r="J5" s="1143"/>
      <c r="K5" s="820" t="s">
        <v>11</v>
      </c>
    </row>
    <row r="6" spans="1:11" s="823" customFormat="1" ht="12.75" customHeight="1">
      <c r="A6" s="824" t="s">
        <v>484</v>
      </c>
      <c r="B6" s="824" t="s">
        <v>485</v>
      </c>
      <c r="C6" s="988"/>
      <c r="D6" s="824" t="s">
        <v>575</v>
      </c>
      <c r="E6" s="824" t="s">
        <v>572</v>
      </c>
      <c r="F6" s="1142" t="s">
        <v>567</v>
      </c>
      <c r="G6" s="1146" t="s">
        <v>569</v>
      </c>
      <c r="H6" s="822" t="s">
        <v>573</v>
      </c>
      <c r="I6" s="1147" t="s">
        <v>570</v>
      </c>
      <c r="J6" s="1143"/>
      <c r="K6" s="825" t="s">
        <v>852</v>
      </c>
    </row>
    <row r="7" spans="1:11" s="823" customFormat="1" ht="12.75" customHeight="1">
      <c r="A7" s="828" t="s">
        <v>486</v>
      </c>
      <c r="B7" s="828" t="s">
        <v>565</v>
      </c>
      <c r="C7" s="988"/>
      <c r="D7" s="828" t="s">
        <v>24</v>
      </c>
      <c r="E7" s="824" t="s">
        <v>566</v>
      </c>
      <c r="F7" s="1145" t="s">
        <v>46</v>
      </c>
      <c r="G7" s="1145" t="s">
        <v>46</v>
      </c>
      <c r="H7" s="831" t="s">
        <v>574</v>
      </c>
      <c r="I7" s="1148" t="s">
        <v>566</v>
      </c>
      <c r="J7" s="1143"/>
      <c r="K7" s="829" t="s">
        <v>567</v>
      </c>
    </row>
    <row r="8" spans="1:13" s="840" customFormat="1" ht="6" customHeight="1">
      <c r="A8" s="832"/>
      <c r="B8" s="833"/>
      <c r="C8" s="990"/>
      <c r="D8" s="833"/>
      <c r="E8" s="833"/>
      <c r="F8" s="838"/>
      <c r="G8" s="1144"/>
      <c r="H8" s="1144"/>
      <c r="I8" s="1144"/>
      <c r="J8" s="990"/>
      <c r="K8" s="991"/>
      <c r="L8" s="839"/>
      <c r="M8" s="839"/>
    </row>
    <row r="9" spans="1:14" s="854" customFormat="1" ht="12.75" customHeight="1">
      <c r="A9" s="992" t="s">
        <v>189</v>
      </c>
      <c r="B9" s="992" t="s">
        <v>853</v>
      </c>
      <c r="C9" s="993"/>
      <c r="D9" s="994">
        <v>38843</v>
      </c>
      <c r="E9" s="995">
        <f>21.22/3.28</f>
        <v>6.469512195121951</v>
      </c>
      <c r="F9" s="996">
        <v>2674</v>
      </c>
      <c r="G9" s="997">
        <v>2674.2</v>
      </c>
      <c r="H9" s="996" t="s">
        <v>576</v>
      </c>
      <c r="I9" s="997">
        <f>IF(E9&gt;0,(G9-18.39+E9+0.91),"  ")</f>
        <v>2663.1895121951216</v>
      </c>
      <c r="J9" s="993"/>
      <c r="K9" s="1062">
        <f>IF(E9&gt;0,(F9-G9),"  ")</f>
        <v>-0.1999999999998181</v>
      </c>
      <c r="L9" s="870"/>
      <c r="M9" s="867"/>
      <c r="N9" s="853"/>
    </row>
    <row r="10" spans="1:14" s="854" customFormat="1" ht="12.75" customHeight="1">
      <c r="A10" s="998" t="s">
        <v>194</v>
      </c>
      <c r="B10" s="999" t="s">
        <v>854</v>
      </c>
      <c r="C10" s="993"/>
      <c r="D10" s="1000">
        <v>38858</v>
      </c>
      <c r="E10" s="1001">
        <f>20.77/3.28</f>
        <v>6.332317073170732</v>
      </c>
      <c r="F10" s="1002">
        <v>1069</v>
      </c>
      <c r="G10" s="1003">
        <v>1069</v>
      </c>
      <c r="H10" s="1002" t="s">
        <v>577</v>
      </c>
      <c r="I10" s="1003">
        <f aca="true" t="shared" si="0" ref="I10:I42">IF(E10&gt;0,(G10-18.39+E10+0.91),"  ")</f>
        <v>1057.8523170731708</v>
      </c>
      <c r="J10" s="993"/>
      <c r="K10" s="1004" t="s">
        <v>147</v>
      </c>
      <c r="L10" s="870"/>
      <c r="M10" s="871"/>
      <c r="N10" s="853"/>
    </row>
    <row r="11" spans="1:14" s="854" customFormat="1" ht="12.75" customHeight="1">
      <c r="A11" s="1005"/>
      <c r="B11" s="954" t="s">
        <v>855</v>
      </c>
      <c r="C11" s="993"/>
      <c r="D11" s="1006">
        <v>38858</v>
      </c>
      <c r="E11" s="1007">
        <f>20.77/3.28</f>
        <v>6.332317073170732</v>
      </c>
      <c r="F11" s="1008">
        <v>1069</v>
      </c>
      <c r="G11" s="925">
        <v>1069</v>
      </c>
      <c r="H11" s="1008" t="s">
        <v>68</v>
      </c>
      <c r="I11" s="925">
        <f t="shared" si="0"/>
        <v>1057.8523170731708</v>
      </c>
      <c r="J11" s="993"/>
      <c r="K11" s="1009" t="s">
        <v>147</v>
      </c>
      <c r="L11" s="870"/>
      <c r="M11" s="1010"/>
      <c r="N11" s="853"/>
    </row>
    <row r="12" spans="1:14" s="854" customFormat="1" ht="12.75" customHeight="1">
      <c r="A12" s="1011" t="s">
        <v>206</v>
      </c>
      <c r="B12" s="1012" t="s">
        <v>856</v>
      </c>
      <c r="C12" s="993"/>
      <c r="D12" s="1013">
        <v>38859</v>
      </c>
      <c r="E12" s="1014">
        <f>20.76/3.28</f>
        <v>6.329268292682928</v>
      </c>
      <c r="F12" s="1015">
        <v>1091.4</v>
      </c>
      <c r="G12" s="1016">
        <v>1092</v>
      </c>
      <c r="H12" s="1015" t="s">
        <v>577</v>
      </c>
      <c r="I12" s="1016">
        <f t="shared" si="0"/>
        <v>1080.8492682926828</v>
      </c>
      <c r="J12" s="993"/>
      <c r="K12" s="1017" t="s">
        <v>147</v>
      </c>
      <c r="L12" s="852"/>
      <c r="M12" s="853"/>
      <c r="N12" s="853"/>
    </row>
    <row r="13" spans="1:14" s="854" customFormat="1" ht="12.75" customHeight="1">
      <c r="A13" s="1018"/>
      <c r="B13" s="1019" t="s">
        <v>857</v>
      </c>
      <c r="C13" s="993"/>
      <c r="D13" s="1020">
        <v>38897</v>
      </c>
      <c r="E13" s="1021">
        <f>20.04/3.28</f>
        <v>6.109756097560976</v>
      </c>
      <c r="F13" s="1022">
        <v>1091.4</v>
      </c>
      <c r="G13" s="1023">
        <v>1085.1</v>
      </c>
      <c r="H13" s="1022" t="s">
        <v>576</v>
      </c>
      <c r="I13" s="1023">
        <f t="shared" si="0"/>
        <v>1073.7297560975608</v>
      </c>
      <c r="J13" s="993"/>
      <c r="K13" s="1024">
        <f>IF(E13&gt;0,(F13-G13),"  ")</f>
        <v>6.300000000000182</v>
      </c>
      <c r="L13" s="852"/>
      <c r="M13" s="853"/>
      <c r="N13" s="853"/>
    </row>
    <row r="14" spans="1:14" s="854" customFormat="1" ht="12.75" customHeight="1">
      <c r="A14" s="1018"/>
      <c r="B14" s="1025" t="s">
        <v>858</v>
      </c>
      <c r="C14" s="993"/>
      <c r="D14" s="1026">
        <v>38900</v>
      </c>
      <c r="E14" s="1027">
        <f>20.06/3.28</f>
        <v>6.115853658536586</v>
      </c>
      <c r="F14" s="1028">
        <v>1091.4</v>
      </c>
      <c r="G14" s="1029">
        <v>1086</v>
      </c>
      <c r="H14" s="1028" t="s">
        <v>576</v>
      </c>
      <c r="I14" s="1029">
        <f t="shared" si="0"/>
        <v>1074.6358536585365</v>
      </c>
      <c r="J14" s="993"/>
      <c r="K14" s="1030">
        <f>IF(E14&gt;0,(F14-G14),"  ")</f>
        <v>5.400000000000091</v>
      </c>
      <c r="L14" s="852"/>
      <c r="M14" s="853"/>
      <c r="N14" s="853"/>
    </row>
    <row r="15" spans="1:14" s="854" customFormat="1" ht="12.75" customHeight="1">
      <c r="A15" s="1031" t="s">
        <v>209</v>
      </c>
      <c r="B15" s="1031" t="s">
        <v>859</v>
      </c>
      <c r="C15" s="993"/>
      <c r="D15" s="1032">
        <v>38860</v>
      </c>
      <c r="E15" s="1033">
        <f>20.66/3.28</f>
        <v>6.298780487804878</v>
      </c>
      <c r="F15" s="1034">
        <v>1092.4</v>
      </c>
      <c r="G15" s="945">
        <v>1092</v>
      </c>
      <c r="H15" s="1034" t="s">
        <v>577</v>
      </c>
      <c r="I15" s="945">
        <f t="shared" si="0"/>
        <v>1080.8187804878048</v>
      </c>
      <c r="J15" s="993"/>
      <c r="K15" s="1035" t="s">
        <v>147</v>
      </c>
      <c r="L15" s="852"/>
      <c r="M15" s="853"/>
      <c r="N15" s="853"/>
    </row>
    <row r="16" spans="1:14" s="854" customFormat="1" ht="12.75" customHeight="1">
      <c r="A16" s="1011" t="s">
        <v>184</v>
      </c>
      <c r="B16" s="1012" t="s">
        <v>860</v>
      </c>
      <c r="C16" s="993"/>
      <c r="D16" s="1013">
        <v>38862</v>
      </c>
      <c r="E16" s="1014">
        <f>20.6/3.28</f>
        <v>6.2804878048780495</v>
      </c>
      <c r="F16" s="1015">
        <v>962.4</v>
      </c>
      <c r="G16" s="1016">
        <v>963</v>
      </c>
      <c r="H16" s="1015" t="s">
        <v>577</v>
      </c>
      <c r="I16" s="1016">
        <f t="shared" si="0"/>
        <v>951.800487804878</v>
      </c>
      <c r="J16" s="993"/>
      <c r="K16" s="1017" t="s">
        <v>147</v>
      </c>
      <c r="L16" s="852"/>
      <c r="M16" s="853"/>
      <c r="N16" s="853"/>
    </row>
    <row r="17" spans="1:14" s="854" customFormat="1" ht="12.75" customHeight="1">
      <c r="A17" s="1018"/>
      <c r="B17" s="1019" t="s">
        <v>861</v>
      </c>
      <c r="C17" s="993"/>
      <c r="D17" s="1020">
        <v>38873</v>
      </c>
      <c r="E17" s="1021">
        <f>20.11/3.28</f>
        <v>6.1310975609756095</v>
      </c>
      <c r="F17" s="1022">
        <v>962.4</v>
      </c>
      <c r="G17" s="1023">
        <v>952</v>
      </c>
      <c r="H17" s="1022" t="s">
        <v>577</v>
      </c>
      <c r="I17" s="1023">
        <f t="shared" si="0"/>
        <v>940.6510975609756</v>
      </c>
      <c r="J17" s="993"/>
      <c r="K17" s="1036" t="s">
        <v>147</v>
      </c>
      <c r="L17" s="852"/>
      <c r="M17" s="853"/>
      <c r="N17" s="853"/>
    </row>
    <row r="18" spans="1:14" s="854" customFormat="1" ht="12.75" customHeight="1">
      <c r="A18" s="1018"/>
      <c r="B18" s="1019" t="s">
        <v>862</v>
      </c>
      <c r="C18" s="993"/>
      <c r="D18" s="1020">
        <v>38878</v>
      </c>
      <c r="E18" s="1021">
        <f>20.01/3.28</f>
        <v>6.100609756097562</v>
      </c>
      <c r="F18" s="1022">
        <v>962.4</v>
      </c>
      <c r="G18" s="1023">
        <v>957.2</v>
      </c>
      <c r="H18" s="1022" t="s">
        <v>576</v>
      </c>
      <c r="I18" s="1023">
        <f t="shared" si="0"/>
        <v>945.8206097560976</v>
      </c>
      <c r="J18" s="993"/>
      <c r="K18" s="1024">
        <f>IF(E18&gt;0,(F18-G18),"  ")</f>
        <v>5.199999999999932</v>
      </c>
      <c r="L18" s="852"/>
      <c r="M18" s="853"/>
      <c r="N18" s="853"/>
    </row>
    <row r="19" spans="1:14" s="854" customFormat="1" ht="12.75" customHeight="1">
      <c r="A19" s="1018"/>
      <c r="B19" s="1019" t="s">
        <v>863</v>
      </c>
      <c r="C19" s="993"/>
      <c r="D19" s="1020">
        <v>38880</v>
      </c>
      <c r="E19" s="1021">
        <f>19.82/3.28</f>
        <v>6.0426829268292686</v>
      </c>
      <c r="F19" s="1022">
        <v>962.4</v>
      </c>
      <c r="G19" s="1023">
        <v>955.1</v>
      </c>
      <c r="H19" s="1022" t="s">
        <v>576</v>
      </c>
      <c r="I19" s="1023">
        <f t="shared" si="0"/>
        <v>943.6626829268292</v>
      </c>
      <c r="J19" s="993"/>
      <c r="K19" s="1024">
        <f>IF(E19&gt;0,(F19-G19),"  ")</f>
        <v>7.2999999999999545</v>
      </c>
      <c r="L19" s="852"/>
      <c r="M19" s="853"/>
      <c r="N19" s="853"/>
    </row>
    <row r="20" spans="1:14" s="854" customFormat="1" ht="12.75" customHeight="1">
      <c r="A20" s="1018"/>
      <c r="B20" s="1025" t="s">
        <v>864</v>
      </c>
      <c r="C20" s="993"/>
      <c r="D20" s="1026">
        <v>38882</v>
      </c>
      <c r="E20" s="1027">
        <f>19.59/3.28</f>
        <v>5.972560975609756</v>
      </c>
      <c r="F20" s="1028">
        <v>962.4</v>
      </c>
      <c r="G20" s="1029">
        <v>955.1</v>
      </c>
      <c r="H20" s="1028" t="s">
        <v>580</v>
      </c>
      <c r="I20" s="1029">
        <f t="shared" si="0"/>
        <v>943.5925609756098</v>
      </c>
      <c r="J20" s="993"/>
      <c r="K20" s="1037" t="s">
        <v>147</v>
      </c>
      <c r="L20" s="852"/>
      <c r="M20" s="853"/>
      <c r="N20" s="853"/>
    </row>
    <row r="21" spans="1:14" s="854" customFormat="1" ht="12.75" customHeight="1">
      <c r="A21" s="1031" t="s">
        <v>222</v>
      </c>
      <c r="B21" s="1031" t="s">
        <v>865</v>
      </c>
      <c r="C21" s="993"/>
      <c r="D21" s="1032">
        <v>38863</v>
      </c>
      <c r="E21" s="1033">
        <f>20.56/3.28</f>
        <v>6.2682926829268295</v>
      </c>
      <c r="F21" s="1034">
        <v>1172.4</v>
      </c>
      <c r="G21" s="945">
        <v>1171</v>
      </c>
      <c r="H21" s="1034" t="s">
        <v>577</v>
      </c>
      <c r="I21" s="945">
        <f t="shared" si="0"/>
        <v>1159.7882926829268</v>
      </c>
      <c r="J21" s="993"/>
      <c r="K21" s="1035" t="s">
        <v>147</v>
      </c>
      <c r="L21" s="852"/>
      <c r="M21" s="853"/>
      <c r="N21" s="853"/>
    </row>
    <row r="22" spans="1:14" s="854" customFormat="1" ht="12.75" customHeight="1">
      <c r="A22" s="1011" t="s">
        <v>223</v>
      </c>
      <c r="B22" s="1012" t="s">
        <v>866</v>
      </c>
      <c r="C22" s="993"/>
      <c r="D22" s="1013">
        <v>38864</v>
      </c>
      <c r="E22" s="1014">
        <f>20.46/3.28</f>
        <v>6.237804878048781</v>
      </c>
      <c r="F22" s="1038">
        <v>1297.4</v>
      </c>
      <c r="G22" s="1016">
        <v>1297</v>
      </c>
      <c r="H22" s="1015" t="s">
        <v>577</v>
      </c>
      <c r="I22" s="1016">
        <f t="shared" si="0"/>
        <v>1285.7578048780488</v>
      </c>
      <c r="J22" s="993"/>
      <c r="K22" s="1017" t="s">
        <v>147</v>
      </c>
      <c r="L22" s="852"/>
      <c r="M22" s="853"/>
      <c r="N22" s="853"/>
    </row>
    <row r="23" spans="1:14" s="854" customFormat="1" ht="12.75" customHeight="1">
      <c r="A23" s="1018"/>
      <c r="B23" s="1039" t="s">
        <v>867</v>
      </c>
      <c r="C23" s="993"/>
      <c r="D23" s="1020">
        <v>38903</v>
      </c>
      <c r="E23" s="1040">
        <f>19.74/3.28</f>
        <v>6.0182926829268295</v>
      </c>
      <c r="F23" s="1022">
        <v>1297.4</v>
      </c>
      <c r="G23" s="1041">
        <v>1295.8</v>
      </c>
      <c r="H23" s="1042" t="s">
        <v>576</v>
      </c>
      <c r="I23" s="1041">
        <f t="shared" si="0"/>
        <v>1284.3382926829267</v>
      </c>
      <c r="J23" s="993"/>
      <c r="K23" s="1043">
        <f>IF(E23&gt;0,(F23-G23),"  ")</f>
        <v>1.6000000000001364</v>
      </c>
      <c r="L23" s="852"/>
      <c r="M23" s="853"/>
      <c r="N23" s="853"/>
    </row>
    <row r="24" spans="1:14" s="854" customFormat="1" ht="12.75" customHeight="1">
      <c r="A24" s="1018"/>
      <c r="B24" s="1019" t="s">
        <v>868</v>
      </c>
      <c r="C24" s="993"/>
      <c r="D24" s="1020">
        <v>38905</v>
      </c>
      <c r="E24" s="1021">
        <f>19.52/3.28</f>
        <v>5.951219512195122</v>
      </c>
      <c r="F24" s="1022">
        <v>1297.4</v>
      </c>
      <c r="G24" s="1023">
        <v>1295.8</v>
      </c>
      <c r="H24" s="1022" t="s">
        <v>68</v>
      </c>
      <c r="I24" s="1023">
        <f t="shared" si="0"/>
        <v>1284.271219512195</v>
      </c>
      <c r="J24" s="993"/>
      <c r="K24" s="1036" t="s">
        <v>147</v>
      </c>
      <c r="L24" s="852"/>
      <c r="M24" s="853"/>
      <c r="N24" s="853"/>
    </row>
    <row r="25" spans="1:14" s="854" customFormat="1" ht="12.75" customHeight="1">
      <c r="A25" s="1018"/>
      <c r="B25" s="1044" t="s">
        <v>869</v>
      </c>
      <c r="C25" s="993"/>
      <c r="D25" s="1026">
        <v>38906</v>
      </c>
      <c r="E25" s="1045">
        <f>19.48/3.28</f>
        <v>5.939024390243903</v>
      </c>
      <c r="F25" s="1028">
        <v>1297.4</v>
      </c>
      <c r="G25" s="1046">
        <v>1295.8</v>
      </c>
      <c r="H25" s="1047" t="s">
        <v>68</v>
      </c>
      <c r="I25" s="1046">
        <f t="shared" si="0"/>
        <v>1284.259024390244</v>
      </c>
      <c r="J25" s="993"/>
      <c r="K25" s="1048" t="s">
        <v>147</v>
      </c>
      <c r="L25" s="852"/>
      <c r="M25" s="853"/>
      <c r="N25" s="853"/>
    </row>
    <row r="26" spans="1:14" s="854" customFormat="1" ht="12.75" customHeight="1">
      <c r="A26" s="1031" t="s">
        <v>224</v>
      </c>
      <c r="B26" s="1031" t="s">
        <v>870</v>
      </c>
      <c r="C26" s="993"/>
      <c r="D26" s="1032">
        <v>38866</v>
      </c>
      <c r="E26" s="1033">
        <f>20.4/3.28</f>
        <v>6.219512195121951</v>
      </c>
      <c r="F26" s="1034">
        <v>1701.4</v>
      </c>
      <c r="G26" s="945">
        <v>1700</v>
      </c>
      <c r="H26" s="1034" t="s">
        <v>577</v>
      </c>
      <c r="I26" s="945">
        <f t="shared" si="0"/>
        <v>1688.739512195122</v>
      </c>
      <c r="J26" s="993"/>
      <c r="K26" s="1035" t="s">
        <v>147</v>
      </c>
      <c r="L26" s="852"/>
      <c r="M26" s="853"/>
      <c r="N26" s="853"/>
    </row>
    <row r="27" spans="1:14" s="854" customFormat="1" ht="12.75" customHeight="1">
      <c r="A27" s="992" t="s">
        <v>241</v>
      </c>
      <c r="B27" s="992" t="s">
        <v>871</v>
      </c>
      <c r="C27" s="993"/>
      <c r="D27" s="994">
        <v>38868</v>
      </c>
      <c r="E27" s="995">
        <f>20.35/3.28</f>
        <v>6.204268292682928</v>
      </c>
      <c r="F27" s="996">
        <v>1950.4</v>
      </c>
      <c r="G27" s="997">
        <v>1946</v>
      </c>
      <c r="H27" s="996" t="s">
        <v>577</v>
      </c>
      <c r="I27" s="997">
        <f t="shared" si="0"/>
        <v>1934.7242682926828</v>
      </c>
      <c r="J27" s="993"/>
      <c r="K27" s="1049" t="s">
        <v>147</v>
      </c>
      <c r="L27" s="852"/>
      <c r="M27" s="853"/>
      <c r="N27" s="853"/>
    </row>
    <row r="28" spans="1:14" s="854" customFormat="1" ht="12.75" customHeight="1">
      <c r="A28" s="998" t="s">
        <v>225</v>
      </c>
      <c r="B28" s="999" t="s">
        <v>872</v>
      </c>
      <c r="C28" s="993"/>
      <c r="D28" s="1000">
        <v>38871</v>
      </c>
      <c r="E28" s="1001">
        <f>20.11/3.28</f>
        <v>6.1310975609756095</v>
      </c>
      <c r="F28" s="1002">
        <v>1055.4</v>
      </c>
      <c r="G28" s="1003">
        <v>1049</v>
      </c>
      <c r="H28" s="1002" t="s">
        <v>577</v>
      </c>
      <c r="I28" s="1003">
        <f t="shared" si="0"/>
        <v>1037.6510975609756</v>
      </c>
      <c r="J28" s="993"/>
      <c r="K28" s="1004" t="s">
        <v>147</v>
      </c>
      <c r="L28" s="852"/>
      <c r="M28" s="853"/>
      <c r="N28" s="853"/>
    </row>
    <row r="29" spans="1:14" s="854" customFormat="1" ht="12.75" customHeight="1">
      <c r="A29" s="993"/>
      <c r="B29" s="1050" t="s">
        <v>873</v>
      </c>
      <c r="C29" s="993"/>
      <c r="D29" s="1051">
        <v>38884</v>
      </c>
      <c r="E29" s="1052">
        <f>19.48/3.28</f>
        <v>5.939024390243903</v>
      </c>
      <c r="F29" s="1053">
        <v>1055.4</v>
      </c>
      <c r="G29" s="891">
        <v>1049.4</v>
      </c>
      <c r="H29" s="1053" t="s">
        <v>576</v>
      </c>
      <c r="I29" s="891">
        <f t="shared" si="0"/>
        <v>1037.859024390244</v>
      </c>
      <c r="J29" s="993"/>
      <c r="K29" s="886">
        <f>IF(E29&gt;0,(F29-G29),"  ")</f>
        <v>6</v>
      </c>
      <c r="L29" s="852"/>
      <c r="M29" s="853"/>
      <c r="N29" s="853"/>
    </row>
    <row r="30" spans="1:14" s="854" customFormat="1" ht="12.75" customHeight="1">
      <c r="A30" s="993"/>
      <c r="B30" s="1054" t="s">
        <v>874</v>
      </c>
      <c r="C30" s="993"/>
      <c r="D30" s="1051">
        <v>38886</v>
      </c>
      <c r="E30" s="1055">
        <f>19.24/3.28</f>
        <v>5.865853658536585</v>
      </c>
      <c r="F30" s="1056">
        <v>1055.4</v>
      </c>
      <c r="G30" s="919" t="s">
        <v>348</v>
      </c>
      <c r="H30" s="1056" t="s">
        <v>576</v>
      </c>
      <c r="I30" s="919" t="s">
        <v>147</v>
      </c>
      <c r="J30" s="993"/>
      <c r="K30" s="1057" t="s">
        <v>147</v>
      </c>
      <c r="L30" s="852"/>
      <c r="M30" s="853"/>
      <c r="N30" s="853"/>
    </row>
    <row r="31" spans="1:14" s="854" customFormat="1" ht="12.75" customHeight="1">
      <c r="A31" s="993"/>
      <c r="B31" s="954" t="s">
        <v>875</v>
      </c>
      <c r="C31" s="993"/>
      <c r="D31" s="1058">
        <v>38886</v>
      </c>
      <c r="E31" s="1007">
        <f>19.48/3.28</f>
        <v>5.939024390243903</v>
      </c>
      <c r="F31" s="1008">
        <v>1055.4</v>
      </c>
      <c r="G31" s="925">
        <v>1050.4</v>
      </c>
      <c r="H31" s="1008" t="s">
        <v>579</v>
      </c>
      <c r="I31" s="925">
        <f t="shared" si="0"/>
        <v>1038.859024390244</v>
      </c>
      <c r="J31" s="993"/>
      <c r="K31" s="1009" t="s">
        <v>147</v>
      </c>
      <c r="L31" s="852"/>
      <c r="M31" s="853"/>
      <c r="N31" s="853"/>
    </row>
    <row r="32" spans="1:14" s="1061" customFormat="1" ht="12.75" customHeight="1">
      <c r="A32" s="992" t="s">
        <v>226</v>
      </c>
      <c r="B32" s="992" t="s">
        <v>876</v>
      </c>
      <c r="C32" s="993"/>
      <c r="D32" s="994">
        <v>38872</v>
      </c>
      <c r="E32" s="995">
        <f>20.07/3.28</f>
        <v>6.1189024390243905</v>
      </c>
      <c r="F32" s="996">
        <v>1032.4</v>
      </c>
      <c r="G32" s="997">
        <v>1018</v>
      </c>
      <c r="H32" s="996" t="s">
        <v>577</v>
      </c>
      <c r="I32" s="997">
        <f t="shared" si="0"/>
        <v>1006.6389024390244</v>
      </c>
      <c r="J32" s="993"/>
      <c r="K32" s="1049" t="s">
        <v>147</v>
      </c>
      <c r="L32" s="1059"/>
      <c r="M32" s="1060"/>
      <c r="N32" s="1060"/>
    </row>
    <row r="33" spans="1:14" s="854" customFormat="1" ht="12.75" customHeight="1">
      <c r="A33" s="1031" t="s">
        <v>345</v>
      </c>
      <c r="B33" s="1031" t="s">
        <v>877</v>
      </c>
      <c r="C33" s="993"/>
      <c r="D33" s="1032">
        <v>38889</v>
      </c>
      <c r="E33" s="1033">
        <f>19.17/3.28</f>
        <v>5.844512195121952</v>
      </c>
      <c r="F33" s="1034">
        <v>1049.4</v>
      </c>
      <c r="G33" s="945">
        <v>1045.8</v>
      </c>
      <c r="H33" s="1034" t="s">
        <v>576</v>
      </c>
      <c r="I33" s="945">
        <f t="shared" si="0"/>
        <v>1034.164512195122</v>
      </c>
      <c r="J33" s="993"/>
      <c r="K33" s="849">
        <f aca="true" t="shared" si="1" ref="K33:K42">IF(E33&gt;0,(F33-G33),"  ")</f>
        <v>3.6000000000001364</v>
      </c>
      <c r="L33" s="852"/>
      <c r="M33" s="853"/>
      <c r="N33" s="853"/>
    </row>
    <row r="34" spans="1:14" s="854" customFormat="1" ht="12.75" customHeight="1">
      <c r="A34" s="992" t="s">
        <v>346</v>
      </c>
      <c r="B34" s="992" t="s">
        <v>878</v>
      </c>
      <c r="C34" s="993"/>
      <c r="D34" s="994">
        <v>38891</v>
      </c>
      <c r="E34" s="995">
        <f>19.15/3.28</f>
        <v>5.838414634146341</v>
      </c>
      <c r="F34" s="996">
        <v>1049.4</v>
      </c>
      <c r="G34" s="997">
        <v>1044</v>
      </c>
      <c r="H34" s="996" t="s">
        <v>578</v>
      </c>
      <c r="I34" s="997">
        <f t="shared" si="0"/>
        <v>1032.3584146341464</v>
      </c>
      <c r="J34" s="993"/>
      <c r="K34" s="1062">
        <f t="shared" si="1"/>
        <v>5.400000000000091</v>
      </c>
      <c r="L34" s="852"/>
      <c r="M34" s="853"/>
      <c r="N34" s="853"/>
    </row>
    <row r="35" spans="1:14" s="854" customFormat="1" ht="12.75" customHeight="1">
      <c r="A35" s="1031" t="s">
        <v>476</v>
      </c>
      <c r="B35" s="1031" t="s">
        <v>879</v>
      </c>
      <c r="C35" s="993"/>
      <c r="D35" s="1032">
        <v>38908</v>
      </c>
      <c r="E35" s="1033">
        <f>19.75/3.28</f>
        <v>6.021341463414634</v>
      </c>
      <c r="F35" s="1034">
        <v>908.6</v>
      </c>
      <c r="G35" s="945">
        <v>906.6</v>
      </c>
      <c r="H35" s="1034" t="s">
        <v>576</v>
      </c>
      <c r="I35" s="945">
        <f t="shared" si="0"/>
        <v>895.1413414634146</v>
      </c>
      <c r="J35" s="993"/>
      <c r="K35" s="849">
        <f t="shared" si="1"/>
        <v>2</v>
      </c>
      <c r="L35" s="852"/>
      <c r="M35" s="853"/>
      <c r="N35" s="853"/>
    </row>
    <row r="36" spans="1:14" s="854" customFormat="1" ht="12.75" customHeight="1">
      <c r="A36" s="992" t="s">
        <v>477</v>
      </c>
      <c r="B36" s="992" t="s">
        <v>880</v>
      </c>
      <c r="C36" s="993"/>
      <c r="D36" s="994">
        <v>38911</v>
      </c>
      <c r="E36" s="995">
        <f>19.73/3.28</f>
        <v>6.015243902439025</v>
      </c>
      <c r="F36" s="996">
        <v>942.4</v>
      </c>
      <c r="G36" s="997">
        <v>937.9</v>
      </c>
      <c r="H36" s="996" t="s">
        <v>576</v>
      </c>
      <c r="I36" s="997">
        <f t="shared" si="0"/>
        <v>926.435243902439</v>
      </c>
      <c r="J36" s="993"/>
      <c r="K36" s="1062">
        <f t="shared" si="1"/>
        <v>4.5</v>
      </c>
      <c r="L36" s="852"/>
      <c r="M36" s="853"/>
      <c r="N36" s="853"/>
    </row>
    <row r="37" spans="1:14" s="854" customFormat="1" ht="12.75" customHeight="1">
      <c r="A37" s="1031" t="s">
        <v>536</v>
      </c>
      <c r="B37" s="1031" t="s">
        <v>881</v>
      </c>
      <c r="C37" s="993"/>
      <c r="D37" s="1032">
        <v>38913</v>
      </c>
      <c r="E37" s="1033">
        <f>19.38/3.28</f>
        <v>5.908536585365853</v>
      </c>
      <c r="F37" s="1034">
        <v>1267.4</v>
      </c>
      <c r="G37" s="945">
        <v>1264.5</v>
      </c>
      <c r="H37" s="1034" t="s">
        <v>576</v>
      </c>
      <c r="I37" s="945">
        <f t="shared" si="0"/>
        <v>1252.928536585366</v>
      </c>
      <c r="J37" s="993"/>
      <c r="K37" s="849">
        <f t="shared" si="1"/>
        <v>2.900000000000091</v>
      </c>
      <c r="L37" s="852"/>
      <c r="M37" s="853"/>
      <c r="N37" s="853"/>
    </row>
    <row r="38" spans="1:14" s="1061" customFormat="1" ht="12.75" customHeight="1">
      <c r="A38" s="992" t="s">
        <v>452</v>
      </c>
      <c r="B38" s="992" t="s">
        <v>882</v>
      </c>
      <c r="C38" s="993"/>
      <c r="D38" s="994">
        <v>38918</v>
      </c>
      <c r="E38" s="995">
        <f>19.01/3.28</f>
        <v>5.795731707317074</v>
      </c>
      <c r="F38" s="996">
        <v>1358.4</v>
      </c>
      <c r="G38" s="997">
        <v>1356</v>
      </c>
      <c r="H38" s="996" t="s">
        <v>576</v>
      </c>
      <c r="I38" s="997">
        <f t="shared" si="0"/>
        <v>1344.3157317073171</v>
      </c>
      <c r="J38" s="993"/>
      <c r="K38" s="1062">
        <f t="shared" si="1"/>
        <v>2.400000000000091</v>
      </c>
      <c r="L38" s="1059"/>
      <c r="M38" s="1060"/>
      <c r="N38" s="1060"/>
    </row>
    <row r="39" spans="1:14" s="1061" customFormat="1" ht="12.75" customHeight="1">
      <c r="A39" s="1031"/>
      <c r="B39" s="1031" t="s">
        <v>883</v>
      </c>
      <c r="C39" s="993"/>
      <c r="D39" s="1032">
        <v>38924</v>
      </c>
      <c r="E39" s="1033">
        <f>18.6/3.28</f>
        <v>5.670731707317074</v>
      </c>
      <c r="F39" s="1034">
        <v>1358.4</v>
      </c>
      <c r="G39" s="945">
        <v>1356</v>
      </c>
      <c r="H39" s="1034" t="s">
        <v>578</v>
      </c>
      <c r="I39" s="945">
        <f t="shared" si="0"/>
        <v>1344.1907317073171</v>
      </c>
      <c r="J39" s="993"/>
      <c r="K39" s="1035" t="s">
        <v>147</v>
      </c>
      <c r="L39" s="1059"/>
      <c r="M39" s="1060"/>
      <c r="N39" s="1060"/>
    </row>
    <row r="40" spans="1:14" s="1061" customFormat="1" ht="12.75" customHeight="1">
      <c r="A40" s="992" t="s">
        <v>620</v>
      </c>
      <c r="B40" s="992" t="s">
        <v>884</v>
      </c>
      <c r="C40" s="993"/>
      <c r="D40" s="994">
        <v>38931</v>
      </c>
      <c r="E40" s="995">
        <f>18.34/3.28</f>
        <v>5.591463414634147</v>
      </c>
      <c r="F40" s="996">
        <v>1391.4</v>
      </c>
      <c r="G40" s="997">
        <v>1386.1</v>
      </c>
      <c r="H40" s="996" t="s">
        <v>576</v>
      </c>
      <c r="I40" s="997">
        <f>IF(E40&gt;0,(G40-18.39+E40+0.91),"  ")</f>
        <v>1374.211463414634</v>
      </c>
      <c r="J40" s="1018"/>
      <c r="K40" s="1062">
        <f t="shared" si="1"/>
        <v>5.300000000000182</v>
      </c>
      <c r="L40" s="1059"/>
      <c r="M40" s="1060"/>
      <c r="N40" s="1060"/>
    </row>
    <row r="41" spans="1:14" s="854" customFormat="1" ht="12.75" customHeight="1">
      <c r="A41" s="1031" t="s">
        <v>621</v>
      </c>
      <c r="B41" s="1031" t="s">
        <v>885</v>
      </c>
      <c r="C41" s="993"/>
      <c r="D41" s="1032">
        <v>38934</v>
      </c>
      <c r="E41" s="1033">
        <f>18.62/3.28</f>
        <v>5.676829268292684</v>
      </c>
      <c r="F41" s="1034">
        <v>1439.3</v>
      </c>
      <c r="G41" s="945">
        <v>1434.2</v>
      </c>
      <c r="H41" s="1034" t="s">
        <v>576</v>
      </c>
      <c r="I41" s="945">
        <f t="shared" si="0"/>
        <v>1422.3968292682928</v>
      </c>
      <c r="J41" s="1063"/>
      <c r="K41" s="849">
        <f t="shared" si="1"/>
        <v>5.099999999999909</v>
      </c>
      <c r="L41" s="852"/>
      <c r="M41" s="853"/>
      <c r="N41" s="853"/>
    </row>
    <row r="42" spans="1:14" s="854" customFormat="1" ht="12.75" customHeight="1">
      <c r="A42" s="898"/>
      <c r="B42" s="1031" t="s">
        <v>886</v>
      </c>
      <c r="C42" s="1063"/>
      <c r="D42" s="1032">
        <v>38936</v>
      </c>
      <c r="E42" s="1033">
        <f>18.48/3.28</f>
        <v>5.634146341463415</v>
      </c>
      <c r="F42" s="1034">
        <v>1439.3</v>
      </c>
      <c r="G42" s="945">
        <v>1433.2</v>
      </c>
      <c r="H42" s="1034" t="s">
        <v>576</v>
      </c>
      <c r="I42" s="945">
        <f t="shared" si="0"/>
        <v>1421.3541463414635</v>
      </c>
      <c r="J42" s="1063"/>
      <c r="K42" s="849">
        <f t="shared" si="1"/>
        <v>6.099999999999909</v>
      </c>
      <c r="L42" s="852"/>
      <c r="M42" s="853"/>
      <c r="N42" s="853"/>
    </row>
    <row r="43" spans="1:14" s="854" customFormat="1" ht="12.75" customHeight="1">
      <c r="A43" s="992" t="s">
        <v>660</v>
      </c>
      <c r="B43" s="992" t="s">
        <v>887</v>
      </c>
      <c r="C43" s="1063"/>
      <c r="D43" s="994">
        <v>38939</v>
      </c>
      <c r="E43" s="995">
        <f>18.27/3.28</f>
        <v>5.570121951219512</v>
      </c>
      <c r="F43" s="996">
        <v>1157.4</v>
      </c>
      <c r="G43" s="997">
        <v>1157.9</v>
      </c>
      <c r="H43" s="996" t="s">
        <v>576</v>
      </c>
      <c r="I43" s="997">
        <f>IF(E43&gt;0,(G43-18.39+E43+0.91),"  ")</f>
        <v>1145.9901219512196</v>
      </c>
      <c r="J43" s="1018"/>
      <c r="K43" s="1062">
        <f>IF(E43&gt;0,(F43-G43),"  ")</f>
        <v>-0.5</v>
      </c>
      <c r="L43" s="852"/>
      <c r="M43" s="853"/>
      <c r="N43" s="853"/>
    </row>
    <row r="44" spans="1:14" s="1061" customFormat="1" ht="12.75" customHeight="1">
      <c r="A44" s="992"/>
      <c r="B44" s="992" t="s">
        <v>888</v>
      </c>
      <c r="C44" s="993"/>
      <c r="D44" s="994">
        <v>38940</v>
      </c>
      <c r="E44" s="995">
        <f>18.21/3.28</f>
        <v>5.551829268292684</v>
      </c>
      <c r="F44" s="996">
        <v>1157.4</v>
      </c>
      <c r="G44" s="997">
        <v>1157.9</v>
      </c>
      <c r="H44" s="996" t="s">
        <v>68</v>
      </c>
      <c r="I44" s="997">
        <f>IF(E44&gt;0,(G44-18.39+E44+0.91),"  ")</f>
        <v>1145.9718292682928</v>
      </c>
      <c r="J44" s="993"/>
      <c r="K44" s="1049" t="s">
        <v>147</v>
      </c>
      <c r="L44" s="1059"/>
      <c r="M44" s="1060"/>
      <c r="N44" s="1060"/>
    </row>
    <row r="45" spans="1:14" s="1061" customFormat="1" ht="12.75" customHeight="1">
      <c r="A45" s="1031" t="s">
        <v>706</v>
      </c>
      <c r="B45" s="1031" t="s">
        <v>889</v>
      </c>
      <c r="C45" s="993"/>
      <c r="D45" s="1032">
        <v>38941</v>
      </c>
      <c r="E45" s="1033">
        <f>18.15/3.28</f>
        <v>5.533536585365853</v>
      </c>
      <c r="F45" s="1034">
        <v>1055.4</v>
      </c>
      <c r="G45" s="945">
        <v>1049</v>
      </c>
      <c r="H45" s="1034" t="s">
        <v>68</v>
      </c>
      <c r="I45" s="945">
        <f>IF(E45&gt;0,(G45-18.39+E45+0.91),"  ")</f>
        <v>1037.053536585366</v>
      </c>
      <c r="J45" s="993"/>
      <c r="K45" s="1035" t="s">
        <v>147</v>
      </c>
      <c r="L45" s="1059"/>
      <c r="M45" s="1060"/>
      <c r="N45" s="1060"/>
    </row>
    <row r="46" spans="1:14" s="1061" customFormat="1" ht="12.75" customHeight="1">
      <c r="A46" s="1031"/>
      <c r="B46" s="1031" t="s">
        <v>890</v>
      </c>
      <c r="C46" s="993"/>
      <c r="D46" s="1032">
        <v>38942</v>
      </c>
      <c r="E46" s="1033">
        <f>18.15/3.28</f>
        <v>5.533536585365853</v>
      </c>
      <c r="F46" s="1034">
        <v>1056.4</v>
      </c>
      <c r="G46" s="945">
        <v>1050</v>
      </c>
      <c r="H46" s="1034" t="s">
        <v>68</v>
      </c>
      <c r="I46" s="945">
        <f>IF(E46&gt;0,(G46-18.39+E46+0.91),"  ")</f>
        <v>1038.053536585366</v>
      </c>
      <c r="J46" s="993"/>
      <c r="K46" s="1035" t="s">
        <v>147</v>
      </c>
      <c r="L46" s="1059"/>
      <c r="M46" s="1060"/>
      <c r="N46" s="1060"/>
    </row>
    <row r="47" spans="1:14" s="1061" customFormat="1" ht="12.75" customHeight="1">
      <c r="A47" s="1031"/>
      <c r="B47" s="1031" t="s">
        <v>891</v>
      </c>
      <c r="C47" s="993"/>
      <c r="D47" s="1032">
        <v>38943</v>
      </c>
      <c r="E47" s="1033">
        <f>18.09/3.28</f>
        <v>5.515243902439025</v>
      </c>
      <c r="F47" s="1034">
        <v>1055.4</v>
      </c>
      <c r="G47" s="945">
        <v>1049</v>
      </c>
      <c r="H47" s="1034" t="s">
        <v>68</v>
      </c>
      <c r="I47" s="945">
        <f>IF(E47&gt;0,(G47-18.39+E47+0.91),"  ")</f>
        <v>1037.035243902439</v>
      </c>
      <c r="J47" s="993"/>
      <c r="K47" s="1035" t="s">
        <v>147</v>
      </c>
      <c r="L47" s="1059"/>
      <c r="M47" s="1060"/>
      <c r="N47" s="1060"/>
    </row>
  </sheetData>
  <sheetProtection/>
  <mergeCells count="5">
    <mergeCell ref="A4:K4"/>
    <mergeCell ref="G5:H5"/>
    <mergeCell ref="A1:K1"/>
    <mergeCell ref="A3:K3"/>
    <mergeCell ref="A2:K2"/>
  </mergeCells>
  <printOptions horizontalCentered="1"/>
  <pageMargins left="0.5" right="0.5" top="0.6" bottom="0.5" header="0" footer="0"/>
  <pageSetup orientation="landscape" r:id="rId1"/>
  <headerFooter alignWithMargins="0">
    <oddHeader>&amp;R
</oddHeader>
    <oddFooter>&amp;L&amp;"Arial,Regular"&amp;8&amp;F&amp;C&amp;"Arial,Regular"&amp;8Page &amp;P of &amp;N&amp;R&amp;"Arial,Regular"&amp;8M. Storms, 17 August 06</oddFooter>
  </headerFooter>
  <ignoredErrors>
    <ignoredError sqref="E3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selection activeCell="P40" sqref="P40"/>
    </sheetView>
  </sheetViews>
  <sheetFormatPr defaultColWidth="5.625" defaultRowHeight="12.75"/>
  <cols>
    <col min="1" max="1" width="3.50390625" style="11" customWidth="1"/>
    <col min="2" max="2" width="10.625" style="11" customWidth="1"/>
    <col min="3" max="3" width="5.625" style="11" customWidth="1"/>
    <col min="4" max="4" width="6.125" style="11" customWidth="1"/>
    <col min="5" max="7" width="5.625" style="11" customWidth="1"/>
    <col min="8" max="8" width="7.125" style="11" customWidth="1"/>
    <col min="9" max="9" width="6.625" style="11" customWidth="1"/>
    <col min="10" max="10" width="8.50390625" style="777" customWidth="1"/>
    <col min="11" max="11" width="9.625" style="777" customWidth="1"/>
    <col min="12" max="12" width="6.625" style="11" customWidth="1"/>
    <col min="13" max="13" width="8.00390625" style="11" customWidth="1"/>
    <col min="14" max="14" width="6.625" style="11" customWidth="1"/>
    <col min="15" max="15" width="28.625" style="52" customWidth="1"/>
  </cols>
  <sheetData>
    <row r="1" spans="1:17" s="53" customFormat="1" ht="18">
      <c r="A1" s="1158" t="s">
        <v>245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  <c r="O1" s="59"/>
      <c r="P1" s="59"/>
      <c r="Q1" s="59"/>
    </row>
    <row r="2" spans="1:17" s="53" customFormat="1" ht="18">
      <c r="A2" s="1158" t="s">
        <v>246</v>
      </c>
      <c r="B2" s="1158"/>
      <c r="C2" s="1158"/>
      <c r="D2" s="1158"/>
      <c r="E2" s="1158"/>
      <c r="F2" s="1158"/>
      <c r="G2" s="1158"/>
      <c r="H2" s="1158"/>
      <c r="I2" s="1158"/>
      <c r="J2" s="1158"/>
      <c r="K2" s="1158"/>
      <c r="L2" s="1158"/>
      <c r="M2" s="1158"/>
      <c r="N2" s="1158"/>
      <c r="O2" s="59"/>
      <c r="P2" s="59"/>
      <c r="Q2" s="59"/>
    </row>
    <row r="3" spans="1:17" s="53" customFormat="1" ht="19.5" customHeight="1">
      <c r="A3" s="1219" t="s">
        <v>130</v>
      </c>
      <c r="B3" s="1219"/>
      <c r="C3" s="1219"/>
      <c r="D3" s="1219"/>
      <c r="E3" s="1219"/>
      <c r="F3" s="1219"/>
      <c r="G3" s="1219"/>
      <c r="H3" s="1219"/>
      <c r="I3" s="1219"/>
      <c r="J3" s="1219"/>
      <c r="K3" s="1219"/>
      <c r="L3" s="1219"/>
      <c r="M3" s="1219"/>
      <c r="N3" s="1219"/>
      <c r="O3" s="60"/>
      <c r="P3" s="60"/>
      <c r="Q3" s="60"/>
    </row>
    <row r="4" spans="1:15" ht="34.5" customHeight="1">
      <c r="A4" s="466" t="s">
        <v>186</v>
      </c>
      <c r="B4" s="466" t="s">
        <v>134</v>
      </c>
      <c r="C4" s="467" t="s">
        <v>14</v>
      </c>
      <c r="D4" s="467" t="s">
        <v>15</v>
      </c>
      <c r="E4" s="467" t="s">
        <v>16</v>
      </c>
      <c r="F4" s="467" t="s">
        <v>17</v>
      </c>
      <c r="G4" s="467" t="s">
        <v>18</v>
      </c>
      <c r="H4" s="467" t="s">
        <v>131</v>
      </c>
      <c r="I4" s="467" t="s">
        <v>892</v>
      </c>
      <c r="J4" s="767" t="s">
        <v>893</v>
      </c>
      <c r="K4" s="767" t="s">
        <v>894</v>
      </c>
      <c r="L4" s="467" t="s">
        <v>896</v>
      </c>
      <c r="M4" s="467" t="s">
        <v>895</v>
      </c>
      <c r="N4" s="467" t="s">
        <v>19</v>
      </c>
      <c r="O4" s="51"/>
    </row>
    <row r="5" spans="1:15" ht="6" customHeight="1">
      <c r="A5" s="17"/>
      <c r="B5" s="17"/>
      <c r="C5" s="16"/>
      <c r="D5" s="16"/>
      <c r="E5" s="17"/>
      <c r="F5" s="17"/>
      <c r="G5" s="18"/>
      <c r="H5" s="18"/>
      <c r="I5" s="18"/>
      <c r="J5" s="768"/>
      <c r="K5" s="768"/>
      <c r="L5" s="18"/>
      <c r="M5" s="18"/>
      <c r="N5" s="18"/>
      <c r="O5" s="51"/>
    </row>
    <row r="6" spans="1:15" ht="12.75" customHeight="1">
      <c r="A6" s="428">
        <v>1</v>
      </c>
      <c r="B6" s="453" t="s">
        <v>404</v>
      </c>
      <c r="C6" s="454" t="s">
        <v>133</v>
      </c>
      <c r="D6" s="454" t="s">
        <v>139</v>
      </c>
      <c r="E6" s="453" t="s">
        <v>141</v>
      </c>
      <c r="F6" s="453" t="s">
        <v>183</v>
      </c>
      <c r="G6" s="455">
        <v>285</v>
      </c>
      <c r="H6" s="455">
        <v>5</v>
      </c>
      <c r="I6" s="455">
        <f>G6+H6</f>
        <v>290</v>
      </c>
      <c r="J6" s="769">
        <v>0</v>
      </c>
      <c r="K6" s="769">
        <f>I6+J6</f>
        <v>290</v>
      </c>
      <c r="L6" s="456">
        <v>9.55</v>
      </c>
      <c r="M6" s="456">
        <v>0</v>
      </c>
      <c r="N6" s="456">
        <f>L6+M6</f>
        <v>9.55</v>
      </c>
      <c r="O6" s="51"/>
    </row>
    <row r="7" spans="1:15" ht="12.75" customHeight="1">
      <c r="A7" s="428">
        <v>2</v>
      </c>
      <c r="B7" s="211" t="s">
        <v>405</v>
      </c>
      <c r="C7" s="452" t="s">
        <v>498</v>
      </c>
      <c r="D7" s="452" t="s">
        <v>494</v>
      </c>
      <c r="E7" s="211" t="s">
        <v>499</v>
      </c>
      <c r="F7" s="211" t="s">
        <v>493</v>
      </c>
      <c r="G7" s="78">
        <v>0</v>
      </c>
      <c r="H7" s="78">
        <v>50.3</v>
      </c>
      <c r="I7" s="78">
        <f aca="true" t="shared" si="0" ref="I7:I18">G7+H7</f>
        <v>50.3</v>
      </c>
      <c r="J7" s="724">
        <v>0</v>
      </c>
      <c r="K7" s="724">
        <f>I7+J7</f>
        <v>50.3</v>
      </c>
      <c r="L7" s="79">
        <v>2.07</v>
      </c>
      <c r="M7" s="79">
        <v>40.58</v>
      </c>
      <c r="N7" s="79">
        <f aca="true" t="shared" si="1" ref="N7:N18">L7+M7</f>
        <v>42.65</v>
      </c>
      <c r="O7" s="51"/>
    </row>
    <row r="8" spans="1:15" ht="12.75" customHeight="1">
      <c r="A8" s="72"/>
      <c r="B8" s="40" t="s">
        <v>406</v>
      </c>
      <c r="C8" s="41" t="s">
        <v>498</v>
      </c>
      <c r="D8" s="41" t="s">
        <v>494</v>
      </c>
      <c r="E8" s="40" t="s">
        <v>499</v>
      </c>
      <c r="F8" s="40" t="s">
        <v>493</v>
      </c>
      <c r="G8" s="42">
        <v>0</v>
      </c>
      <c r="H8" s="78">
        <v>250</v>
      </c>
      <c r="I8" s="78">
        <f t="shared" si="0"/>
        <v>250</v>
      </c>
      <c r="J8" s="724">
        <f>K7</f>
        <v>50.3</v>
      </c>
      <c r="K8" s="724">
        <f aca="true" t="shared" si="2" ref="K8:K18">I8+J8</f>
        <v>300.3</v>
      </c>
      <c r="L8" s="79">
        <v>12.33</v>
      </c>
      <c r="M8" s="79">
        <f>N7</f>
        <v>42.65</v>
      </c>
      <c r="N8" s="79">
        <f t="shared" si="1"/>
        <v>54.98</v>
      </c>
      <c r="O8" s="51"/>
    </row>
    <row r="9" spans="1:15" ht="12.75" customHeight="1">
      <c r="A9" s="72"/>
      <c r="B9" s="399" t="s">
        <v>407</v>
      </c>
      <c r="C9" s="133" t="s">
        <v>498</v>
      </c>
      <c r="D9" s="133" t="s">
        <v>494</v>
      </c>
      <c r="E9" s="399" t="s">
        <v>499</v>
      </c>
      <c r="F9" s="399" t="s">
        <v>493</v>
      </c>
      <c r="G9" s="449">
        <v>0</v>
      </c>
      <c r="H9" s="450">
        <v>300</v>
      </c>
      <c r="I9" s="450">
        <f t="shared" si="0"/>
        <v>300</v>
      </c>
      <c r="J9" s="770">
        <f aca="true" t="shared" si="3" ref="J9:J18">K8</f>
        <v>300.3</v>
      </c>
      <c r="K9" s="770">
        <f t="shared" si="2"/>
        <v>600.3</v>
      </c>
      <c r="L9" s="451">
        <v>12.85</v>
      </c>
      <c r="M9" s="451">
        <f aca="true" t="shared" si="4" ref="M9:M18">N8</f>
        <v>54.98</v>
      </c>
      <c r="N9" s="451">
        <f t="shared" si="1"/>
        <v>67.83</v>
      </c>
      <c r="O9" s="51"/>
    </row>
    <row r="10" spans="1:15" ht="12.75" customHeight="1">
      <c r="A10" s="72"/>
      <c r="B10" s="40" t="s">
        <v>408</v>
      </c>
      <c r="C10" s="41" t="s">
        <v>498</v>
      </c>
      <c r="D10" s="41" t="s">
        <v>494</v>
      </c>
      <c r="E10" s="40" t="s">
        <v>499</v>
      </c>
      <c r="F10" s="40" t="s">
        <v>493</v>
      </c>
      <c r="G10" s="42">
        <v>0</v>
      </c>
      <c r="H10" s="78">
        <v>300</v>
      </c>
      <c r="I10" s="78">
        <f t="shared" si="0"/>
        <v>300</v>
      </c>
      <c r="J10" s="724">
        <f t="shared" si="3"/>
        <v>600.3</v>
      </c>
      <c r="K10" s="724">
        <f t="shared" si="2"/>
        <v>900.3</v>
      </c>
      <c r="L10" s="79">
        <v>14.25</v>
      </c>
      <c r="M10" s="79">
        <f t="shared" si="4"/>
        <v>67.83</v>
      </c>
      <c r="N10" s="79">
        <f t="shared" si="1"/>
        <v>82.08</v>
      </c>
      <c r="O10" s="51"/>
    </row>
    <row r="11" spans="1:15" ht="12.75" customHeight="1">
      <c r="A11" s="72"/>
      <c r="B11" s="399" t="s">
        <v>409</v>
      </c>
      <c r="C11" s="133" t="s">
        <v>498</v>
      </c>
      <c r="D11" s="133" t="s">
        <v>494</v>
      </c>
      <c r="E11" s="399" t="s">
        <v>499</v>
      </c>
      <c r="F11" s="399" t="s">
        <v>493</v>
      </c>
      <c r="G11" s="449">
        <v>0</v>
      </c>
      <c r="H11" s="450">
        <v>200</v>
      </c>
      <c r="I11" s="450">
        <f t="shared" si="0"/>
        <v>200</v>
      </c>
      <c r="J11" s="770">
        <f t="shared" si="3"/>
        <v>900.3</v>
      </c>
      <c r="K11" s="770">
        <f t="shared" si="2"/>
        <v>1100.3</v>
      </c>
      <c r="L11" s="451">
        <v>10.9</v>
      </c>
      <c r="M11" s="451">
        <f t="shared" si="4"/>
        <v>82.08</v>
      </c>
      <c r="N11" s="451">
        <f t="shared" si="1"/>
        <v>92.98</v>
      </c>
      <c r="O11" s="51"/>
    </row>
    <row r="12" spans="1:15" ht="12.75" customHeight="1">
      <c r="A12" s="72"/>
      <c r="B12" s="40" t="s">
        <v>414</v>
      </c>
      <c r="C12" s="41" t="s">
        <v>498</v>
      </c>
      <c r="D12" s="41" t="s">
        <v>494</v>
      </c>
      <c r="E12" s="40" t="s">
        <v>499</v>
      </c>
      <c r="F12" s="40" t="s">
        <v>493</v>
      </c>
      <c r="G12" s="42">
        <v>0</v>
      </c>
      <c r="H12" s="78">
        <v>350</v>
      </c>
      <c r="I12" s="78">
        <f t="shared" si="0"/>
        <v>350</v>
      </c>
      <c r="J12" s="724">
        <f t="shared" si="3"/>
        <v>1100.3</v>
      </c>
      <c r="K12" s="724">
        <f t="shared" si="2"/>
        <v>1450.3</v>
      </c>
      <c r="L12" s="79">
        <v>19.17</v>
      </c>
      <c r="M12" s="79">
        <f t="shared" si="4"/>
        <v>92.98</v>
      </c>
      <c r="N12" s="79">
        <f t="shared" si="1"/>
        <v>112.15</v>
      </c>
      <c r="O12" s="51"/>
    </row>
    <row r="13" spans="1:15" ht="12.75" customHeight="1">
      <c r="A13" s="72"/>
      <c r="B13" s="399" t="s">
        <v>415</v>
      </c>
      <c r="C13" s="133" t="s">
        <v>498</v>
      </c>
      <c r="D13" s="133" t="s">
        <v>494</v>
      </c>
      <c r="E13" s="399" t="s">
        <v>499</v>
      </c>
      <c r="F13" s="399" t="s">
        <v>493</v>
      </c>
      <c r="G13" s="449">
        <v>0</v>
      </c>
      <c r="H13" s="450">
        <v>260</v>
      </c>
      <c r="I13" s="450">
        <f t="shared" si="0"/>
        <v>260</v>
      </c>
      <c r="J13" s="770">
        <f t="shared" si="3"/>
        <v>1450.3</v>
      </c>
      <c r="K13" s="770">
        <f t="shared" si="2"/>
        <v>1710.3</v>
      </c>
      <c r="L13" s="451">
        <v>11.32</v>
      </c>
      <c r="M13" s="451">
        <f t="shared" si="4"/>
        <v>112.15</v>
      </c>
      <c r="N13" s="451">
        <f t="shared" si="1"/>
        <v>123.47</v>
      </c>
      <c r="O13" s="51"/>
    </row>
    <row r="14" spans="1:15" ht="12.75" customHeight="1">
      <c r="A14" s="72"/>
      <c r="B14" s="40" t="s">
        <v>416</v>
      </c>
      <c r="C14" s="41" t="s">
        <v>498</v>
      </c>
      <c r="D14" s="41" t="s">
        <v>494</v>
      </c>
      <c r="E14" s="40" t="s">
        <v>499</v>
      </c>
      <c r="F14" s="40" t="s">
        <v>493</v>
      </c>
      <c r="G14" s="42">
        <v>0</v>
      </c>
      <c r="H14" s="78">
        <v>350</v>
      </c>
      <c r="I14" s="78">
        <f t="shared" si="0"/>
        <v>350</v>
      </c>
      <c r="J14" s="724">
        <f t="shared" si="3"/>
        <v>1710.3</v>
      </c>
      <c r="K14" s="724">
        <f t="shared" si="2"/>
        <v>2060.3</v>
      </c>
      <c r="L14" s="79">
        <v>14.5</v>
      </c>
      <c r="M14" s="79">
        <f t="shared" si="4"/>
        <v>123.47</v>
      </c>
      <c r="N14" s="79">
        <f t="shared" si="1"/>
        <v>137.97</v>
      </c>
      <c r="O14" s="51"/>
    </row>
    <row r="15" spans="1:15" ht="12.75" customHeight="1">
      <c r="A15" s="72"/>
      <c r="B15" s="399" t="s">
        <v>417</v>
      </c>
      <c r="C15" s="133" t="s">
        <v>498</v>
      </c>
      <c r="D15" s="133" t="s">
        <v>494</v>
      </c>
      <c r="E15" s="399" t="s">
        <v>499</v>
      </c>
      <c r="F15" s="399" t="s">
        <v>493</v>
      </c>
      <c r="G15" s="449">
        <v>0</v>
      </c>
      <c r="H15" s="450">
        <v>330</v>
      </c>
      <c r="I15" s="450">
        <f t="shared" si="0"/>
        <v>330</v>
      </c>
      <c r="J15" s="770">
        <f t="shared" si="3"/>
        <v>2060.3</v>
      </c>
      <c r="K15" s="770">
        <f t="shared" si="2"/>
        <v>2390.3</v>
      </c>
      <c r="L15" s="451">
        <v>14.5</v>
      </c>
      <c r="M15" s="451">
        <f t="shared" si="4"/>
        <v>137.97</v>
      </c>
      <c r="N15" s="451">
        <f t="shared" si="1"/>
        <v>152.47</v>
      </c>
      <c r="O15" s="51"/>
    </row>
    <row r="16" spans="1:15" ht="12.75" customHeight="1">
      <c r="A16" s="72"/>
      <c r="B16" s="40" t="s">
        <v>418</v>
      </c>
      <c r="C16" s="41" t="s">
        <v>498</v>
      </c>
      <c r="D16" s="41" t="s">
        <v>494</v>
      </c>
      <c r="E16" s="40" t="s">
        <v>499</v>
      </c>
      <c r="F16" s="40" t="s">
        <v>493</v>
      </c>
      <c r="G16" s="42">
        <v>0</v>
      </c>
      <c r="H16" s="78">
        <v>205</v>
      </c>
      <c r="I16" s="78">
        <f t="shared" si="0"/>
        <v>205</v>
      </c>
      <c r="J16" s="724">
        <f t="shared" si="3"/>
        <v>2390.3</v>
      </c>
      <c r="K16" s="724">
        <f t="shared" si="2"/>
        <v>2595.3</v>
      </c>
      <c r="L16" s="79">
        <v>8</v>
      </c>
      <c r="M16" s="79">
        <f t="shared" si="4"/>
        <v>152.47</v>
      </c>
      <c r="N16" s="79">
        <f t="shared" si="1"/>
        <v>160.47</v>
      </c>
      <c r="O16" s="51"/>
    </row>
    <row r="17" spans="1:15" ht="12.75" customHeight="1">
      <c r="A17" s="72"/>
      <c r="B17" s="399" t="s">
        <v>422</v>
      </c>
      <c r="C17" s="133" t="s">
        <v>498</v>
      </c>
      <c r="D17" s="133" t="s">
        <v>494</v>
      </c>
      <c r="E17" s="399" t="s">
        <v>499</v>
      </c>
      <c r="F17" s="399" t="s">
        <v>493</v>
      </c>
      <c r="G17" s="449">
        <v>0</v>
      </c>
      <c r="H17" s="450">
        <v>200</v>
      </c>
      <c r="I17" s="450">
        <f t="shared" si="0"/>
        <v>200</v>
      </c>
      <c r="J17" s="770">
        <f t="shared" si="3"/>
        <v>2595.3</v>
      </c>
      <c r="K17" s="770">
        <f t="shared" si="2"/>
        <v>2795.3</v>
      </c>
      <c r="L17" s="451">
        <v>5.75</v>
      </c>
      <c r="M17" s="451">
        <f t="shared" si="4"/>
        <v>160.47</v>
      </c>
      <c r="N17" s="451">
        <f t="shared" si="1"/>
        <v>166.22</v>
      </c>
      <c r="O17" s="51"/>
    </row>
    <row r="18" spans="1:15" ht="12.75" customHeight="1">
      <c r="A18" s="211"/>
      <c r="B18" s="40" t="s">
        <v>410</v>
      </c>
      <c r="C18" s="41" t="s">
        <v>498</v>
      </c>
      <c r="D18" s="41" t="s">
        <v>494</v>
      </c>
      <c r="E18" s="40" t="s">
        <v>499</v>
      </c>
      <c r="F18" s="40" t="s">
        <v>493</v>
      </c>
      <c r="G18" s="42">
        <v>0</v>
      </c>
      <c r="H18" s="78">
        <v>200</v>
      </c>
      <c r="I18" s="78">
        <f t="shared" si="0"/>
        <v>200</v>
      </c>
      <c r="J18" s="724">
        <f t="shared" si="3"/>
        <v>2795.3</v>
      </c>
      <c r="K18" s="724">
        <f t="shared" si="2"/>
        <v>2995.3</v>
      </c>
      <c r="L18" s="79">
        <v>7.25</v>
      </c>
      <c r="M18" s="79">
        <f t="shared" si="4"/>
        <v>166.22</v>
      </c>
      <c r="N18" s="79">
        <f t="shared" si="1"/>
        <v>173.47</v>
      </c>
      <c r="O18" s="51"/>
    </row>
    <row r="19" spans="1:15" ht="12.75" customHeight="1">
      <c r="A19" s="428" t="s">
        <v>187</v>
      </c>
      <c r="B19" s="390" t="s">
        <v>411</v>
      </c>
      <c r="C19" s="436" t="s">
        <v>133</v>
      </c>
      <c r="D19" s="457" t="s">
        <v>139</v>
      </c>
      <c r="E19" s="390" t="s">
        <v>141</v>
      </c>
      <c r="F19" s="390" t="s">
        <v>183</v>
      </c>
      <c r="G19" s="446">
        <v>200</v>
      </c>
      <c r="H19" s="447">
        <v>0</v>
      </c>
      <c r="I19" s="447">
        <f aca="true" t="shared" si="5" ref="I19:I26">G19+H19</f>
        <v>200</v>
      </c>
      <c r="J19" s="771">
        <f>K6</f>
        <v>290</v>
      </c>
      <c r="K19" s="771">
        <f>I19+J19</f>
        <v>490</v>
      </c>
      <c r="L19" s="448">
        <v>11</v>
      </c>
      <c r="M19" s="448">
        <f>N6</f>
        <v>9.55</v>
      </c>
      <c r="N19" s="448">
        <f>L19+M19</f>
        <v>20.55</v>
      </c>
      <c r="O19" s="51"/>
    </row>
    <row r="20" spans="1:15" ht="12.75" customHeight="1">
      <c r="A20" s="72"/>
      <c r="B20" s="399" t="s">
        <v>412</v>
      </c>
      <c r="C20" s="434" t="s">
        <v>133</v>
      </c>
      <c r="D20" s="434" t="s">
        <v>139</v>
      </c>
      <c r="E20" s="458" t="s">
        <v>141</v>
      </c>
      <c r="F20" s="399" t="s">
        <v>183</v>
      </c>
      <c r="G20" s="449">
        <v>43.9</v>
      </c>
      <c r="H20" s="449">
        <v>157.1</v>
      </c>
      <c r="I20" s="449">
        <f t="shared" si="5"/>
        <v>201</v>
      </c>
      <c r="J20" s="772">
        <f>K19</f>
        <v>490</v>
      </c>
      <c r="K20" s="772">
        <f>I20+J20</f>
        <v>691</v>
      </c>
      <c r="L20" s="459">
        <v>6.08</v>
      </c>
      <c r="M20" s="459">
        <f>N19</f>
        <v>20.55</v>
      </c>
      <c r="N20" s="459">
        <f>L20+M20</f>
        <v>26.630000000000003</v>
      </c>
      <c r="O20" s="51"/>
    </row>
    <row r="21" spans="1:15" ht="12.75" customHeight="1">
      <c r="A21" s="72"/>
      <c r="B21" s="458" t="s">
        <v>413</v>
      </c>
      <c r="C21" s="434" t="s">
        <v>133</v>
      </c>
      <c r="D21" s="434" t="s">
        <v>139</v>
      </c>
      <c r="E21" s="458" t="s">
        <v>141</v>
      </c>
      <c r="F21" s="460" t="s">
        <v>183</v>
      </c>
      <c r="G21" s="461">
        <v>0</v>
      </c>
      <c r="H21" s="461">
        <v>200</v>
      </c>
      <c r="I21" s="462">
        <f t="shared" si="5"/>
        <v>200</v>
      </c>
      <c r="J21" s="772">
        <f>K20</f>
        <v>691</v>
      </c>
      <c r="K21" s="773">
        <f>I21+J21</f>
        <v>891</v>
      </c>
      <c r="L21" s="463">
        <v>5.87</v>
      </c>
      <c r="M21" s="463">
        <f aca="true" t="shared" si="6" ref="M21:M34">N20</f>
        <v>26.630000000000003</v>
      </c>
      <c r="N21" s="464">
        <f aca="true" t="shared" si="7" ref="N21:N45">L21+M21</f>
        <v>32.5</v>
      </c>
      <c r="O21" s="51"/>
    </row>
    <row r="22" spans="1:15" ht="12.75" customHeight="1">
      <c r="A22" s="72"/>
      <c r="B22" s="40" t="s">
        <v>419</v>
      </c>
      <c r="C22" s="41" t="s">
        <v>133</v>
      </c>
      <c r="D22" s="41" t="s">
        <v>139</v>
      </c>
      <c r="E22" s="40" t="s">
        <v>141</v>
      </c>
      <c r="F22" s="40" t="s">
        <v>183</v>
      </c>
      <c r="G22" s="42">
        <v>204.9</v>
      </c>
      <c r="H22" s="42">
        <v>0</v>
      </c>
      <c r="I22" s="42">
        <f t="shared" si="5"/>
        <v>204.9</v>
      </c>
      <c r="J22" s="722">
        <f aca="true" t="shared" si="8" ref="J22:J34">K21</f>
        <v>891</v>
      </c>
      <c r="K22" s="722">
        <f aca="true" t="shared" si="9" ref="K22:K45">I22+J22</f>
        <v>1095.9</v>
      </c>
      <c r="L22" s="43">
        <v>18</v>
      </c>
      <c r="M22" s="43">
        <f t="shared" si="6"/>
        <v>32.5</v>
      </c>
      <c r="N22" s="43">
        <f t="shared" si="7"/>
        <v>50.5</v>
      </c>
      <c r="O22" s="51"/>
    </row>
    <row r="23" spans="1:15" ht="12.75" customHeight="1">
      <c r="A23" s="72"/>
      <c r="B23" s="66" t="s">
        <v>420</v>
      </c>
      <c r="C23" s="71" t="s">
        <v>133</v>
      </c>
      <c r="D23" s="71" t="s">
        <v>139</v>
      </c>
      <c r="E23" s="66" t="s">
        <v>141</v>
      </c>
      <c r="F23" s="40" t="s">
        <v>183</v>
      </c>
      <c r="G23" s="42">
        <v>9.5</v>
      </c>
      <c r="H23" s="42">
        <v>23.1</v>
      </c>
      <c r="I23" s="42">
        <f t="shared" si="5"/>
        <v>32.6</v>
      </c>
      <c r="J23" s="722">
        <f t="shared" si="8"/>
        <v>1095.9</v>
      </c>
      <c r="K23" s="722">
        <f t="shared" si="9"/>
        <v>1128.5</v>
      </c>
      <c r="L23" s="43">
        <v>0</v>
      </c>
      <c r="M23" s="43">
        <f t="shared" si="6"/>
        <v>50.5</v>
      </c>
      <c r="N23" s="43">
        <f t="shared" si="7"/>
        <v>50.5</v>
      </c>
      <c r="O23" s="51"/>
    </row>
    <row r="24" spans="1:15" ht="12.75" customHeight="1">
      <c r="A24" s="72"/>
      <c r="B24" s="66" t="s">
        <v>421</v>
      </c>
      <c r="C24" s="71" t="s">
        <v>133</v>
      </c>
      <c r="D24" s="71" t="s">
        <v>139</v>
      </c>
      <c r="E24" s="66" t="s">
        <v>141</v>
      </c>
      <c r="F24" s="66" t="s">
        <v>183</v>
      </c>
      <c r="G24" s="67">
        <v>203.8</v>
      </c>
      <c r="H24" s="67">
        <v>0</v>
      </c>
      <c r="I24" s="67">
        <f t="shared" si="5"/>
        <v>203.8</v>
      </c>
      <c r="J24" s="726">
        <f t="shared" si="8"/>
        <v>1128.5</v>
      </c>
      <c r="K24" s="726">
        <f t="shared" si="9"/>
        <v>1332.3</v>
      </c>
      <c r="L24" s="68">
        <v>16.68</v>
      </c>
      <c r="M24" s="68">
        <f t="shared" si="6"/>
        <v>50.5</v>
      </c>
      <c r="N24" s="68">
        <f t="shared" si="7"/>
        <v>67.18</v>
      </c>
      <c r="O24" s="51"/>
    </row>
    <row r="25" spans="1:15" ht="12.75" customHeight="1">
      <c r="A25" s="72"/>
      <c r="B25" s="458" t="s">
        <v>423</v>
      </c>
      <c r="C25" s="434" t="s">
        <v>133</v>
      </c>
      <c r="D25" s="434" t="s">
        <v>139</v>
      </c>
      <c r="E25" s="458" t="s">
        <v>141</v>
      </c>
      <c r="F25" s="458" t="s">
        <v>183</v>
      </c>
      <c r="G25" s="449">
        <v>62.1</v>
      </c>
      <c r="H25" s="449">
        <v>88.8</v>
      </c>
      <c r="I25" s="449">
        <f t="shared" si="5"/>
        <v>150.9</v>
      </c>
      <c r="J25" s="772">
        <f t="shared" si="8"/>
        <v>1332.3</v>
      </c>
      <c r="K25" s="772">
        <f>I25+J25</f>
        <v>1483.2</v>
      </c>
      <c r="L25" s="459">
        <v>5.08</v>
      </c>
      <c r="M25" s="459">
        <f t="shared" si="6"/>
        <v>67.18</v>
      </c>
      <c r="N25" s="459">
        <f>L25+M25</f>
        <v>72.26</v>
      </c>
      <c r="O25" s="51"/>
    </row>
    <row r="26" spans="1:15" ht="12.75" customHeight="1">
      <c r="A26" s="72"/>
      <c r="B26" s="66" t="s">
        <v>424</v>
      </c>
      <c r="C26" s="71" t="s">
        <v>133</v>
      </c>
      <c r="D26" s="71" t="s">
        <v>139</v>
      </c>
      <c r="E26" s="66" t="s">
        <v>141</v>
      </c>
      <c r="F26" s="66" t="s">
        <v>183</v>
      </c>
      <c r="G26" s="73">
        <v>0</v>
      </c>
      <c r="H26" s="73">
        <v>200</v>
      </c>
      <c r="I26" s="73">
        <f t="shared" si="5"/>
        <v>200</v>
      </c>
      <c r="J26" s="723">
        <f t="shared" si="8"/>
        <v>1483.2</v>
      </c>
      <c r="K26" s="723">
        <f>I26+J26</f>
        <v>1683.2</v>
      </c>
      <c r="L26" s="74">
        <v>7</v>
      </c>
      <c r="M26" s="74">
        <f t="shared" si="6"/>
        <v>72.26</v>
      </c>
      <c r="N26" s="74">
        <f>L26+M26</f>
        <v>79.26</v>
      </c>
      <c r="O26" s="51"/>
    </row>
    <row r="27" spans="1:15" ht="12.75" customHeight="1">
      <c r="A27" s="428" t="s">
        <v>188</v>
      </c>
      <c r="B27" s="465" t="s">
        <v>453</v>
      </c>
      <c r="C27" s="457" t="s">
        <v>133</v>
      </c>
      <c r="D27" s="457" t="s">
        <v>139</v>
      </c>
      <c r="E27" s="465" t="s">
        <v>141</v>
      </c>
      <c r="F27" s="465" t="s">
        <v>183</v>
      </c>
      <c r="G27" s="447">
        <v>300</v>
      </c>
      <c r="H27" s="447">
        <v>0</v>
      </c>
      <c r="I27" s="447">
        <f aca="true" t="shared" si="10" ref="I27:I45">G27+H27</f>
        <v>300</v>
      </c>
      <c r="J27" s="771">
        <f>K24</f>
        <v>1332.3</v>
      </c>
      <c r="K27" s="771">
        <f t="shared" si="9"/>
        <v>1632.3</v>
      </c>
      <c r="L27" s="448">
        <v>15.04</v>
      </c>
      <c r="M27" s="448">
        <f>N26</f>
        <v>79.26</v>
      </c>
      <c r="N27" s="448">
        <f t="shared" si="7"/>
        <v>94.30000000000001</v>
      </c>
      <c r="O27" s="51"/>
    </row>
    <row r="28" spans="1:15" ht="12.75" customHeight="1">
      <c r="A28" s="72"/>
      <c r="B28" s="458" t="s">
        <v>454</v>
      </c>
      <c r="C28" s="434" t="s">
        <v>133</v>
      </c>
      <c r="D28" s="434" t="s">
        <v>139</v>
      </c>
      <c r="E28" s="458" t="s">
        <v>141</v>
      </c>
      <c r="F28" s="449" t="s">
        <v>183</v>
      </c>
      <c r="G28" s="449">
        <v>35.5</v>
      </c>
      <c r="H28" s="449">
        <v>264.5</v>
      </c>
      <c r="I28" s="449">
        <f t="shared" si="10"/>
        <v>300</v>
      </c>
      <c r="J28" s="772">
        <f t="shared" si="8"/>
        <v>1632.3</v>
      </c>
      <c r="K28" s="772">
        <f t="shared" si="9"/>
        <v>1932.3</v>
      </c>
      <c r="L28" s="459">
        <v>9.8</v>
      </c>
      <c r="M28" s="459">
        <f t="shared" si="6"/>
        <v>94.30000000000001</v>
      </c>
      <c r="N28" s="459">
        <f t="shared" si="7"/>
        <v>104.10000000000001</v>
      </c>
      <c r="O28" s="51"/>
    </row>
    <row r="29" spans="1:15" s="76" customFormat="1" ht="12.75" customHeight="1">
      <c r="A29" s="72"/>
      <c r="B29" s="66" t="s">
        <v>509</v>
      </c>
      <c r="C29" s="71" t="s">
        <v>133</v>
      </c>
      <c r="D29" s="71" t="s">
        <v>139</v>
      </c>
      <c r="E29" s="66" t="s">
        <v>141</v>
      </c>
      <c r="F29" s="42" t="s">
        <v>183</v>
      </c>
      <c r="G29" s="42">
        <v>211.6</v>
      </c>
      <c r="H29" s="42">
        <v>0</v>
      </c>
      <c r="I29" s="42">
        <f t="shared" si="10"/>
        <v>211.6</v>
      </c>
      <c r="J29" s="722">
        <f t="shared" si="8"/>
        <v>1932.3</v>
      </c>
      <c r="K29" s="722">
        <f t="shared" si="9"/>
        <v>2143.9</v>
      </c>
      <c r="L29" s="43">
        <v>10.5</v>
      </c>
      <c r="M29" s="43">
        <f t="shared" si="6"/>
        <v>104.10000000000001</v>
      </c>
      <c r="N29" s="43">
        <f t="shared" si="7"/>
        <v>114.60000000000001</v>
      </c>
      <c r="O29" s="75"/>
    </row>
    <row r="30" spans="1:15" s="76" customFormat="1" ht="12.75" customHeight="1">
      <c r="A30" s="72"/>
      <c r="B30" s="66" t="s">
        <v>481</v>
      </c>
      <c r="C30" s="71" t="s">
        <v>133</v>
      </c>
      <c r="D30" s="71" t="s">
        <v>139</v>
      </c>
      <c r="E30" s="66" t="s">
        <v>141</v>
      </c>
      <c r="F30" s="42" t="s">
        <v>183</v>
      </c>
      <c r="G30" s="67">
        <v>0</v>
      </c>
      <c r="H30" s="67">
        <v>191.2</v>
      </c>
      <c r="I30" s="67">
        <f t="shared" si="10"/>
        <v>191.2</v>
      </c>
      <c r="J30" s="726">
        <f t="shared" si="8"/>
        <v>2143.9</v>
      </c>
      <c r="K30" s="726">
        <f t="shared" si="9"/>
        <v>2335.1</v>
      </c>
      <c r="L30" s="68">
        <v>2.6</v>
      </c>
      <c r="M30" s="68">
        <f t="shared" si="6"/>
        <v>114.60000000000001</v>
      </c>
      <c r="N30" s="68">
        <f t="shared" si="7"/>
        <v>117.2</v>
      </c>
      <c r="O30" s="75"/>
    </row>
    <row r="31" spans="1:15" s="28" customFormat="1" ht="12.75" customHeight="1">
      <c r="A31" s="72"/>
      <c r="B31" s="66" t="s">
        <v>510</v>
      </c>
      <c r="C31" s="71" t="s">
        <v>133</v>
      </c>
      <c r="D31" s="71" t="s">
        <v>139</v>
      </c>
      <c r="E31" s="66" t="s">
        <v>141</v>
      </c>
      <c r="F31" s="67" t="s">
        <v>183</v>
      </c>
      <c r="G31" s="67">
        <v>28.8</v>
      </c>
      <c r="H31" s="67">
        <v>231.2</v>
      </c>
      <c r="I31" s="67">
        <f t="shared" si="10"/>
        <v>260</v>
      </c>
      <c r="J31" s="726">
        <f t="shared" si="8"/>
        <v>2335.1</v>
      </c>
      <c r="K31" s="726">
        <f t="shared" si="9"/>
        <v>2595.1</v>
      </c>
      <c r="L31" s="68">
        <v>7.3</v>
      </c>
      <c r="M31" s="68">
        <f t="shared" si="6"/>
        <v>117.2</v>
      </c>
      <c r="N31" s="68">
        <f t="shared" si="7"/>
        <v>124.5</v>
      </c>
      <c r="O31" s="51"/>
    </row>
    <row r="32" spans="1:15" s="30" customFormat="1" ht="12.75" customHeight="1">
      <c r="A32" s="72"/>
      <c r="B32" s="399" t="s">
        <v>535</v>
      </c>
      <c r="C32" s="133" t="s">
        <v>133</v>
      </c>
      <c r="D32" s="133" t="s">
        <v>139</v>
      </c>
      <c r="E32" s="399" t="s">
        <v>141</v>
      </c>
      <c r="F32" s="399" t="s">
        <v>183</v>
      </c>
      <c r="G32" s="449">
        <v>180</v>
      </c>
      <c r="H32" s="449">
        <v>0</v>
      </c>
      <c r="I32" s="449">
        <f t="shared" si="10"/>
        <v>180</v>
      </c>
      <c r="J32" s="772">
        <f t="shared" si="8"/>
        <v>2595.1</v>
      </c>
      <c r="K32" s="772">
        <f t="shared" si="9"/>
        <v>2775.1</v>
      </c>
      <c r="L32" s="459">
        <v>8</v>
      </c>
      <c r="M32" s="459">
        <f t="shared" si="6"/>
        <v>124.5</v>
      </c>
      <c r="N32" s="459">
        <f t="shared" si="7"/>
        <v>132.5</v>
      </c>
      <c r="O32" s="51"/>
    </row>
    <row r="33" spans="1:15" s="30" customFormat="1" ht="12.75" customHeight="1">
      <c r="A33" s="72"/>
      <c r="B33" s="66" t="s">
        <v>581</v>
      </c>
      <c r="C33" s="71" t="s">
        <v>133</v>
      </c>
      <c r="D33" s="71" t="s">
        <v>139</v>
      </c>
      <c r="E33" s="66" t="s">
        <v>141</v>
      </c>
      <c r="F33" s="42" t="s">
        <v>183</v>
      </c>
      <c r="G33" s="42">
        <v>200</v>
      </c>
      <c r="H33" s="42">
        <v>0</v>
      </c>
      <c r="I33" s="42">
        <f t="shared" si="10"/>
        <v>200</v>
      </c>
      <c r="J33" s="722">
        <f t="shared" si="8"/>
        <v>2775.1</v>
      </c>
      <c r="K33" s="722">
        <f t="shared" si="9"/>
        <v>2975.1</v>
      </c>
      <c r="L33" s="43">
        <v>9.6</v>
      </c>
      <c r="M33" s="43">
        <f t="shared" si="6"/>
        <v>132.5</v>
      </c>
      <c r="N33" s="43">
        <f t="shared" si="7"/>
        <v>142.1</v>
      </c>
      <c r="O33" s="51"/>
    </row>
    <row r="34" spans="1:15" s="30" customFormat="1" ht="12.75" customHeight="1">
      <c r="A34" s="72"/>
      <c r="B34" s="458" t="s">
        <v>588</v>
      </c>
      <c r="C34" s="434" t="s">
        <v>133</v>
      </c>
      <c r="D34" s="434" t="s">
        <v>139</v>
      </c>
      <c r="E34" s="458" t="s">
        <v>141</v>
      </c>
      <c r="F34" s="462" t="s">
        <v>183</v>
      </c>
      <c r="G34" s="462">
        <v>217</v>
      </c>
      <c r="H34" s="462">
        <v>0</v>
      </c>
      <c r="I34" s="462">
        <f t="shared" si="10"/>
        <v>217</v>
      </c>
      <c r="J34" s="773">
        <f t="shared" si="8"/>
        <v>2975.1</v>
      </c>
      <c r="K34" s="773">
        <f t="shared" si="9"/>
        <v>3192.1</v>
      </c>
      <c r="L34" s="464">
        <v>10</v>
      </c>
      <c r="M34" s="464">
        <f t="shared" si="6"/>
        <v>142.1</v>
      </c>
      <c r="N34" s="464">
        <f t="shared" si="7"/>
        <v>152.1</v>
      </c>
      <c r="O34" s="51"/>
    </row>
    <row r="35" spans="1:15" s="76" customFormat="1" ht="12.75" customHeight="1">
      <c r="A35" s="551"/>
      <c r="B35" s="551"/>
      <c r="C35" s="552"/>
      <c r="D35" s="552"/>
      <c r="E35" s="551"/>
      <c r="F35" s="553"/>
      <c r="G35" s="553"/>
      <c r="H35" s="553"/>
      <c r="I35" s="553"/>
      <c r="J35" s="774"/>
      <c r="K35" s="774"/>
      <c r="L35" s="554"/>
      <c r="M35" s="554"/>
      <c r="N35" s="554"/>
      <c r="O35" s="75"/>
    </row>
    <row r="36" spans="1:15" s="30" customFormat="1" ht="12.75" customHeight="1">
      <c r="A36" s="428">
        <v>4</v>
      </c>
      <c r="B36" s="69" t="s">
        <v>637</v>
      </c>
      <c r="C36" s="649" t="s">
        <v>133</v>
      </c>
      <c r="D36" s="649" t="s">
        <v>139</v>
      </c>
      <c r="E36" s="69" t="s">
        <v>141</v>
      </c>
      <c r="F36" s="69" t="s">
        <v>183</v>
      </c>
      <c r="G36" s="45">
        <v>691.6</v>
      </c>
      <c r="H36" s="45">
        <v>0</v>
      </c>
      <c r="I36" s="45">
        <f t="shared" si="10"/>
        <v>691.6</v>
      </c>
      <c r="J36" s="729">
        <f>K34</f>
        <v>3192.1</v>
      </c>
      <c r="K36" s="729">
        <f t="shared" si="9"/>
        <v>3883.7</v>
      </c>
      <c r="L36" s="46">
        <v>32</v>
      </c>
      <c r="M36" s="46">
        <f>N34</f>
        <v>152.1</v>
      </c>
      <c r="N36" s="46">
        <f t="shared" si="7"/>
        <v>184.1</v>
      </c>
      <c r="O36" s="51"/>
    </row>
    <row r="37" spans="1:15" s="30" customFormat="1" ht="12.75" customHeight="1">
      <c r="A37" s="72"/>
      <c r="B37" s="66" t="s">
        <v>642</v>
      </c>
      <c r="C37" s="71" t="s">
        <v>133</v>
      </c>
      <c r="D37" s="71" t="s">
        <v>139</v>
      </c>
      <c r="E37" s="66" t="s">
        <v>141</v>
      </c>
      <c r="F37" s="42" t="s">
        <v>183</v>
      </c>
      <c r="G37" s="42">
        <v>0</v>
      </c>
      <c r="H37" s="42">
        <v>718</v>
      </c>
      <c r="I37" s="42">
        <f>G37+H37</f>
        <v>718</v>
      </c>
      <c r="J37" s="722">
        <f aca="true" t="shared" si="11" ref="J37:J42">K36</f>
        <v>3883.7</v>
      </c>
      <c r="K37" s="722">
        <f>I37+J37</f>
        <v>4601.7</v>
      </c>
      <c r="L37" s="43">
        <v>22.7</v>
      </c>
      <c r="M37" s="43">
        <f aca="true" t="shared" si="12" ref="M37:M42">N36</f>
        <v>184.1</v>
      </c>
      <c r="N37" s="43">
        <f>L37+M37</f>
        <v>206.79999999999998</v>
      </c>
      <c r="O37" s="51"/>
    </row>
    <row r="38" spans="1:15" s="30" customFormat="1" ht="12.75" customHeight="1">
      <c r="A38" s="72"/>
      <c r="B38" s="458" t="s">
        <v>648</v>
      </c>
      <c r="C38" s="434" t="s">
        <v>133</v>
      </c>
      <c r="D38" s="434" t="s">
        <v>139</v>
      </c>
      <c r="E38" s="458" t="s">
        <v>141</v>
      </c>
      <c r="F38" s="449" t="s">
        <v>183</v>
      </c>
      <c r="G38" s="449">
        <v>186</v>
      </c>
      <c r="H38" s="449">
        <v>4</v>
      </c>
      <c r="I38" s="449">
        <f>G38+H38</f>
        <v>190</v>
      </c>
      <c r="J38" s="772">
        <f t="shared" si="11"/>
        <v>4601.7</v>
      </c>
      <c r="K38" s="772">
        <f>I38+J38</f>
        <v>4791.7</v>
      </c>
      <c r="L38" s="459">
        <v>3.2</v>
      </c>
      <c r="M38" s="459">
        <f t="shared" si="12"/>
        <v>206.79999999999998</v>
      </c>
      <c r="N38" s="459">
        <f>L38+M38</f>
        <v>209.99999999999997</v>
      </c>
      <c r="O38" s="51"/>
    </row>
    <row r="39" spans="1:15" s="30" customFormat="1" ht="12.75" customHeight="1">
      <c r="A39" s="72"/>
      <c r="B39" s="66" t="s">
        <v>682</v>
      </c>
      <c r="C39" s="71" t="s">
        <v>133</v>
      </c>
      <c r="D39" s="71" t="s">
        <v>139</v>
      </c>
      <c r="E39" s="66" t="s">
        <v>141</v>
      </c>
      <c r="F39" s="42" t="s">
        <v>183</v>
      </c>
      <c r="G39" s="42">
        <v>296</v>
      </c>
      <c r="H39" s="42">
        <v>9</v>
      </c>
      <c r="I39" s="42">
        <f t="shared" si="10"/>
        <v>305</v>
      </c>
      <c r="J39" s="722">
        <f t="shared" si="11"/>
        <v>4791.7</v>
      </c>
      <c r="K39" s="722">
        <f t="shared" si="9"/>
        <v>5096.7</v>
      </c>
      <c r="L39" s="43">
        <v>5.9</v>
      </c>
      <c r="M39" s="43">
        <f t="shared" si="12"/>
        <v>209.99999999999997</v>
      </c>
      <c r="N39" s="43">
        <f t="shared" si="7"/>
        <v>215.89999999999998</v>
      </c>
      <c r="O39" s="51"/>
    </row>
    <row r="40" spans="1:15" s="30" customFormat="1" ht="12.75" customHeight="1">
      <c r="A40" s="72"/>
      <c r="B40" s="66" t="s">
        <v>685</v>
      </c>
      <c r="C40" s="71" t="s">
        <v>133</v>
      </c>
      <c r="D40" s="71" t="s">
        <v>139</v>
      </c>
      <c r="E40" s="66" t="s">
        <v>141</v>
      </c>
      <c r="F40" s="42" t="s">
        <v>183</v>
      </c>
      <c r="G40" s="67">
        <v>26.3</v>
      </c>
      <c r="H40" s="67">
        <v>253.7</v>
      </c>
      <c r="I40" s="42">
        <f t="shared" si="10"/>
        <v>280</v>
      </c>
      <c r="J40" s="726">
        <f t="shared" si="11"/>
        <v>5096.7</v>
      </c>
      <c r="K40" s="722">
        <f t="shared" si="9"/>
        <v>5376.7</v>
      </c>
      <c r="L40" s="68">
        <v>4.3</v>
      </c>
      <c r="M40" s="43">
        <f t="shared" si="12"/>
        <v>215.89999999999998</v>
      </c>
      <c r="N40" s="43">
        <f t="shared" si="7"/>
        <v>220.2</v>
      </c>
      <c r="O40" s="51"/>
    </row>
    <row r="41" spans="1:15" s="30" customFormat="1" ht="12.75" customHeight="1">
      <c r="A41" s="72"/>
      <c r="B41" s="458" t="s">
        <v>701</v>
      </c>
      <c r="C41" s="434" t="s">
        <v>133</v>
      </c>
      <c r="D41" s="434" t="s">
        <v>139</v>
      </c>
      <c r="E41" s="458" t="s">
        <v>141</v>
      </c>
      <c r="F41" s="462" t="s">
        <v>183</v>
      </c>
      <c r="G41" s="462">
        <v>148.8</v>
      </c>
      <c r="H41" s="462">
        <v>0</v>
      </c>
      <c r="I41" s="462">
        <f t="shared" si="10"/>
        <v>148.8</v>
      </c>
      <c r="J41" s="773">
        <f t="shared" si="11"/>
        <v>5376.7</v>
      </c>
      <c r="K41" s="773">
        <f t="shared" si="9"/>
        <v>5525.5</v>
      </c>
      <c r="L41" s="464">
        <v>6.1</v>
      </c>
      <c r="M41" s="464">
        <f t="shared" si="12"/>
        <v>220.2</v>
      </c>
      <c r="N41" s="459">
        <f t="shared" si="7"/>
        <v>226.29999999999998</v>
      </c>
      <c r="O41" s="51"/>
    </row>
    <row r="42" spans="1:15" s="30" customFormat="1" ht="12.75" customHeight="1">
      <c r="A42" s="72"/>
      <c r="B42" s="458" t="s">
        <v>700</v>
      </c>
      <c r="C42" s="434" t="s">
        <v>133</v>
      </c>
      <c r="D42" s="434" t="s">
        <v>139</v>
      </c>
      <c r="E42" s="458" t="s">
        <v>141</v>
      </c>
      <c r="F42" s="462" t="s">
        <v>183</v>
      </c>
      <c r="G42" s="462">
        <v>38.5</v>
      </c>
      <c r="H42" s="462">
        <v>148.8</v>
      </c>
      <c r="I42" s="462">
        <f t="shared" si="10"/>
        <v>187.3</v>
      </c>
      <c r="J42" s="773">
        <f t="shared" si="11"/>
        <v>5525.5</v>
      </c>
      <c r="K42" s="773">
        <f t="shared" si="9"/>
        <v>5712.8</v>
      </c>
      <c r="L42" s="464">
        <v>5.8</v>
      </c>
      <c r="M42" s="464">
        <f t="shared" si="12"/>
        <v>226.29999999999998</v>
      </c>
      <c r="N42" s="459">
        <f t="shared" si="7"/>
        <v>232.1</v>
      </c>
      <c r="O42" s="51"/>
    </row>
    <row r="43" spans="1:15" s="30" customFormat="1" ht="12.75" customHeight="1">
      <c r="A43" s="72"/>
      <c r="B43" s="66" t="s">
        <v>707</v>
      </c>
      <c r="C43" s="71" t="s">
        <v>133</v>
      </c>
      <c r="D43" s="71" t="s">
        <v>139</v>
      </c>
      <c r="E43" s="66" t="s">
        <v>141</v>
      </c>
      <c r="F43" s="67" t="s">
        <v>183</v>
      </c>
      <c r="G43" s="67">
        <v>43.1</v>
      </c>
      <c r="H43" s="67">
        <v>48.4</v>
      </c>
      <c r="I43" s="67">
        <f t="shared" si="10"/>
        <v>91.5</v>
      </c>
      <c r="J43" s="726">
        <f>K42</f>
        <v>5712.8</v>
      </c>
      <c r="K43" s="726">
        <f t="shared" si="9"/>
        <v>5804.3</v>
      </c>
      <c r="L43" s="68">
        <v>2.5</v>
      </c>
      <c r="M43" s="68">
        <f>N42</f>
        <v>232.1</v>
      </c>
      <c r="N43" s="43">
        <f t="shared" si="7"/>
        <v>234.6</v>
      </c>
      <c r="O43" s="51"/>
    </row>
    <row r="44" spans="1:15" s="30" customFormat="1" ht="12.75" customHeight="1">
      <c r="A44" s="72"/>
      <c r="B44" s="66" t="s">
        <v>708</v>
      </c>
      <c r="C44" s="71" t="s">
        <v>133</v>
      </c>
      <c r="D44" s="71" t="s">
        <v>139</v>
      </c>
      <c r="E44" s="66" t="s">
        <v>141</v>
      </c>
      <c r="F44" s="67" t="s">
        <v>183</v>
      </c>
      <c r="G44" s="67">
        <v>2</v>
      </c>
      <c r="H44" s="67">
        <v>198</v>
      </c>
      <c r="I44" s="67">
        <f t="shared" si="10"/>
        <v>200</v>
      </c>
      <c r="J44" s="726">
        <f>K43</f>
        <v>5804.3</v>
      </c>
      <c r="K44" s="726">
        <f t="shared" si="9"/>
        <v>6004.3</v>
      </c>
      <c r="L44" s="68">
        <v>5.4</v>
      </c>
      <c r="M44" s="68">
        <f>N43</f>
        <v>234.6</v>
      </c>
      <c r="N44" s="43">
        <f t="shared" si="7"/>
        <v>240</v>
      </c>
      <c r="O44" s="51"/>
    </row>
    <row r="45" spans="1:15" s="30" customFormat="1" ht="12.75" customHeight="1">
      <c r="A45" s="418"/>
      <c r="B45" s="47" t="s">
        <v>768</v>
      </c>
      <c r="C45" s="602" t="s">
        <v>133</v>
      </c>
      <c r="D45" s="602" t="s">
        <v>139</v>
      </c>
      <c r="E45" s="47" t="s">
        <v>141</v>
      </c>
      <c r="F45" s="48" t="s">
        <v>183</v>
      </c>
      <c r="G45" s="48">
        <v>4</v>
      </c>
      <c r="H45" s="48">
        <v>74</v>
      </c>
      <c r="I45" s="48">
        <f t="shared" si="10"/>
        <v>78</v>
      </c>
      <c r="J45" s="725">
        <f>K42</f>
        <v>5712.8</v>
      </c>
      <c r="K45" s="725">
        <f t="shared" si="9"/>
        <v>5790.8</v>
      </c>
      <c r="L45" s="49">
        <v>2.6</v>
      </c>
      <c r="M45" s="49">
        <f>N44</f>
        <v>240</v>
      </c>
      <c r="N45" s="49">
        <f t="shared" si="7"/>
        <v>242.6</v>
      </c>
      <c r="O45" s="51"/>
    </row>
    <row r="46" spans="1:14" ht="3" customHeight="1">
      <c r="A46" s="14"/>
      <c r="B46" s="14"/>
      <c r="C46" s="14"/>
      <c r="D46" s="14"/>
      <c r="E46" s="14"/>
      <c r="F46" s="13"/>
      <c r="G46" s="12"/>
      <c r="H46" s="12"/>
      <c r="I46" s="12"/>
      <c r="J46" s="775"/>
      <c r="K46" s="775"/>
      <c r="L46" s="12"/>
      <c r="M46" s="12"/>
      <c r="N46" s="12" t="str">
        <f>IF(A46&lt;&gt;0,SUM(L46:M46)," ")</f>
        <v> </v>
      </c>
    </row>
    <row r="47" spans="1:30" s="84" customFormat="1" ht="15" customHeight="1">
      <c r="A47" s="1231" t="s">
        <v>495</v>
      </c>
      <c r="B47" s="1232"/>
      <c r="C47" s="1233"/>
      <c r="D47" s="665"/>
      <c r="E47" s="1229" t="s">
        <v>631</v>
      </c>
      <c r="F47" s="1230"/>
      <c r="G47" s="613">
        <f>K45</f>
        <v>5790.8</v>
      </c>
      <c r="H47" s="666"/>
      <c r="I47" s="470"/>
      <c r="J47" s="776"/>
      <c r="K47" s="1227" t="s">
        <v>632</v>
      </c>
      <c r="L47" s="1228"/>
      <c r="M47" s="1228"/>
      <c r="N47" s="614">
        <f>N45</f>
        <v>242.6</v>
      </c>
      <c r="O47" s="82"/>
      <c r="P47" s="82"/>
      <c r="Q47" s="82"/>
      <c r="R47" s="83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48" spans="1:14" ht="3" customHeight="1">
      <c r="A48" s="14"/>
      <c r="B48" s="14"/>
      <c r="C48" s="14"/>
      <c r="D48" s="14"/>
      <c r="E48" s="14"/>
      <c r="F48" s="13"/>
      <c r="G48" s="12"/>
      <c r="H48" s="12"/>
      <c r="I48" s="12"/>
      <c r="J48" s="775"/>
      <c r="K48" s="775"/>
      <c r="L48" s="12"/>
      <c r="M48" s="12"/>
      <c r="N48" s="12" t="str">
        <f>IF(A48&lt;&gt;0,SUM(L48:M48)," ")</f>
        <v> </v>
      </c>
    </row>
    <row r="49" spans="1:30" s="84" customFormat="1" ht="15" customHeight="1">
      <c r="A49" s="1231" t="s">
        <v>496</v>
      </c>
      <c r="B49" s="1232"/>
      <c r="C49" s="1233"/>
      <c r="D49" s="665"/>
      <c r="E49" s="1229" t="s">
        <v>631</v>
      </c>
      <c r="F49" s="1230"/>
      <c r="G49" s="613">
        <f>K18</f>
        <v>2995.3</v>
      </c>
      <c r="H49" s="666"/>
      <c r="I49" s="470"/>
      <c r="J49" s="776"/>
      <c r="K49" s="1227" t="s">
        <v>632</v>
      </c>
      <c r="L49" s="1228"/>
      <c r="M49" s="1228"/>
      <c r="N49" s="614">
        <f>N18</f>
        <v>173.47</v>
      </c>
      <c r="O49" s="82"/>
      <c r="P49" s="82"/>
      <c r="Q49" s="82"/>
      <c r="R49" s="83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50" spans="1:14" ht="3" customHeight="1">
      <c r="A50" s="14"/>
      <c r="B50" s="14"/>
      <c r="C50" s="14"/>
      <c r="D50" s="14"/>
      <c r="E50" s="14"/>
      <c r="F50" s="13"/>
      <c r="G50" s="12"/>
      <c r="H50" s="12"/>
      <c r="I50" s="12"/>
      <c r="J50" s="775"/>
      <c r="K50" s="775"/>
      <c r="L50" s="12"/>
      <c r="M50" s="12"/>
      <c r="N50" s="12"/>
    </row>
    <row r="51" spans="1:30" s="84" customFormat="1" ht="15" customHeight="1">
      <c r="A51" s="1220" t="s">
        <v>497</v>
      </c>
      <c r="B51" s="1221"/>
      <c r="C51" s="1222"/>
      <c r="D51" s="469"/>
      <c r="E51" s="1223" t="s">
        <v>631</v>
      </c>
      <c r="F51" s="1224"/>
      <c r="G51" s="667">
        <f>G47+G49</f>
        <v>8786.1</v>
      </c>
      <c r="H51" s="468"/>
      <c r="I51" s="470"/>
      <c r="J51" s="776"/>
      <c r="K51" s="1225" t="s">
        <v>632</v>
      </c>
      <c r="L51" s="1226"/>
      <c r="M51" s="1226"/>
      <c r="N51" s="668">
        <f>N47+N49</f>
        <v>416.07</v>
      </c>
      <c r="O51" s="82"/>
      <c r="P51" s="82"/>
      <c r="Q51" s="82"/>
      <c r="R51" s="83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</row>
    <row r="52" ht="12.75">
      <c r="D52" s="15"/>
    </row>
  </sheetData>
  <sheetProtection/>
  <mergeCells count="12">
    <mergeCell ref="A47:C47"/>
    <mergeCell ref="E47:F47"/>
    <mergeCell ref="A1:N1"/>
    <mergeCell ref="A2:N2"/>
    <mergeCell ref="A3:N3"/>
    <mergeCell ref="A51:C51"/>
    <mergeCell ref="E51:F51"/>
    <mergeCell ref="K51:M51"/>
    <mergeCell ref="K47:M47"/>
    <mergeCell ref="E49:F49"/>
    <mergeCell ref="K49:M49"/>
    <mergeCell ref="A49:C49"/>
  </mergeCells>
  <printOptions horizontalCentered="1"/>
  <pageMargins left="0.25" right="0.25" top="0.5" bottom="0.5" header="0" footer="0.25"/>
  <pageSetup orientation="portrait" r:id="rId2"/>
  <headerFooter alignWithMargins="0">
    <oddHeader>&amp;R
</oddHeader>
    <oddFooter>&amp;L&amp;"Arial,Regular"&amp;8&amp;F&amp;C&amp;"Arial,Regular"&amp;8Page &amp;P of &amp;N&amp;R&amp;"Arial,Regular"&amp;8M. Storms, 17 August 06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selection activeCell="M9" sqref="M9"/>
    </sheetView>
  </sheetViews>
  <sheetFormatPr defaultColWidth="9.00390625" defaultRowHeight="12.75" customHeight="1"/>
  <cols>
    <col min="1" max="1" width="3.50390625" style="31" bestFit="1" customWidth="1"/>
    <col min="2" max="2" width="8.50390625" style="33" customWidth="1"/>
    <col min="3" max="3" width="9.625" style="33" customWidth="1"/>
    <col min="4" max="4" width="4.375" style="34" customWidth="1"/>
    <col min="5" max="5" width="5.625" style="34" customWidth="1"/>
    <col min="6" max="6" width="5.625" style="803" customWidth="1"/>
    <col min="7" max="8" width="6.50390625" style="33" customWidth="1"/>
    <col min="9" max="9" width="8.375" style="787" customWidth="1"/>
    <col min="10" max="10" width="7.75390625" style="37" customWidth="1"/>
    <col min="11" max="11" width="8.375" style="37" customWidth="1"/>
    <col min="12" max="13" width="8.75390625" style="37" customWidth="1"/>
    <col min="14" max="14" width="16.625" style="31" customWidth="1"/>
    <col min="15" max="15" width="15.375" style="31" customWidth="1"/>
    <col min="16" max="17" width="9.00390625" style="31" customWidth="1"/>
    <col min="18" max="18" width="9.875" style="33" bestFit="1" customWidth="1"/>
    <col min="19" max="16384" width="9.00390625" style="31" customWidth="1"/>
  </cols>
  <sheetData>
    <row r="1" spans="1:17" s="53" customFormat="1" ht="18">
      <c r="A1" s="1158" t="s">
        <v>155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  <c r="O1" s="59"/>
      <c r="P1" s="59"/>
      <c r="Q1" s="59"/>
    </row>
    <row r="2" spans="1:17" s="53" customFormat="1" ht="18">
      <c r="A2" s="1235" t="s">
        <v>246</v>
      </c>
      <c r="B2" s="1235"/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5"/>
      <c r="N2" s="1235"/>
      <c r="O2" s="59"/>
      <c r="P2" s="59"/>
      <c r="Q2" s="59"/>
    </row>
    <row r="3" spans="2:17" s="53" customFormat="1" ht="9.75" customHeight="1">
      <c r="B3" s="61"/>
      <c r="C3" s="61"/>
      <c r="D3" s="61"/>
      <c r="E3" s="61"/>
      <c r="F3" s="788"/>
      <c r="G3" s="61"/>
      <c r="H3" s="61"/>
      <c r="I3" s="717"/>
      <c r="J3" s="61"/>
      <c r="K3" s="61"/>
      <c r="L3" s="61"/>
      <c r="M3" s="61"/>
      <c r="N3" s="61"/>
      <c r="O3" s="59"/>
      <c r="P3" s="59"/>
      <c r="Q3" s="59"/>
    </row>
    <row r="4" spans="1:17" s="53" customFormat="1" ht="18">
      <c r="A4" s="1159" t="s">
        <v>126</v>
      </c>
      <c r="B4" s="1159"/>
      <c r="C4" s="1159"/>
      <c r="D4" s="1159"/>
      <c r="E4" s="1159"/>
      <c r="F4" s="1159"/>
      <c r="G4" s="1159"/>
      <c r="H4" s="1159"/>
      <c r="I4" s="1159"/>
      <c r="J4" s="1159"/>
      <c r="K4" s="1159"/>
      <c r="L4" s="1159"/>
      <c r="M4" s="1159"/>
      <c r="N4" s="1159"/>
      <c r="O4" s="60"/>
      <c r="P4" s="60"/>
      <c r="Q4" s="60"/>
    </row>
    <row r="5" spans="2:14" s="20" customFormat="1" ht="6" customHeight="1"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</row>
    <row r="6" spans="1:30" s="621" customFormat="1" ht="15" customHeight="1">
      <c r="A6" s="629"/>
      <c r="B6" s="630"/>
      <c r="C6" s="631"/>
      <c r="D6" s="631"/>
      <c r="E6" s="631"/>
      <c r="F6" s="789"/>
      <c r="G6" s="632"/>
      <c r="H6" s="632"/>
      <c r="I6" s="778" t="s">
        <v>726</v>
      </c>
      <c r="J6" s="632"/>
      <c r="K6" s="632"/>
      <c r="L6" s="632"/>
      <c r="M6" s="632"/>
      <c r="N6" s="633"/>
      <c r="O6" s="619"/>
      <c r="P6" s="619"/>
      <c r="Q6" s="619"/>
      <c r="R6" s="620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619"/>
    </row>
    <row r="7" spans="1:30" s="628" customFormat="1" ht="15" customHeight="1">
      <c r="A7" s="622"/>
      <c r="B7" s="623"/>
      <c r="C7" s="634"/>
      <c r="D7" s="624"/>
      <c r="E7" s="624"/>
      <c r="F7" s="790"/>
      <c r="G7" s="624"/>
      <c r="H7" s="624"/>
      <c r="I7" s="778" t="s">
        <v>725</v>
      </c>
      <c r="J7" s="624"/>
      <c r="K7" s="624"/>
      <c r="L7" s="624"/>
      <c r="M7" s="624"/>
      <c r="N7" s="625"/>
      <c r="O7" s="626"/>
      <c r="P7" s="626"/>
      <c r="Q7" s="626"/>
      <c r="R7" s="627"/>
      <c r="S7" s="626"/>
      <c r="T7" s="626"/>
      <c r="U7" s="626"/>
      <c r="V7" s="626"/>
      <c r="W7" s="626"/>
      <c r="X7" s="626"/>
      <c r="Y7" s="626"/>
      <c r="Z7" s="626"/>
      <c r="AA7" s="626"/>
      <c r="AB7" s="626"/>
      <c r="AC7" s="626"/>
      <c r="AD7" s="626"/>
    </row>
    <row r="8" spans="1:30" s="628" customFormat="1" ht="15" customHeight="1">
      <c r="A8" s="622"/>
      <c r="B8" s="623"/>
      <c r="C8" s="624" t="s">
        <v>73</v>
      </c>
      <c r="D8" s="624" t="s">
        <v>43</v>
      </c>
      <c r="E8" s="624" t="s">
        <v>44</v>
      </c>
      <c r="F8" s="790" t="s">
        <v>45</v>
      </c>
      <c r="G8" s="624" t="s">
        <v>7</v>
      </c>
      <c r="H8" s="624" t="s">
        <v>7</v>
      </c>
      <c r="I8" s="778" t="s">
        <v>10</v>
      </c>
      <c r="J8" s="624" t="s">
        <v>23</v>
      </c>
      <c r="K8" s="624" t="s">
        <v>24</v>
      </c>
      <c r="L8" s="624" t="s">
        <v>23</v>
      </c>
      <c r="M8" s="624" t="s">
        <v>24</v>
      </c>
      <c r="N8" s="625"/>
      <c r="O8" s="626"/>
      <c r="P8" s="626"/>
      <c r="Q8" s="626"/>
      <c r="R8" s="627"/>
      <c r="S8" s="626"/>
      <c r="T8" s="626"/>
      <c r="U8" s="626"/>
      <c r="V8" s="626"/>
      <c r="W8" s="626"/>
      <c r="X8" s="626"/>
      <c r="Y8" s="626"/>
      <c r="Z8" s="626"/>
      <c r="AA8" s="626"/>
      <c r="AB8" s="626"/>
      <c r="AC8" s="626"/>
      <c r="AD8" s="626"/>
    </row>
    <row r="9" spans="1:30" s="621" customFormat="1" ht="15" customHeight="1">
      <c r="A9" s="615" t="s">
        <v>186</v>
      </c>
      <c r="B9" s="615" t="s">
        <v>7</v>
      </c>
      <c r="C9" s="616" t="s">
        <v>39</v>
      </c>
      <c r="D9" s="616" t="s">
        <v>59</v>
      </c>
      <c r="E9" s="616" t="s">
        <v>58</v>
      </c>
      <c r="F9" s="791" t="s">
        <v>9</v>
      </c>
      <c r="G9" s="617" t="s">
        <v>41</v>
      </c>
      <c r="H9" s="618" t="s">
        <v>42</v>
      </c>
      <c r="I9" s="779" t="s">
        <v>46</v>
      </c>
      <c r="J9" s="617" t="s">
        <v>47</v>
      </c>
      <c r="K9" s="617" t="s">
        <v>47</v>
      </c>
      <c r="L9" s="617" t="s">
        <v>40</v>
      </c>
      <c r="M9" s="617" t="s">
        <v>40</v>
      </c>
      <c r="N9" s="617" t="s">
        <v>27</v>
      </c>
      <c r="O9" s="619"/>
      <c r="P9" s="619"/>
      <c r="Q9" s="619"/>
      <c r="R9" s="620"/>
      <c r="S9" s="619"/>
      <c r="T9" s="619"/>
      <c r="U9" s="619"/>
      <c r="V9" s="619"/>
      <c r="W9" s="619"/>
      <c r="X9" s="619"/>
      <c r="Y9" s="619"/>
      <c r="Z9" s="619"/>
      <c r="AA9" s="619"/>
      <c r="AB9" s="619"/>
      <c r="AC9" s="619"/>
      <c r="AD9" s="619"/>
    </row>
    <row r="10" spans="2:30" s="84" customFormat="1" ht="6" customHeight="1">
      <c r="B10" s="16"/>
      <c r="C10" s="17"/>
      <c r="D10" s="85"/>
      <c r="E10" s="85"/>
      <c r="F10" s="792"/>
      <c r="G10" s="17"/>
      <c r="H10" s="17"/>
      <c r="I10" s="768"/>
      <c r="J10" s="86"/>
      <c r="K10" s="87"/>
      <c r="L10" s="86"/>
      <c r="M10" s="87"/>
      <c r="N10" s="86"/>
      <c r="O10" s="82"/>
      <c r="P10" s="82"/>
      <c r="Q10" s="82"/>
      <c r="R10" s="83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1:30" s="84" customFormat="1" ht="12.75" customHeight="1">
      <c r="A11" s="538">
        <v>1</v>
      </c>
      <c r="B11" s="454" t="s">
        <v>727</v>
      </c>
      <c r="C11" s="454" t="s">
        <v>29</v>
      </c>
      <c r="D11" s="681">
        <v>15</v>
      </c>
      <c r="E11" s="454">
        <v>208</v>
      </c>
      <c r="F11" s="793">
        <v>2199</v>
      </c>
      <c r="G11" s="681">
        <f>IF(L11&lt;&gt;0,(M11-K11)*24,"")</f>
        <v>88.33333333333576</v>
      </c>
      <c r="H11" s="681">
        <f>IF(L11&lt;&gt;0,G11/24,"")</f>
        <v>3.6805555555556566</v>
      </c>
      <c r="I11" s="780">
        <v>2674.2</v>
      </c>
      <c r="J11" s="679">
        <f aca="true" t="shared" si="0" ref="J11:J25">IF(C11&lt;&gt;"",K11,"")</f>
        <v>2318.309027777778</v>
      </c>
      <c r="K11" s="680">
        <f>IF(C11&lt;&gt;"",DATE(6,5,6)+TIME(7,25,0),"")</f>
        <v>2318.309027777778</v>
      </c>
      <c r="L11" s="679">
        <f aca="true" t="shared" si="1" ref="L11:L25">IF(E11&lt;&gt;"",M11,"")</f>
        <v>2321.9895833333335</v>
      </c>
      <c r="M11" s="680">
        <f>IF(E11&lt;&gt;"",DATE(6,5,9)+TIME(23,45,0),"")</f>
        <v>2321.9895833333335</v>
      </c>
      <c r="N11" s="682"/>
      <c r="O11" s="82"/>
      <c r="P11" s="82"/>
      <c r="Q11" s="82"/>
      <c r="R11" s="83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</row>
    <row r="12" spans="1:30" s="84" customFormat="1" ht="12.75" customHeight="1">
      <c r="A12" s="635">
        <v>2</v>
      </c>
      <c r="B12" s="536" t="s">
        <v>728</v>
      </c>
      <c r="C12" s="41" t="s">
        <v>29</v>
      </c>
      <c r="D12" s="367">
        <v>15</v>
      </c>
      <c r="E12" s="41">
        <v>208</v>
      </c>
      <c r="F12" s="794">
        <v>2199</v>
      </c>
      <c r="G12" s="546">
        <f aca="true" t="shared" si="2" ref="G12:G22">IF(L12&lt;&gt;0,(M12-K12)*24,"")</f>
        <v>14.833333333335759</v>
      </c>
      <c r="H12" s="546">
        <f aca="true" t="shared" si="3" ref="H12:H22">IF(L12&lt;&gt;0,G12/24,"")</f>
        <v>0.6180555555556566</v>
      </c>
      <c r="I12" s="783">
        <v>1069</v>
      </c>
      <c r="J12" s="547">
        <f t="shared" si="0"/>
        <v>2333.3458333333333</v>
      </c>
      <c r="K12" s="548">
        <f>IF(C12&lt;&gt;"",DATE(6,5,21)+TIME(8,18,0),"")</f>
        <v>2333.3458333333333</v>
      </c>
      <c r="L12" s="547">
        <f t="shared" si="1"/>
        <v>2333.963888888889</v>
      </c>
      <c r="M12" s="548">
        <f>IF(E12&lt;&gt;"",DATE(6,5,21)+TIME(23,8,0),"")</f>
        <v>2333.963888888889</v>
      </c>
      <c r="N12" s="537"/>
      <c r="O12" s="82"/>
      <c r="P12" s="82"/>
      <c r="Q12" s="82"/>
      <c r="R12" s="83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</row>
    <row r="13" spans="1:30" s="84" customFormat="1" ht="12.75" customHeight="1">
      <c r="A13" s="640"/>
      <c r="B13" s="437" t="s">
        <v>729</v>
      </c>
      <c r="C13" s="41" t="s">
        <v>29</v>
      </c>
      <c r="D13" s="367">
        <v>14</v>
      </c>
      <c r="E13" s="41">
        <v>208</v>
      </c>
      <c r="F13" s="794">
        <v>2200</v>
      </c>
      <c r="G13" s="677">
        <f t="shared" si="2"/>
        <v>24.516666666670062</v>
      </c>
      <c r="H13" s="677">
        <f t="shared" si="3"/>
        <v>1.0215277777779193</v>
      </c>
      <c r="I13" s="804">
        <v>1092</v>
      </c>
      <c r="J13" s="547">
        <f t="shared" si="0"/>
        <v>2334.2013888888887</v>
      </c>
      <c r="K13" s="548">
        <f>IF(C13&lt;&gt;"",DATE(6,5,22)+TIME(4,50,0),"")</f>
        <v>2334.2013888888887</v>
      </c>
      <c r="L13" s="547">
        <f t="shared" si="1"/>
        <v>2335.2229166666666</v>
      </c>
      <c r="M13" s="548">
        <f>IF(E13&lt;&gt;"",DATE(6,5,23)+TIME(5,21,0),"")</f>
        <v>2335.2229166666666</v>
      </c>
      <c r="N13" s="96"/>
      <c r="O13" s="82"/>
      <c r="P13" s="82"/>
      <c r="Q13" s="82"/>
      <c r="R13" s="83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</row>
    <row r="14" spans="1:30" s="84" customFormat="1" ht="12.75" customHeight="1">
      <c r="A14" s="640"/>
      <c r="B14" s="437" t="s">
        <v>730</v>
      </c>
      <c r="C14" s="41" t="s">
        <v>29</v>
      </c>
      <c r="D14" s="367">
        <v>14</v>
      </c>
      <c r="E14" s="41">
        <v>208</v>
      </c>
      <c r="F14" s="794">
        <v>2200</v>
      </c>
      <c r="G14" s="677">
        <f t="shared" si="2"/>
        <v>24.216666666663514</v>
      </c>
      <c r="H14" s="677">
        <f t="shared" si="3"/>
        <v>1.0090277777776464</v>
      </c>
      <c r="I14" s="804">
        <v>1092</v>
      </c>
      <c r="J14" s="547">
        <f t="shared" si="0"/>
        <v>2335.4993055555556</v>
      </c>
      <c r="K14" s="548">
        <f>IF(C14&lt;&gt;"",DATE(6,5,23)+TIME(11,59,0),"")</f>
        <v>2335.4993055555556</v>
      </c>
      <c r="L14" s="547">
        <f t="shared" si="1"/>
        <v>2336.508333333333</v>
      </c>
      <c r="M14" s="548">
        <f>IF(E14&lt;&gt;"",DATE(6,5,24)+TIME(12,12,0),"")</f>
        <v>2336.508333333333</v>
      </c>
      <c r="N14" s="96"/>
      <c r="O14" s="82"/>
      <c r="P14" s="82"/>
      <c r="Q14" s="82"/>
      <c r="R14" s="83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</row>
    <row r="15" spans="1:30" s="84" customFormat="1" ht="12.75" customHeight="1">
      <c r="A15" s="640"/>
      <c r="B15" s="437" t="s">
        <v>731</v>
      </c>
      <c r="C15" s="41" t="s">
        <v>29</v>
      </c>
      <c r="D15" s="367">
        <v>15</v>
      </c>
      <c r="E15" s="41">
        <v>208</v>
      </c>
      <c r="F15" s="794">
        <v>2199</v>
      </c>
      <c r="G15" s="677">
        <f t="shared" si="2"/>
        <v>21.78333333333285</v>
      </c>
      <c r="H15" s="677">
        <f t="shared" si="3"/>
        <v>0.9076388888888687</v>
      </c>
      <c r="I15" s="804">
        <v>963</v>
      </c>
      <c r="J15" s="547">
        <f t="shared" si="0"/>
        <v>2336.6895833333333</v>
      </c>
      <c r="K15" s="548">
        <f>IF(C15&lt;&gt;"",DATE(6,5,24)+TIME(16,33,0),"")</f>
        <v>2336.6895833333333</v>
      </c>
      <c r="L15" s="547">
        <f t="shared" si="1"/>
        <v>2337.597222222222</v>
      </c>
      <c r="M15" s="548">
        <f>IF(E15&lt;&gt;"",DATE(6,5,25)+TIME(14,20,0),"")</f>
        <v>2337.597222222222</v>
      </c>
      <c r="N15" s="96"/>
      <c r="O15" s="82"/>
      <c r="P15" s="82"/>
      <c r="Q15" s="82"/>
      <c r="R15" s="83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</row>
    <row r="16" spans="1:30" s="84" customFormat="1" ht="12.75" customHeight="1">
      <c r="A16" s="640"/>
      <c r="B16" s="437" t="s">
        <v>732</v>
      </c>
      <c r="C16" s="41" t="s">
        <v>29</v>
      </c>
      <c r="D16" s="367">
        <v>14</v>
      </c>
      <c r="E16" s="41">
        <v>208</v>
      </c>
      <c r="F16" s="794">
        <v>2200</v>
      </c>
      <c r="G16" s="677">
        <f t="shared" si="2"/>
        <v>31.150000000005093</v>
      </c>
      <c r="H16" s="677">
        <f t="shared" si="3"/>
        <v>1.2979166666668789</v>
      </c>
      <c r="I16" s="804">
        <v>1171</v>
      </c>
      <c r="J16" s="547">
        <f t="shared" si="0"/>
        <v>2337.788888888889</v>
      </c>
      <c r="K16" s="548">
        <f>IF(C16&lt;&gt;"",DATE(6,5,25)+TIME(18,56,0),"")</f>
        <v>2337.788888888889</v>
      </c>
      <c r="L16" s="547">
        <f t="shared" si="1"/>
        <v>2339.0868055555557</v>
      </c>
      <c r="M16" s="548">
        <f>IF(E16&lt;&gt;"",DATE(6,5,27)+TIME(2,5,0),"")</f>
        <v>2339.0868055555557</v>
      </c>
      <c r="N16" s="96"/>
      <c r="O16" s="82"/>
      <c r="P16" s="82"/>
      <c r="Q16" s="82"/>
      <c r="R16" s="83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</row>
    <row r="17" spans="1:30" s="84" customFormat="1" ht="12.75" customHeight="1">
      <c r="A17" s="640"/>
      <c r="B17" s="437" t="s">
        <v>733</v>
      </c>
      <c r="C17" s="41" t="s">
        <v>29</v>
      </c>
      <c r="D17" s="367">
        <v>15</v>
      </c>
      <c r="E17" s="41">
        <v>208</v>
      </c>
      <c r="F17" s="794">
        <v>2199</v>
      </c>
      <c r="G17" s="677">
        <f t="shared" si="2"/>
        <v>21.799999999999272</v>
      </c>
      <c r="H17" s="677">
        <f t="shared" si="3"/>
        <v>0.908333333333303</v>
      </c>
      <c r="I17" s="804">
        <v>1297</v>
      </c>
      <c r="J17" s="547">
        <f t="shared" si="0"/>
        <v>2339.434027777778</v>
      </c>
      <c r="K17" s="548">
        <f>IF(C17&lt;&gt;"",DATE(6,5,27)+TIME(10,25,0),"")</f>
        <v>2339.434027777778</v>
      </c>
      <c r="L17" s="547">
        <f t="shared" si="1"/>
        <v>2340.342361111111</v>
      </c>
      <c r="M17" s="548">
        <f>IF(E17&lt;&gt;"",DATE(6,5,28)+TIME(8,13,0),"")</f>
        <v>2340.342361111111</v>
      </c>
      <c r="N17" s="96"/>
      <c r="O17" s="82"/>
      <c r="P17" s="82"/>
      <c r="Q17" s="82"/>
      <c r="R17" s="83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</row>
    <row r="18" spans="1:30" s="84" customFormat="1" ht="12.75" customHeight="1">
      <c r="A18" s="640"/>
      <c r="B18" s="437" t="s">
        <v>734</v>
      </c>
      <c r="C18" s="41" t="s">
        <v>29</v>
      </c>
      <c r="D18" s="367">
        <v>14</v>
      </c>
      <c r="E18" s="41">
        <v>208</v>
      </c>
      <c r="F18" s="794">
        <v>2200</v>
      </c>
      <c r="G18" s="677">
        <f t="shared" si="2"/>
        <v>30.15000000000873</v>
      </c>
      <c r="H18" s="677">
        <f t="shared" si="3"/>
        <v>1.2562500000003638</v>
      </c>
      <c r="I18" s="804">
        <v>1700</v>
      </c>
      <c r="J18" s="547">
        <f t="shared" si="0"/>
        <v>2341.483333333333</v>
      </c>
      <c r="K18" s="548">
        <f>IF(C18&lt;&gt;"",DATE(6,5,29)+TIME(11,36,0),"")</f>
        <v>2341.483333333333</v>
      </c>
      <c r="L18" s="547">
        <f t="shared" si="1"/>
        <v>2342.7395833333335</v>
      </c>
      <c r="M18" s="548">
        <f>IF(E18&lt;&gt;"",DATE(6,5,30)+TIME(17,45,0),"")</f>
        <v>2342.7395833333335</v>
      </c>
      <c r="N18" s="96"/>
      <c r="O18" s="82"/>
      <c r="P18" s="82"/>
      <c r="Q18" s="82"/>
      <c r="R18" s="83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</row>
    <row r="19" spans="1:30" s="84" customFormat="1" ht="12.75" customHeight="1">
      <c r="A19" s="640"/>
      <c r="B19" s="437" t="s">
        <v>735</v>
      </c>
      <c r="C19" s="41" t="s">
        <v>29</v>
      </c>
      <c r="D19" s="367">
        <v>15</v>
      </c>
      <c r="E19" s="41">
        <v>208</v>
      </c>
      <c r="F19" s="794">
        <v>2199</v>
      </c>
      <c r="G19" s="677">
        <f t="shared" si="2"/>
        <v>26.69999999999345</v>
      </c>
      <c r="H19" s="677">
        <f t="shared" si="3"/>
        <v>1.1124999999997272</v>
      </c>
      <c r="I19" s="804">
        <v>1946</v>
      </c>
      <c r="J19" s="547">
        <f t="shared" si="0"/>
        <v>2343.0173611111113</v>
      </c>
      <c r="K19" s="548">
        <f>IF(C19&lt;&gt;"",DATE(6,5,31)+TIME(0,25,0),"")</f>
        <v>2343.0173611111113</v>
      </c>
      <c r="L19" s="547">
        <f t="shared" si="1"/>
        <v>2344.129861111111</v>
      </c>
      <c r="M19" s="548">
        <f>IF(E19&lt;&gt;"",DATE(6,6,1)+TIME(3,7,0),"")</f>
        <v>2344.129861111111</v>
      </c>
      <c r="N19" s="96"/>
      <c r="O19" s="82"/>
      <c r="P19" s="82"/>
      <c r="Q19" s="82"/>
      <c r="R19" s="83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</row>
    <row r="20" spans="1:30" s="84" customFormat="1" ht="12.75" customHeight="1">
      <c r="A20" s="640"/>
      <c r="B20" s="437" t="s">
        <v>736</v>
      </c>
      <c r="C20" s="41" t="s">
        <v>29</v>
      </c>
      <c r="D20" s="367">
        <v>14</v>
      </c>
      <c r="E20" s="41">
        <v>208</v>
      </c>
      <c r="F20" s="794">
        <v>2200</v>
      </c>
      <c r="G20" s="677">
        <f t="shared" si="2"/>
        <v>23.16666666666788</v>
      </c>
      <c r="H20" s="677">
        <f t="shared" si="3"/>
        <v>0.9652777777778283</v>
      </c>
      <c r="I20" s="804">
        <v>1049</v>
      </c>
      <c r="J20" s="547">
        <f t="shared" si="0"/>
        <v>2345.795833333333</v>
      </c>
      <c r="K20" s="548">
        <f>IF(C20&lt;&gt;"",DATE(6,6,2)+TIME(19,6,0),"")</f>
        <v>2345.795833333333</v>
      </c>
      <c r="L20" s="547">
        <f t="shared" si="1"/>
        <v>2346.761111111111</v>
      </c>
      <c r="M20" s="548">
        <f>IF(E20&lt;&gt;"",DATE(6,6,3)+TIME(18,16,0),"")</f>
        <v>2346.761111111111</v>
      </c>
      <c r="N20" s="96"/>
      <c r="O20" s="82"/>
      <c r="P20" s="82"/>
      <c r="Q20" s="82"/>
      <c r="R20" s="83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</row>
    <row r="21" spans="1:30" s="84" customFormat="1" ht="12.75" customHeight="1">
      <c r="A21" s="640"/>
      <c r="B21" s="437" t="s">
        <v>737</v>
      </c>
      <c r="C21" s="41" t="s">
        <v>29</v>
      </c>
      <c r="D21" s="367">
        <v>15</v>
      </c>
      <c r="E21" s="41">
        <v>208</v>
      </c>
      <c r="F21" s="794">
        <v>2199</v>
      </c>
      <c r="G21" s="677">
        <f t="shared" si="2"/>
        <v>13.566666666665697</v>
      </c>
      <c r="H21" s="677">
        <f t="shared" si="3"/>
        <v>0.5652777777777374</v>
      </c>
      <c r="I21" s="804">
        <v>1018</v>
      </c>
      <c r="J21" s="547">
        <f t="shared" si="0"/>
        <v>2347.0006944444444</v>
      </c>
      <c r="K21" s="548">
        <f>IF(C21&lt;&gt;"",DATE(6,6,4)+TIME(0,1,0),"")</f>
        <v>2347.0006944444444</v>
      </c>
      <c r="L21" s="547">
        <f t="shared" si="1"/>
        <v>2347.565972222222</v>
      </c>
      <c r="M21" s="548">
        <f>IF(E21&lt;&gt;"",DATE(6,6,4)+TIME(13,35,0),"")</f>
        <v>2347.565972222222</v>
      </c>
      <c r="N21" s="96"/>
      <c r="O21" s="82"/>
      <c r="P21" s="82"/>
      <c r="Q21" s="82"/>
      <c r="R21" s="83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</row>
    <row r="22" spans="1:30" s="84" customFormat="1" ht="12.75" customHeight="1">
      <c r="A22" s="637"/>
      <c r="B22" s="543" t="s">
        <v>731</v>
      </c>
      <c r="C22" s="71" t="s">
        <v>29</v>
      </c>
      <c r="D22" s="357">
        <v>14</v>
      </c>
      <c r="E22" s="71">
        <v>208</v>
      </c>
      <c r="F22" s="795">
        <v>2200</v>
      </c>
      <c r="G22" s="678">
        <f t="shared" si="2"/>
        <v>12.966666666663514</v>
      </c>
      <c r="H22" s="678">
        <f t="shared" si="3"/>
        <v>0.5402777777776464</v>
      </c>
      <c r="I22" s="805">
        <v>963</v>
      </c>
      <c r="J22" s="605">
        <f t="shared" si="0"/>
        <v>2347.741666666667</v>
      </c>
      <c r="K22" s="606">
        <f>IF(C22&lt;&gt;"",DATE(6,6,4)+TIME(17,48,0),"")</f>
        <v>2347.741666666667</v>
      </c>
      <c r="L22" s="605">
        <f t="shared" si="1"/>
        <v>2348.2819444444444</v>
      </c>
      <c r="M22" s="606">
        <f>IF(E22&lt;&gt;"",DATE(6,6,5)+TIME(6,46,0),"")</f>
        <v>2348.2819444444444</v>
      </c>
      <c r="N22" s="544"/>
      <c r="O22" s="82"/>
      <c r="P22" s="82"/>
      <c r="Q22" s="82"/>
      <c r="R22" s="83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</row>
    <row r="23" spans="1:30" s="84" customFormat="1" ht="12.75" customHeight="1">
      <c r="A23" s="636" t="s">
        <v>187</v>
      </c>
      <c r="B23" s="539" t="s">
        <v>731</v>
      </c>
      <c r="C23" s="457" t="s">
        <v>29</v>
      </c>
      <c r="D23" s="650">
        <v>14</v>
      </c>
      <c r="E23" s="457">
        <v>208</v>
      </c>
      <c r="F23" s="796">
        <v>2200</v>
      </c>
      <c r="G23" s="472">
        <f>IF(L23&lt;&gt;0,(M23-K23)*24,"")</f>
        <v>122.91666666666788</v>
      </c>
      <c r="H23" s="472">
        <f>IF(L23&lt;&gt;0,G23/24,"")</f>
        <v>5.121527777777828</v>
      </c>
      <c r="I23" s="784">
        <v>956</v>
      </c>
      <c r="J23" s="540">
        <f t="shared" si="0"/>
        <v>2353.6305555555555</v>
      </c>
      <c r="K23" s="541">
        <f>IF(C23&lt;&gt;"",DATE(6,6,10)+TIME(15,8,0),"")</f>
        <v>2353.6305555555555</v>
      </c>
      <c r="L23" s="540">
        <f t="shared" si="1"/>
        <v>2358.7520833333333</v>
      </c>
      <c r="M23" s="541">
        <f>IF(E23&lt;&gt;"",DATE(6,6,15)+TIME(18,3,0),"")</f>
        <v>2358.7520833333333</v>
      </c>
      <c r="N23" s="542"/>
      <c r="O23" s="82"/>
      <c r="P23" s="82"/>
      <c r="Q23" s="82"/>
      <c r="R23" s="83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</row>
    <row r="24" spans="1:30" s="84" customFormat="1" ht="12.75" customHeight="1">
      <c r="A24" s="641"/>
      <c r="B24" s="132" t="s">
        <v>736</v>
      </c>
      <c r="C24" s="133" t="s">
        <v>29</v>
      </c>
      <c r="D24" s="134">
        <v>15</v>
      </c>
      <c r="E24" s="133">
        <v>208</v>
      </c>
      <c r="F24" s="797">
        <v>2199</v>
      </c>
      <c r="G24" s="134">
        <f>IF(L24&lt;&gt;0,(M24-K24)*24,"")</f>
        <v>140.83333333333576</v>
      </c>
      <c r="H24" s="134">
        <f>IF(L24&lt;&gt;0,G24/24,"")</f>
        <v>5.868055555555657</v>
      </c>
      <c r="I24" s="782">
        <v>1049.3</v>
      </c>
      <c r="J24" s="135">
        <f t="shared" si="0"/>
        <v>2358.972222222222</v>
      </c>
      <c r="K24" s="136">
        <f>IF(C24&lt;&gt;"",DATE(6,6,15)+TIME(23,20,0),"")</f>
        <v>2358.972222222222</v>
      </c>
      <c r="L24" s="135">
        <f t="shared" si="1"/>
        <v>2364.840277777778</v>
      </c>
      <c r="M24" s="136">
        <f>IF(E24&lt;&gt;"",DATE(6,6,21)+TIME(20,10,0),"")</f>
        <v>2364.840277777778</v>
      </c>
      <c r="N24" s="137"/>
      <c r="O24" s="82"/>
      <c r="P24" s="82"/>
      <c r="Q24" s="82"/>
      <c r="R24" s="83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</row>
    <row r="25" spans="1:30" s="84" customFormat="1" ht="12.75" customHeight="1">
      <c r="A25" s="641"/>
      <c r="B25" s="132" t="s">
        <v>738</v>
      </c>
      <c r="C25" s="1238" t="s">
        <v>29</v>
      </c>
      <c r="D25" s="1236">
        <v>14</v>
      </c>
      <c r="E25" s="1238">
        <v>208</v>
      </c>
      <c r="F25" s="1240">
        <v>2200</v>
      </c>
      <c r="G25" s="1236">
        <f>IF(L25&lt;&gt;0,(M25-K25)*24,"")</f>
        <v>53.61666666666133</v>
      </c>
      <c r="H25" s="1236">
        <f>IF(L25&lt;&gt;0,G25/24,"")</f>
        <v>2.2340277777775555</v>
      </c>
      <c r="I25" s="806">
        <v>1045.8</v>
      </c>
      <c r="J25" s="1242">
        <f t="shared" si="0"/>
        <v>2364.871527777778</v>
      </c>
      <c r="K25" s="1244">
        <f>IF(C25&lt;&gt;"",DATE(6,6,21)+TIME(20,55,0),"")</f>
        <v>2364.871527777778</v>
      </c>
      <c r="L25" s="1242">
        <f t="shared" si="1"/>
        <v>2367.1055555555554</v>
      </c>
      <c r="M25" s="1244">
        <f>IF(E25&lt;&gt;"",DATE(6,6,24)+TIME(2,32,0),"")</f>
        <v>2367.1055555555554</v>
      </c>
      <c r="N25" s="1246"/>
      <c r="O25" s="82"/>
      <c r="P25" s="82"/>
      <c r="Q25" s="82"/>
      <c r="R25" s="83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</row>
    <row r="26" spans="1:30" s="84" customFormat="1" ht="12.75" customHeight="1">
      <c r="A26" s="638"/>
      <c r="B26" s="550" t="s">
        <v>739</v>
      </c>
      <c r="C26" s="1239"/>
      <c r="D26" s="1237"/>
      <c r="E26" s="1239"/>
      <c r="F26" s="1241"/>
      <c r="G26" s="1237"/>
      <c r="H26" s="1237"/>
      <c r="I26" s="785">
        <v>1044</v>
      </c>
      <c r="J26" s="1243"/>
      <c r="K26" s="1245"/>
      <c r="L26" s="1243"/>
      <c r="M26" s="1245"/>
      <c r="N26" s="1247"/>
      <c r="O26" s="82"/>
      <c r="P26" s="82"/>
      <c r="Q26" s="82"/>
      <c r="R26" s="83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</row>
    <row r="27" spans="1:30" s="84" customFormat="1" ht="12.75" customHeight="1">
      <c r="A27" s="635" t="s">
        <v>188</v>
      </c>
      <c r="B27" s="536" t="s">
        <v>729</v>
      </c>
      <c r="C27" s="545" t="s">
        <v>29</v>
      </c>
      <c r="D27" s="546">
        <v>14</v>
      </c>
      <c r="E27" s="545">
        <v>208</v>
      </c>
      <c r="F27" s="798">
        <v>2200</v>
      </c>
      <c r="G27" s="546">
        <f aca="true" t="shared" si="4" ref="G27:G32">IF(L27&lt;&gt;0,(M27-K27)*24,"")</f>
        <v>128.6500000000051</v>
      </c>
      <c r="H27" s="546">
        <f aca="true" t="shared" si="5" ref="H27:H32">IF(L27&lt;&gt;0,G27/24,"")</f>
        <v>5.360416666666879</v>
      </c>
      <c r="I27" s="783">
        <v>1085</v>
      </c>
      <c r="J27" s="547">
        <f aca="true" t="shared" si="6" ref="J27:J32">IF(C27&lt;&gt;"",K27,"")</f>
        <v>2372.473611111111</v>
      </c>
      <c r="K27" s="548">
        <f>IF(C27&lt;&gt;"",DATE(6,6,29)+TIME(11,22,0),"")</f>
        <v>2372.473611111111</v>
      </c>
      <c r="L27" s="547">
        <f aca="true" t="shared" si="7" ref="L27:L32">IF(E27&lt;&gt;"",M27,"")</f>
        <v>2377.834027777778</v>
      </c>
      <c r="M27" s="548">
        <f>IF(E27&lt;&gt;"",DATE(6,7,4)+TIME(20,1,0),"")</f>
        <v>2377.834027777778</v>
      </c>
      <c r="N27" s="549"/>
      <c r="O27" s="82"/>
      <c r="P27" s="82"/>
      <c r="Q27" s="82"/>
      <c r="R27" s="83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</row>
    <row r="28" spans="1:30" s="444" customFormat="1" ht="12.75" customHeight="1">
      <c r="A28" s="642"/>
      <c r="B28" s="440" t="s">
        <v>733</v>
      </c>
      <c r="C28" s="41" t="s">
        <v>29</v>
      </c>
      <c r="D28" s="367">
        <v>14</v>
      </c>
      <c r="E28" s="41">
        <v>208</v>
      </c>
      <c r="F28" s="794">
        <v>2200</v>
      </c>
      <c r="G28" s="367">
        <f t="shared" si="4"/>
        <v>122.75000000000364</v>
      </c>
      <c r="H28" s="367">
        <f t="shared" si="5"/>
        <v>5.114583333333485</v>
      </c>
      <c r="I28" s="759">
        <v>1295.8</v>
      </c>
      <c r="J28" s="438">
        <f t="shared" si="6"/>
        <v>2378.1041666666665</v>
      </c>
      <c r="K28" s="439">
        <f>IF(C28&lt;&gt;"",DATE(6,7,5)+TIME(2,30,0),"")</f>
        <v>2378.1041666666665</v>
      </c>
      <c r="L28" s="438">
        <f t="shared" si="7"/>
        <v>2383.21875</v>
      </c>
      <c r="M28" s="439">
        <f>IF(E28&lt;&gt;"",DATE(6,7,10)+TIME(5,15,0),"")</f>
        <v>2383.21875</v>
      </c>
      <c r="N28" s="441" t="s">
        <v>489</v>
      </c>
      <c r="O28" s="442"/>
      <c r="P28" s="442"/>
      <c r="Q28" s="442"/>
      <c r="R28" s="443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</row>
    <row r="29" spans="1:30" s="444" customFormat="1" ht="12.75" customHeight="1">
      <c r="A29" s="642"/>
      <c r="B29" s="440" t="s">
        <v>733</v>
      </c>
      <c r="C29" s="41" t="s">
        <v>29</v>
      </c>
      <c r="D29" s="367">
        <v>15</v>
      </c>
      <c r="E29" s="41">
        <v>208</v>
      </c>
      <c r="F29" s="794">
        <v>2199</v>
      </c>
      <c r="G29" s="367">
        <f t="shared" si="4"/>
        <v>119.29999999999927</v>
      </c>
      <c r="H29" s="367">
        <f t="shared" si="5"/>
        <v>4.970833333333303</v>
      </c>
      <c r="I29" s="759">
        <v>1295.8</v>
      </c>
      <c r="J29" s="438">
        <f t="shared" si="6"/>
        <v>2378.2166666666667</v>
      </c>
      <c r="K29" s="439">
        <f>IF(C29&lt;&gt;"",DATE(6,7,5)+TIME(5,12,0),"")</f>
        <v>2378.2166666666667</v>
      </c>
      <c r="L29" s="438">
        <f t="shared" si="7"/>
        <v>2383.1875</v>
      </c>
      <c r="M29" s="439">
        <f>IF(E29&lt;&gt;"",DATE(6,7,10)+TIME(4,30,0),"")</f>
        <v>2383.1875</v>
      </c>
      <c r="N29" s="441" t="s">
        <v>490</v>
      </c>
      <c r="O29" s="442"/>
      <c r="P29" s="442"/>
      <c r="Q29" s="442"/>
      <c r="R29" s="443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</row>
    <row r="30" spans="1:30" s="444" customFormat="1" ht="12.75" customHeight="1">
      <c r="A30" s="643"/>
      <c r="B30" s="440" t="s">
        <v>740</v>
      </c>
      <c r="C30" s="41" t="s">
        <v>29</v>
      </c>
      <c r="D30" s="367">
        <v>14</v>
      </c>
      <c r="E30" s="41">
        <v>208</v>
      </c>
      <c r="F30" s="794">
        <v>2200</v>
      </c>
      <c r="G30" s="367">
        <f t="shared" si="4"/>
        <v>57.03333333333285</v>
      </c>
      <c r="H30" s="367">
        <f t="shared" si="5"/>
        <v>2.3763888888888687</v>
      </c>
      <c r="I30" s="759">
        <v>906.6</v>
      </c>
      <c r="J30" s="438">
        <f t="shared" si="6"/>
        <v>2383.4861111111113</v>
      </c>
      <c r="K30" s="439">
        <f>IF(C30&lt;&gt;"",DATE(6,7,10)+TIME(11,40,0),"")</f>
        <v>2383.4861111111113</v>
      </c>
      <c r="L30" s="438">
        <f t="shared" si="7"/>
        <v>2385.8625</v>
      </c>
      <c r="M30" s="439">
        <f>IF(E30&lt;&gt;"",DATE(6,7,12)+TIME(20,42,0),"")</f>
        <v>2385.8625</v>
      </c>
      <c r="N30" s="441"/>
      <c r="O30" s="442"/>
      <c r="P30" s="442"/>
      <c r="Q30" s="442"/>
      <c r="R30" s="443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</row>
    <row r="31" spans="1:30" s="444" customFormat="1" ht="12.75" customHeight="1">
      <c r="A31" s="644"/>
      <c r="B31" s="440" t="s">
        <v>741</v>
      </c>
      <c r="C31" s="41" t="s">
        <v>29</v>
      </c>
      <c r="D31" s="367">
        <v>14</v>
      </c>
      <c r="E31" s="41">
        <v>208</v>
      </c>
      <c r="F31" s="794">
        <v>2200</v>
      </c>
      <c r="G31" s="367">
        <f t="shared" si="4"/>
        <v>49.18333333332703</v>
      </c>
      <c r="H31" s="367">
        <f t="shared" si="5"/>
        <v>2.049305555555293</v>
      </c>
      <c r="I31" s="759">
        <v>937.9</v>
      </c>
      <c r="J31" s="438">
        <f t="shared" si="6"/>
        <v>2385.9243055555557</v>
      </c>
      <c r="K31" s="439">
        <f>IF(C31&lt;&gt;"",DATE(6,7,12)+TIME(22,11,0),"")</f>
        <v>2385.9243055555557</v>
      </c>
      <c r="L31" s="438">
        <f t="shared" si="7"/>
        <v>2387.973611111111</v>
      </c>
      <c r="M31" s="439">
        <f>IF(E31&lt;&gt;"",DATE(6,7,14)+TIME(23,22,0),"")</f>
        <v>2387.973611111111</v>
      </c>
      <c r="N31" s="576"/>
      <c r="O31" s="442"/>
      <c r="P31" s="442"/>
      <c r="Q31" s="442"/>
      <c r="R31" s="443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  <c r="AC31" s="442"/>
      <c r="AD31" s="442"/>
    </row>
    <row r="32" spans="1:30" s="444" customFormat="1" ht="12.75" customHeight="1">
      <c r="A32" s="639"/>
      <c r="B32" s="601" t="s">
        <v>742</v>
      </c>
      <c r="C32" s="602" t="s">
        <v>29</v>
      </c>
      <c r="D32" s="374">
        <v>14</v>
      </c>
      <c r="E32" s="602">
        <v>208</v>
      </c>
      <c r="F32" s="799">
        <v>2200</v>
      </c>
      <c r="G32" s="357">
        <f t="shared" si="4"/>
        <v>82.18333333332703</v>
      </c>
      <c r="H32" s="357">
        <f t="shared" si="5"/>
        <v>3.424305555555293</v>
      </c>
      <c r="I32" s="760">
        <v>1264.5</v>
      </c>
      <c r="J32" s="603">
        <f t="shared" si="6"/>
        <v>2387.2159722222223</v>
      </c>
      <c r="K32" s="604">
        <f>IF(C32&lt;&gt;"",DATE(6,7,14)+TIME(5,11,0),"")</f>
        <v>2387.2159722222223</v>
      </c>
      <c r="L32" s="605">
        <f t="shared" si="7"/>
        <v>2390.6402777777776</v>
      </c>
      <c r="M32" s="606">
        <f>IF(E32&lt;&gt;"",DATE(6,7,17)+TIME(15,22,0),"")</f>
        <v>2390.6402777777776</v>
      </c>
      <c r="N32" s="607"/>
      <c r="O32" s="442"/>
      <c r="P32" s="442"/>
      <c r="Q32" s="442"/>
      <c r="R32" s="443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2"/>
    </row>
    <row r="33" spans="1:30" s="84" customFormat="1" ht="12.75" customHeight="1">
      <c r="A33" s="636">
        <v>4</v>
      </c>
      <c r="B33" s="539" t="s">
        <v>743</v>
      </c>
      <c r="C33" s="471" t="s">
        <v>29</v>
      </c>
      <c r="D33" s="472">
        <v>14</v>
      </c>
      <c r="E33" s="471">
        <v>208</v>
      </c>
      <c r="F33" s="800">
        <v>2200</v>
      </c>
      <c r="G33" s="650">
        <f>IF(L33&lt;&gt;0,(M33-K33)*24,"")</f>
        <v>217.54999999999927</v>
      </c>
      <c r="H33" s="650">
        <f>IF(L33&lt;&gt;0,G33/24,"")</f>
        <v>9.064583333333303</v>
      </c>
      <c r="I33" s="781">
        <v>1356</v>
      </c>
      <c r="J33" s="651">
        <f>IF(C33&lt;&gt;"",K33,"")</f>
        <v>2393.6666666666665</v>
      </c>
      <c r="K33" s="652">
        <f>IF(C33&lt;&gt;"",DATE(6,7,20)+TIME(16,0,0),"")</f>
        <v>2393.6666666666665</v>
      </c>
      <c r="L33" s="540">
        <f>IF(E33&lt;&gt;"",M33,"")</f>
        <v>2402.73125</v>
      </c>
      <c r="M33" s="541">
        <f>IF(E33&lt;&gt;"",DATE(6,7,29)+TIME(17,33,0),"")</f>
        <v>2402.73125</v>
      </c>
      <c r="N33" s="653"/>
      <c r="O33" s="82"/>
      <c r="P33" s="82"/>
      <c r="Q33" s="82"/>
      <c r="R33" s="83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</row>
    <row r="34" spans="1:30" s="84" customFormat="1" ht="24.75" customHeight="1">
      <c r="A34" s="641"/>
      <c r="B34" s="132" t="s">
        <v>744</v>
      </c>
      <c r="C34" s="133" t="s">
        <v>29</v>
      </c>
      <c r="D34" s="134">
        <v>14</v>
      </c>
      <c r="E34" s="133">
        <v>208</v>
      </c>
      <c r="F34" s="797">
        <v>2200</v>
      </c>
      <c r="G34" s="134">
        <f>IF(L34&lt;&gt;0,(M34-K34)*24,"")</f>
        <v>161.36666666666497</v>
      </c>
      <c r="H34" s="134">
        <f>IF(L34&lt;&gt;0,G34/24,"")</f>
        <v>6.72361111111104</v>
      </c>
      <c r="I34" s="782">
        <v>1386.1</v>
      </c>
      <c r="J34" s="655">
        <f>IF(C34&lt;&gt;"",K34,"")</f>
        <v>2406.551388888889</v>
      </c>
      <c r="K34" s="656">
        <f>IF(C34&lt;&gt;"",DATE(6,8,2)+TIME(13,14,0),"")</f>
        <v>2406.551388888889</v>
      </c>
      <c r="L34" s="655">
        <f>IF(E34&lt;&gt;"",M34,"")</f>
        <v>2413.275</v>
      </c>
      <c r="M34" s="656">
        <f>IF(E34&lt;&gt;"",DATE(6,8,9)+TIME(6,36,0),"")</f>
        <v>2413.275</v>
      </c>
      <c r="N34" s="657" t="s">
        <v>658</v>
      </c>
      <c r="O34" s="82"/>
      <c r="P34" s="82"/>
      <c r="Q34" s="82"/>
      <c r="R34" s="83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</row>
    <row r="35" spans="1:30" s="84" customFormat="1" ht="12.75" customHeight="1">
      <c r="A35" s="641"/>
      <c r="B35" s="132" t="s">
        <v>745</v>
      </c>
      <c r="C35" s="133" t="s">
        <v>29</v>
      </c>
      <c r="D35" s="134">
        <v>15</v>
      </c>
      <c r="E35" s="133">
        <v>208</v>
      </c>
      <c r="F35" s="797">
        <v>2199</v>
      </c>
      <c r="G35" s="134">
        <f>IF(L35&lt;&gt;0,(M35-K35)*24,"")</f>
        <v>107.61666666666133</v>
      </c>
      <c r="H35" s="134">
        <f>IF(L35&lt;&gt;0,G35/24,"")</f>
        <v>4.4840277777775555</v>
      </c>
      <c r="I35" s="782">
        <v>1433.2</v>
      </c>
      <c r="J35" s="655">
        <f>IF(C35&lt;&gt;"",K35,"")</f>
        <v>2408.6520833333334</v>
      </c>
      <c r="K35" s="656">
        <f>IF(C35&lt;&gt;"",DATE(6,8,4)+TIME(15,39,0),"")</f>
        <v>2408.6520833333334</v>
      </c>
      <c r="L35" s="655">
        <f>IF(E35&lt;&gt;"",M35,"")</f>
        <v>2413.136111111111</v>
      </c>
      <c r="M35" s="656">
        <f>IF(E35&lt;&gt;"",DATE(6,8,9)+TIME(3,16,0),"")</f>
        <v>2413.136111111111</v>
      </c>
      <c r="N35" s="664"/>
      <c r="O35" s="82"/>
      <c r="P35" s="82"/>
      <c r="Q35" s="82"/>
      <c r="R35" s="83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</row>
    <row r="36" spans="1:30" s="84" customFormat="1" ht="12.75" customHeight="1">
      <c r="A36" s="641"/>
      <c r="B36" s="683" t="s">
        <v>746</v>
      </c>
      <c r="C36" s="434" t="s">
        <v>29</v>
      </c>
      <c r="D36" s="134">
        <v>14</v>
      </c>
      <c r="E36" s="133">
        <v>208</v>
      </c>
      <c r="F36" s="797">
        <v>2200</v>
      </c>
      <c r="G36" s="435">
        <f>IF(L36&lt;&gt;0,(M36-K36)*24,"")</f>
        <v>47.700000000004366</v>
      </c>
      <c r="H36" s="435">
        <f>IF(L36&lt;&gt;0,G36/24,"")</f>
        <v>1.987500000000182</v>
      </c>
      <c r="I36" s="806">
        <v>1157.9</v>
      </c>
      <c r="J36" s="684">
        <f>IF(C36&lt;&gt;"",K36,"")</f>
        <v>2414.6402777777776</v>
      </c>
      <c r="K36" s="685">
        <f>IF(C36&lt;&gt;"",DATE(6,8,10)+TIME(15,22,0),"")</f>
        <v>2414.6402777777776</v>
      </c>
      <c r="L36" s="655">
        <f>IF(E36&lt;&gt;"",M36,"")</f>
        <v>2416.6277777777777</v>
      </c>
      <c r="M36" s="656">
        <f>IF(E36&lt;&gt;"",DATE(6,8,12)+TIME(15,4,0),"")</f>
        <v>2416.6277777777777</v>
      </c>
      <c r="N36" s="686"/>
      <c r="O36" s="82"/>
      <c r="P36" s="82"/>
      <c r="Q36" s="82"/>
      <c r="R36" s="83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</row>
    <row r="37" spans="1:30" s="84" customFormat="1" ht="12.75" customHeight="1">
      <c r="A37" s="638"/>
      <c r="B37" s="550" t="s">
        <v>769</v>
      </c>
      <c r="C37" s="691" t="s">
        <v>29</v>
      </c>
      <c r="D37" s="486">
        <v>14</v>
      </c>
      <c r="E37" s="691">
        <v>208</v>
      </c>
      <c r="F37" s="801">
        <v>2200</v>
      </c>
      <c r="G37" s="486">
        <f>IF(L37&lt;&gt;0,(M37-K37)*24,"")</f>
        <v>72.0666666666657</v>
      </c>
      <c r="H37" s="486">
        <f>IF(L37&lt;&gt;0,G37/24,"")</f>
        <v>3.0027777777777374</v>
      </c>
      <c r="I37" s="785">
        <v>1049</v>
      </c>
      <c r="J37" s="692">
        <f>IF(C37&lt;&gt;"",K37,"")</f>
        <v>2416.7361111111113</v>
      </c>
      <c r="K37" s="693">
        <f>IF(C37&lt;&gt;"",DATE(6,8,12)+TIME(17,40,0),"")</f>
        <v>2416.7361111111113</v>
      </c>
      <c r="L37" s="692">
        <f>IF(E37&lt;&gt;"",M37,"")</f>
        <v>2419.738888888889</v>
      </c>
      <c r="M37" s="693">
        <f>IF(E37&lt;&gt;"",DATE(6,8,15)+TIME(17,44,0),"")</f>
        <v>2419.738888888889</v>
      </c>
      <c r="N37" s="694" t="s">
        <v>695</v>
      </c>
      <c r="O37" s="82"/>
      <c r="P37" s="82"/>
      <c r="Q37" s="82"/>
      <c r="R37" s="83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</row>
    <row r="38" spans="2:30" s="84" customFormat="1" ht="6" customHeight="1">
      <c r="B38" s="16"/>
      <c r="C38" s="17"/>
      <c r="D38" s="18"/>
      <c r="E38" s="18"/>
      <c r="F38" s="792"/>
      <c r="G38" s="88"/>
      <c r="H38" s="88"/>
      <c r="I38" s="807"/>
      <c r="J38" s="89"/>
      <c r="K38" s="90"/>
      <c r="L38" s="91"/>
      <c r="M38" s="90"/>
      <c r="N38" s="92"/>
      <c r="O38" s="82"/>
      <c r="P38" s="82"/>
      <c r="Q38" s="82"/>
      <c r="R38" s="83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</row>
    <row r="39" spans="2:30" s="84" customFormat="1" ht="15" customHeight="1">
      <c r="B39" s="1231" t="s">
        <v>60</v>
      </c>
      <c r="C39" s="1232"/>
      <c r="D39" s="1232"/>
      <c r="E39" s="1232"/>
      <c r="F39" s="1233"/>
      <c r="G39" s="109">
        <f>SUM(G11:G37)</f>
        <v>1815.949999999997</v>
      </c>
      <c r="H39" s="109">
        <f>SUM(H11:H37)</f>
        <v>75.66458333333321</v>
      </c>
      <c r="I39" s="808" t="s">
        <v>6</v>
      </c>
      <c r="J39" s="93"/>
      <c r="K39" s="94"/>
      <c r="L39" s="93"/>
      <c r="M39" s="94"/>
      <c r="N39" s="95" t="s">
        <v>6</v>
      </c>
      <c r="O39" s="82"/>
      <c r="P39" s="82"/>
      <c r="Q39" s="82"/>
      <c r="R39" s="83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</row>
    <row r="40" spans="2:14" ht="12.75" customHeight="1">
      <c r="B40" s="32"/>
      <c r="C40" s="70"/>
      <c r="D40" s="30"/>
      <c r="E40" s="30"/>
      <c r="F40" s="802"/>
      <c r="G40" s="32"/>
      <c r="H40" s="32"/>
      <c r="I40" s="786"/>
      <c r="J40" s="35"/>
      <c r="K40" s="35"/>
      <c r="L40" s="35"/>
      <c r="M40" s="35"/>
      <c r="N40" s="36"/>
    </row>
    <row r="41" spans="2:14" ht="12.75" customHeight="1">
      <c r="B41" s="32"/>
      <c r="C41" s="32"/>
      <c r="D41" s="30"/>
      <c r="E41" s="30"/>
      <c r="F41" s="802"/>
      <c r="G41" s="32"/>
      <c r="H41" s="32"/>
      <c r="I41" s="786"/>
      <c r="J41" s="35"/>
      <c r="K41" s="35"/>
      <c r="L41" s="35"/>
      <c r="M41" s="35"/>
      <c r="N41" s="36"/>
    </row>
    <row r="42" spans="11:12" ht="12.75" customHeight="1">
      <c r="K42" s="38"/>
      <c r="L42" s="39"/>
    </row>
  </sheetData>
  <sheetProtection/>
  <mergeCells count="16">
    <mergeCell ref="N25:N26"/>
    <mergeCell ref="C25:C26"/>
    <mergeCell ref="G25:G26"/>
    <mergeCell ref="H25:H26"/>
    <mergeCell ref="L25:L26"/>
    <mergeCell ref="M25:M26"/>
    <mergeCell ref="B39:F39"/>
    <mergeCell ref="B5:N5"/>
    <mergeCell ref="A2:N2"/>
    <mergeCell ref="A1:N1"/>
    <mergeCell ref="A4:N4"/>
    <mergeCell ref="D25:D26"/>
    <mergeCell ref="E25:E26"/>
    <mergeCell ref="F25:F26"/>
    <mergeCell ref="J25:J26"/>
    <mergeCell ref="K25:K26"/>
  </mergeCells>
  <printOptions horizontalCentered="1"/>
  <pageMargins left="0.25" right="0.25" top="0.25" bottom="0.5" header="0" footer="0.25"/>
  <pageSetup orientation="landscape" r:id="rId1"/>
  <headerFooter alignWithMargins="0">
    <oddHeader>&amp;R
</oddHeader>
    <oddFooter>&amp;L&amp;"Arial,Regular"&amp;8&amp;F&amp;C&amp;"Arial,Regular"&amp;8Page &amp;P of &amp;N&amp;R&amp;"Arial,Regular"&amp;8M. Storms, 17 August 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Engineering &amp; Operations</dc:creator>
  <cp:keywords/>
  <dc:description/>
  <cp:lastModifiedBy>Connor Fisher</cp:lastModifiedBy>
  <cp:lastPrinted>2011-07-10T15:59:55Z</cp:lastPrinted>
  <dcterms:created xsi:type="dcterms:W3CDTF">1998-11-03T16:38:10Z</dcterms:created>
  <dcterms:modified xsi:type="dcterms:W3CDTF">2011-07-29T18:04:11Z</dcterms:modified>
  <cp:category/>
  <cp:version/>
  <cp:contentType/>
  <cp:contentStatus/>
</cp:coreProperties>
</file>