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ml.chartshapes+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dpetkew\Documents\Projects\SCOUR\"/>
    </mc:Choice>
  </mc:AlternateContent>
  <bookViews>
    <workbookView xWindow="0" yWindow="0" windowWidth="22845" windowHeight="8790" tabRatio="931"/>
  </bookViews>
  <sheets>
    <sheet name="Introduction" sheetId="1" r:id="rId1"/>
    <sheet name="Site Info" sheetId="2" r:id="rId2"/>
    <sheet name="CW Abutment Scour" sheetId="4" r:id="rId3"/>
    <sheet name="CW Contraction Scour" sheetId="5" r:id="rId4"/>
    <sheet name="LB Contraction Scour" sheetId="6" r:id="rId5"/>
    <sheet name="Pier Scour" sheetId="7" r:id="rId6"/>
    <sheet name="Penetration Table" sheetId="8" r:id="rId7"/>
    <sheet name="Penetration Table (K500)" sheetId="13" r:id="rId8"/>
    <sheet name="EQUATIONS" sheetId="9" r:id="rId9"/>
    <sheet name="GRAPHS" sheetId="10" r:id="rId10"/>
    <sheet name="Graph Data" sheetId="11" r:id="rId11"/>
    <sheet name="Data Base" sheetId="12" r:id="rId12"/>
  </sheets>
  <definedNames>
    <definedName name="_Toc503705814" localSheetId="0">Introduction!$G$59</definedName>
    <definedName name="_xlnm.Print_Area" localSheetId="3">'CW Contraction Scour'!$B$2:$P$80</definedName>
    <definedName name="_xlnm.Print_Area" localSheetId="11">'Data Base'!$A$1:$AW$30</definedName>
    <definedName name="_xlnm.Print_Area" localSheetId="8">EQUATIONS!$A$1:$L$148</definedName>
    <definedName name="_xlnm.Print_Area" localSheetId="10">'Graph Data'!$A$1:$V$206</definedName>
    <definedName name="_xlnm.Print_Area" localSheetId="0">Introduction!$A$1:$AB$71</definedName>
    <definedName name="_xlnm.Print_Area" localSheetId="6">'Penetration Table'!$A$1:$Q$67</definedName>
    <definedName name="_xlnm.Print_Area" localSheetId="7">'Penetration Table (K500)'!$A$1:$Q$67</definedName>
    <definedName name="_xlnm.Print_Area" localSheetId="1">'Site Info'!$B$2:$P$181</definedName>
    <definedName name="Z_1D46CCF0_D0A9_4A4B_AB32_CC50C778381E_.wvu.Cols" localSheetId="2" hidden="1">'CW Abutment Scour'!$S:$AC</definedName>
    <definedName name="Z_1D46CCF0_D0A9_4A4B_AB32_CC50C778381E_.wvu.Cols" localSheetId="3" hidden="1">'CW Contraction Scour'!$R:$U</definedName>
    <definedName name="Z_1D46CCF0_D0A9_4A4B_AB32_CC50C778381E_.wvu.Cols" localSheetId="4" hidden="1">'LB Contraction Scour'!$R:$AB</definedName>
    <definedName name="Z_1D46CCF0_D0A9_4A4B_AB32_CC50C778381E_.wvu.Cols" localSheetId="6" hidden="1">'Penetration Table'!$S:$S</definedName>
    <definedName name="Z_1D46CCF0_D0A9_4A4B_AB32_CC50C778381E_.wvu.Cols" localSheetId="7" hidden="1">'Penetration Table (K500)'!$S:$S</definedName>
    <definedName name="Z_1D46CCF0_D0A9_4A4B_AB32_CC50C778381E_.wvu.Cols" localSheetId="5" hidden="1">'Pier Scour'!$P:$R</definedName>
    <definedName name="Z_1D46CCF0_D0A9_4A4B_AB32_CC50C778381E_.wvu.Cols" localSheetId="1" hidden="1">'Site Info'!$R:$R</definedName>
    <definedName name="Z_1D46CCF0_D0A9_4A4B_AB32_CC50C778381E_.wvu.PrintArea" localSheetId="3" hidden="1">'CW Contraction Scour'!$B$2:$P$80</definedName>
    <definedName name="Z_1D46CCF0_D0A9_4A4B_AB32_CC50C778381E_.wvu.PrintArea" localSheetId="11" hidden="1">'Data Base'!$A$1:$AW$30</definedName>
    <definedName name="Z_1D46CCF0_D0A9_4A4B_AB32_CC50C778381E_.wvu.PrintArea" localSheetId="8" hidden="1">EQUATIONS!$A$1:$L$148</definedName>
    <definedName name="Z_1D46CCF0_D0A9_4A4B_AB32_CC50C778381E_.wvu.PrintArea" localSheetId="10" hidden="1">'Graph Data'!$A$1:$V$206</definedName>
    <definedName name="Z_1D46CCF0_D0A9_4A4B_AB32_CC50C778381E_.wvu.PrintArea" localSheetId="0" hidden="1">Introduction!$A$1:$AB$71</definedName>
    <definedName name="Z_1D46CCF0_D0A9_4A4B_AB32_CC50C778381E_.wvu.PrintArea" localSheetId="6" hidden="1">'Penetration Table'!$A$1:$Q$67</definedName>
    <definedName name="Z_1D46CCF0_D0A9_4A4B_AB32_CC50C778381E_.wvu.PrintArea" localSheetId="7" hidden="1">'Penetration Table (K500)'!$A$1:$Q$67</definedName>
    <definedName name="Z_1D46CCF0_D0A9_4A4B_AB32_CC50C778381E_.wvu.PrintArea" localSheetId="1" hidden="1">'Site Info'!$B$2:$P$181</definedName>
  </definedNames>
  <calcPr calcId="152511"/>
  <customWorkbookViews>
    <customWorkbookView name="Gurley, Laura N - Personal View" guid="{1D46CCF0-D0A9-4A4B-AB32-CC50C778381E}" mergeInterval="0" personalView="1" xWindow="60" windowWidth="1857" windowHeight="1002" tabRatio="931" activeSheetId="2"/>
  </customWorkbookViews>
</workbook>
</file>

<file path=xl/calcChain.xml><?xml version="1.0" encoding="utf-8"?>
<calcChain xmlns="http://schemas.openxmlformats.org/spreadsheetml/2006/main">
  <c r="E42" i="13" l="1"/>
  <c r="E38" i="13"/>
  <c r="H5" i="7" l="1"/>
  <c r="E11" i="7"/>
  <c r="L10" i="7"/>
  <c r="I10" i="7"/>
  <c r="E10" i="7"/>
  <c r="I9" i="7"/>
  <c r="L8" i="7"/>
  <c r="I8" i="7"/>
  <c r="E8" i="7"/>
  <c r="H6" i="7"/>
  <c r="E6" i="7"/>
  <c r="L5" i="7"/>
  <c r="E5" i="7"/>
  <c r="F22" i="11" l="1"/>
  <c r="AG27" i="12" l="1"/>
  <c r="AE26" i="12"/>
  <c r="W19" i="12"/>
  <c r="Y19" i="12"/>
  <c r="X19" i="12"/>
  <c r="U12" i="12"/>
  <c r="V12" i="12"/>
  <c r="W12" i="12"/>
  <c r="X12" i="12"/>
  <c r="AW5" i="12"/>
  <c r="AL5" i="12"/>
  <c r="AM5" i="12"/>
  <c r="AN5" i="12"/>
  <c r="AO5" i="12"/>
  <c r="AP5" i="12"/>
  <c r="AQ5" i="12"/>
  <c r="AR5" i="12"/>
  <c r="AS5" i="12"/>
  <c r="AT5" i="12"/>
  <c r="AU5" i="12"/>
  <c r="AV5" i="12"/>
  <c r="L147" i="2" l="1"/>
  <c r="H39" i="7"/>
  <c r="J40" i="7"/>
  <c r="I40" i="7"/>
  <c r="H40" i="7"/>
  <c r="G40" i="7"/>
  <c r="F40" i="7"/>
  <c r="J39" i="7"/>
  <c r="I39" i="7"/>
  <c r="G39" i="7"/>
  <c r="F39" i="7"/>
  <c r="J37" i="7"/>
  <c r="J38" i="7" s="1"/>
  <c r="J36" i="7"/>
  <c r="I36" i="7"/>
  <c r="I37" i="7" s="1"/>
  <c r="I38" i="7" s="1"/>
  <c r="H36" i="7"/>
  <c r="H37" i="7" s="1"/>
  <c r="H38" i="7" s="1"/>
  <c r="G36" i="7"/>
  <c r="G37" i="7" s="1"/>
  <c r="G38" i="7" s="1"/>
  <c r="F36" i="7"/>
  <c r="F37" i="7" s="1"/>
  <c r="F38" i="7" s="1"/>
  <c r="G41" i="7" l="1"/>
  <c r="G42" i="7" s="1"/>
  <c r="G44" i="7" s="1"/>
  <c r="H41" i="7"/>
  <c r="H42" i="7" s="1"/>
  <c r="H44" i="7" s="1"/>
  <c r="I41" i="7"/>
  <c r="I42" i="7" s="1"/>
  <c r="I44" i="7" s="1"/>
  <c r="F41" i="7"/>
  <c r="F42" i="7" s="1"/>
  <c r="F44" i="7" s="1"/>
  <c r="J41" i="7"/>
  <c r="J42" i="7" s="1"/>
  <c r="J44" i="7" s="1"/>
  <c r="M45" i="5" l="1"/>
  <c r="K45" i="5"/>
  <c r="J140" i="4" l="1"/>
  <c r="L142" i="2" l="1"/>
  <c r="I142" i="2"/>
  <c r="M89" i="4"/>
  <c r="J89" i="4" l="1"/>
  <c r="J88" i="2" l="1"/>
  <c r="I72" i="2"/>
  <c r="M56" i="2"/>
  <c r="M55" i="2"/>
  <c r="M54" i="2"/>
  <c r="M34" i="2"/>
  <c r="M33" i="2"/>
  <c r="M32" i="2"/>
  <c r="C42" i="13" l="1"/>
  <c r="C41" i="13"/>
  <c r="C40" i="13"/>
  <c r="C39" i="13"/>
  <c r="C38" i="13"/>
  <c r="D12" i="13"/>
  <c r="J11" i="13"/>
  <c r="D11" i="13"/>
  <c r="N10" i="13"/>
  <c r="J10" i="13"/>
  <c r="H40" i="13" s="1"/>
  <c r="J9" i="13"/>
  <c r="D9" i="13"/>
  <c r="N8" i="13"/>
  <c r="I6" i="13"/>
  <c r="D6" i="13"/>
  <c r="N5" i="13"/>
  <c r="I5" i="13"/>
  <c r="D5" i="13"/>
  <c r="G38" i="13" l="1"/>
  <c r="G42" i="13"/>
  <c r="J40" i="13"/>
  <c r="L144" i="2"/>
  <c r="I144" i="2"/>
  <c r="H26" i="2"/>
  <c r="I147" i="2" l="1"/>
  <c r="L20" i="6"/>
  <c r="J18" i="5"/>
  <c r="L116" i="2"/>
  <c r="O50" i="4" s="1"/>
  <c r="I116" i="2"/>
  <c r="L50" i="4" s="1"/>
  <c r="L117" i="2"/>
  <c r="K21" i="4"/>
  <c r="I141" i="2" l="1"/>
  <c r="I117" i="2"/>
  <c r="J99" i="2"/>
  <c r="J100" i="2"/>
  <c r="I100" i="2"/>
  <c r="K116" i="2"/>
  <c r="N50" i="4" s="1"/>
  <c r="H116" i="2"/>
  <c r="K50" i="4" s="1"/>
  <c r="M29" i="2"/>
  <c r="M51" i="2"/>
  <c r="M28" i="2"/>
  <c r="M50" i="2"/>
  <c r="H29" i="2"/>
  <c r="H51" i="2"/>
  <c r="I99" i="2" l="1"/>
  <c r="H48" i="2"/>
  <c r="J21" i="4" l="1"/>
  <c r="K20" i="6"/>
  <c r="I18" i="5"/>
  <c r="I103" i="2"/>
  <c r="S106" i="11" l="1"/>
  <c r="S105" i="11"/>
  <c r="S104" i="11"/>
  <c r="S103" i="11"/>
  <c r="V104" i="11" l="1"/>
  <c r="V105" i="11"/>
  <c r="V106" i="11"/>
  <c r="V107" i="11"/>
  <c r="V108" i="11"/>
  <c r="V109" i="11"/>
  <c r="V110" i="11"/>
  <c r="V111" i="11"/>
  <c r="V103" i="11"/>
  <c r="H26" i="12" l="1"/>
  <c r="H27" i="12"/>
  <c r="H28" i="12"/>
  <c r="H29" i="12"/>
  <c r="H30" i="12"/>
  <c r="L119" i="2" l="1"/>
  <c r="O53" i="4" s="1"/>
  <c r="L118" i="2"/>
  <c r="O52" i="4" s="1"/>
  <c r="O51" i="4"/>
  <c r="I119" i="2"/>
  <c r="L53" i="4" s="1"/>
  <c r="I118" i="2"/>
  <c r="L52" i="4" s="1"/>
  <c r="L51" i="4"/>
  <c r="J102" i="2"/>
  <c r="L23" i="6" s="1"/>
  <c r="J101" i="2"/>
  <c r="L22" i="6" s="1"/>
  <c r="J19" i="5"/>
  <c r="J20" i="5" l="1"/>
  <c r="K23" i="4"/>
  <c r="J21" i="5"/>
  <c r="K22" i="4"/>
  <c r="L21" i="6"/>
  <c r="K24" i="4"/>
  <c r="L141" i="2"/>
  <c r="B26" i="12" l="1"/>
  <c r="C26" i="12"/>
  <c r="D26" i="12"/>
  <c r="E26" i="12"/>
  <c r="F26" i="12"/>
  <c r="G26" i="12"/>
  <c r="I26" i="12"/>
  <c r="J26" i="12"/>
  <c r="K26" i="12"/>
  <c r="L26" i="12"/>
  <c r="M26" i="12"/>
  <c r="N26" i="12"/>
  <c r="O26" i="12"/>
  <c r="P26" i="12"/>
  <c r="V26" i="12" s="1"/>
  <c r="Q26" i="12"/>
  <c r="AB26" i="12"/>
  <c r="AD26" i="12"/>
  <c r="AF26" i="12"/>
  <c r="AH26" i="12"/>
  <c r="AI26" i="12"/>
  <c r="AM26" i="12"/>
  <c r="AO26" i="12"/>
  <c r="B27" i="12"/>
  <c r="C27" i="12"/>
  <c r="D27" i="12"/>
  <c r="E27" i="12"/>
  <c r="F27" i="12"/>
  <c r="G27" i="12"/>
  <c r="I27" i="12"/>
  <c r="J27" i="12"/>
  <c r="K27" i="12"/>
  <c r="L27" i="12"/>
  <c r="M27" i="12"/>
  <c r="N27" i="12"/>
  <c r="O27" i="12"/>
  <c r="P27" i="12"/>
  <c r="U27" i="12" s="1"/>
  <c r="Q27" i="12"/>
  <c r="AB27" i="12"/>
  <c r="AD27" i="12"/>
  <c r="AE27" i="12"/>
  <c r="AH27" i="12"/>
  <c r="AI27" i="12"/>
  <c r="AM27" i="12"/>
  <c r="AO27" i="12"/>
  <c r="B28" i="12"/>
  <c r="C28" i="12"/>
  <c r="D28" i="12"/>
  <c r="E28" i="12"/>
  <c r="F28" i="12"/>
  <c r="G28" i="12"/>
  <c r="I28" i="12"/>
  <c r="J28" i="12"/>
  <c r="K28" i="12"/>
  <c r="L28" i="12"/>
  <c r="M28" i="12"/>
  <c r="N28" i="12"/>
  <c r="O28" i="12"/>
  <c r="P28" i="12"/>
  <c r="T28" i="12" s="1"/>
  <c r="Q28" i="12"/>
  <c r="AB28" i="12"/>
  <c r="AD28" i="12"/>
  <c r="AE28" i="12"/>
  <c r="AF28" i="12"/>
  <c r="AG28" i="12"/>
  <c r="AM28" i="12"/>
  <c r="AO28" i="12"/>
  <c r="B29" i="12"/>
  <c r="C29" i="12"/>
  <c r="D29" i="12"/>
  <c r="E29" i="12"/>
  <c r="F29" i="12"/>
  <c r="G29" i="12"/>
  <c r="I29" i="12"/>
  <c r="J29" i="12"/>
  <c r="K29" i="12"/>
  <c r="L29" i="12"/>
  <c r="M29" i="12"/>
  <c r="N29" i="12"/>
  <c r="O29" i="12"/>
  <c r="P29" i="12"/>
  <c r="S29" i="12" s="1"/>
  <c r="Q29" i="12"/>
  <c r="AB29" i="12"/>
  <c r="AD29" i="12"/>
  <c r="AE29" i="12"/>
  <c r="AH29" i="12"/>
  <c r="AI29" i="12"/>
  <c r="AM29" i="12"/>
  <c r="AO29" i="12"/>
  <c r="B30" i="12"/>
  <c r="C30" i="12"/>
  <c r="D30" i="12"/>
  <c r="E30" i="12"/>
  <c r="F30" i="12"/>
  <c r="G30" i="12"/>
  <c r="I30" i="12"/>
  <c r="J30" i="12"/>
  <c r="K30" i="12"/>
  <c r="L30" i="12"/>
  <c r="M30" i="12"/>
  <c r="N30" i="12"/>
  <c r="O30" i="12"/>
  <c r="P30" i="12"/>
  <c r="V30" i="12" s="1"/>
  <c r="Q30" i="12"/>
  <c r="AB30" i="12"/>
  <c r="AD30" i="12"/>
  <c r="AF30" i="12"/>
  <c r="AH30" i="12"/>
  <c r="AI30" i="12"/>
  <c r="AM30" i="12"/>
  <c r="AO30" i="12"/>
  <c r="T29" i="12" l="1"/>
  <c r="U29" i="12"/>
  <c r="U28" i="12"/>
  <c r="S30" i="12"/>
  <c r="U30" i="12"/>
  <c r="T30" i="12"/>
  <c r="R30" i="12"/>
  <c r="R29" i="12"/>
  <c r="V29" i="12"/>
  <c r="S28" i="12"/>
  <c r="R28" i="12"/>
  <c r="V28" i="12"/>
  <c r="R27" i="12"/>
  <c r="V27" i="12"/>
  <c r="S27" i="12"/>
  <c r="T27" i="12"/>
  <c r="S26" i="12"/>
  <c r="T26" i="12"/>
  <c r="U26" i="12"/>
  <c r="R26" i="12"/>
  <c r="S5" i="12"/>
  <c r="R5" i="12"/>
  <c r="Q5" i="12"/>
  <c r="J11" i="4" l="1"/>
  <c r="K119" i="2"/>
  <c r="O86" i="2" l="1"/>
  <c r="H119" i="2"/>
  <c r="J124" i="2" l="1"/>
  <c r="H118" i="2" l="1"/>
  <c r="N68" i="2"/>
  <c r="K118" i="2"/>
  <c r="J5" i="12" l="1"/>
  <c r="L19" i="12"/>
  <c r="L12" i="12"/>
  <c r="K19" i="12"/>
  <c r="K12" i="12"/>
  <c r="L5" i="12"/>
  <c r="K5" i="12"/>
  <c r="J11" i="8"/>
  <c r="J11" i="6"/>
  <c r="J11" i="5"/>
  <c r="T110" i="11" l="1"/>
  <c r="U110" i="11"/>
  <c r="AA28" i="12" l="1"/>
  <c r="AA30" i="12"/>
  <c r="AA29" i="12"/>
  <c r="AA27" i="12"/>
  <c r="AA26" i="12"/>
  <c r="J10" i="8" l="1"/>
  <c r="H40" i="8" s="1"/>
  <c r="AH28" i="12" s="1"/>
  <c r="J10" i="6"/>
  <c r="J10" i="5"/>
  <c r="J10" i="4"/>
  <c r="J40" i="8" l="1"/>
  <c r="N64" i="4"/>
  <c r="AJ28" i="12" l="1"/>
  <c r="U111" i="11"/>
  <c r="U109" i="11"/>
  <c r="U108" i="11"/>
  <c r="U107" i="11"/>
  <c r="U106" i="11"/>
  <c r="U105" i="11"/>
  <c r="U104" i="11"/>
  <c r="U103" i="11"/>
  <c r="H204" i="11" l="1"/>
  <c r="H203" i="11"/>
  <c r="H202" i="11"/>
  <c r="H201" i="11"/>
  <c r="H200" i="11"/>
  <c r="H199" i="11"/>
  <c r="H198" i="11"/>
  <c r="H197" i="11"/>
  <c r="H196" i="11"/>
  <c r="G204" i="11"/>
  <c r="G203" i="11"/>
  <c r="G202" i="11"/>
  <c r="G201" i="11"/>
  <c r="G200" i="11"/>
  <c r="G199" i="11"/>
  <c r="G198" i="11"/>
  <c r="G197" i="11"/>
  <c r="G196" i="11"/>
  <c r="C5" i="10" l="1"/>
  <c r="AV5" i="10" s="1"/>
  <c r="M10" i="6"/>
  <c r="AM5" i="10" l="1"/>
  <c r="U5" i="10"/>
  <c r="AD5" i="10"/>
  <c r="L5" i="10"/>
  <c r="N11" i="4" l="1"/>
  <c r="I161" i="11" l="1"/>
  <c r="I162" i="11"/>
  <c r="I163" i="11"/>
  <c r="I164" i="11"/>
  <c r="I160" i="11"/>
  <c r="H160" i="11"/>
  <c r="H161" i="11"/>
  <c r="H162" i="11"/>
  <c r="H163" i="11"/>
  <c r="H164" i="11"/>
  <c r="H159" i="11"/>
  <c r="G159" i="11"/>
  <c r="G160" i="11"/>
  <c r="G161" i="11"/>
  <c r="G162" i="11"/>
  <c r="G163" i="11"/>
  <c r="G164" i="11"/>
  <c r="G158" i="11"/>
  <c r="F158" i="11"/>
  <c r="F159" i="11"/>
  <c r="F160" i="11"/>
  <c r="F161" i="11"/>
  <c r="F162" i="11"/>
  <c r="F163" i="11"/>
  <c r="F164" i="11"/>
  <c r="F157" i="11"/>
  <c r="E157" i="11"/>
  <c r="E158" i="11"/>
  <c r="E159" i="11"/>
  <c r="E160" i="11"/>
  <c r="E161" i="11"/>
  <c r="E162" i="11"/>
  <c r="E163" i="11"/>
  <c r="E164" i="11"/>
  <c r="E156" i="11"/>
  <c r="V161" i="11"/>
  <c r="V160" i="11"/>
  <c r="U161" i="11"/>
  <c r="U160" i="11"/>
  <c r="U159" i="11"/>
  <c r="R161" i="11"/>
  <c r="R160" i="11"/>
  <c r="R159" i="11"/>
  <c r="R158" i="11"/>
  <c r="R157" i="11"/>
  <c r="R156" i="11"/>
  <c r="T161" i="11"/>
  <c r="S161" i="11"/>
  <c r="T160" i="11"/>
  <c r="S160" i="11"/>
  <c r="T159" i="11"/>
  <c r="S159" i="11"/>
  <c r="T158" i="11"/>
  <c r="S158" i="11"/>
  <c r="S157" i="11"/>
  <c r="W28" i="12" l="1"/>
  <c r="C41" i="8"/>
  <c r="C39" i="8"/>
  <c r="I102" i="2"/>
  <c r="I21" i="5" s="1"/>
  <c r="R12" i="12" s="1"/>
  <c r="I101" i="2"/>
  <c r="K52" i="4"/>
  <c r="AA5" i="12" s="1"/>
  <c r="K53" i="4"/>
  <c r="AB5" i="12" s="1"/>
  <c r="N52" i="4"/>
  <c r="AG5" i="12" s="1"/>
  <c r="N53" i="4"/>
  <c r="AH5" i="12" s="1"/>
  <c r="N9" i="4"/>
  <c r="K117" i="2"/>
  <c r="K121" i="2" s="1"/>
  <c r="H117" i="2"/>
  <c r="H121" i="2" s="1"/>
  <c r="G19" i="12"/>
  <c r="G12" i="12"/>
  <c r="F19" i="12"/>
  <c r="F12" i="12"/>
  <c r="T185" i="11"/>
  <c r="T184" i="11"/>
  <c r="T183" i="11"/>
  <c r="T182" i="11"/>
  <c r="T181" i="11"/>
  <c r="T180" i="11"/>
  <c r="T179" i="11"/>
  <c r="T178" i="11"/>
  <c r="T177" i="11"/>
  <c r="T176" i="11"/>
  <c r="T175" i="11"/>
  <c r="T174" i="11"/>
  <c r="D12" i="8"/>
  <c r="D11" i="8"/>
  <c r="F12" i="6"/>
  <c r="F11" i="6"/>
  <c r="F12" i="5"/>
  <c r="F11" i="5"/>
  <c r="F13" i="4"/>
  <c r="G5" i="12" s="1"/>
  <c r="F12" i="4"/>
  <c r="F5" i="12" s="1"/>
  <c r="C42" i="8"/>
  <c r="E42" i="8" s="1"/>
  <c r="N19" i="12"/>
  <c r="N12" i="12"/>
  <c r="M19" i="12"/>
  <c r="M12" i="12"/>
  <c r="J19" i="12"/>
  <c r="J12" i="12"/>
  <c r="I12" i="12"/>
  <c r="I19" i="12"/>
  <c r="N5" i="12"/>
  <c r="M10" i="5"/>
  <c r="N5" i="8"/>
  <c r="N10" i="8"/>
  <c r="N8" i="8"/>
  <c r="J9" i="8"/>
  <c r="I6" i="8"/>
  <c r="I5" i="8"/>
  <c r="D9" i="8"/>
  <c r="D5" i="8"/>
  <c r="D6" i="8"/>
  <c r="T109" i="11"/>
  <c r="T108" i="11"/>
  <c r="T107" i="11"/>
  <c r="T106" i="11"/>
  <c r="T105" i="11"/>
  <c r="T104" i="11"/>
  <c r="T103" i="11"/>
  <c r="R106" i="11"/>
  <c r="R105" i="11"/>
  <c r="R104" i="11"/>
  <c r="R103" i="11"/>
  <c r="G184" i="11"/>
  <c r="G183" i="11"/>
  <c r="G182" i="11"/>
  <c r="G176" i="11"/>
  <c r="G177" i="11"/>
  <c r="G178" i="11"/>
  <c r="G179" i="11"/>
  <c r="G180" i="11"/>
  <c r="G181" i="11"/>
  <c r="G185" i="11"/>
  <c r="G175" i="11"/>
  <c r="G174" i="11"/>
  <c r="C40" i="8"/>
  <c r="C38" i="8"/>
  <c r="E38" i="8" s="1"/>
  <c r="M8" i="6"/>
  <c r="J9" i="6"/>
  <c r="F9" i="6"/>
  <c r="M13" i="6" s="1"/>
  <c r="I7" i="6"/>
  <c r="D19" i="12" s="1"/>
  <c r="F7" i="6"/>
  <c r="C19" i="12" s="1"/>
  <c r="M6" i="6"/>
  <c r="H19" i="12" s="1"/>
  <c r="I6" i="6"/>
  <c r="E19" i="12" s="1"/>
  <c r="F6" i="6"/>
  <c r="B19" i="12" s="1"/>
  <c r="M8" i="5"/>
  <c r="J9" i="5"/>
  <c r="F9" i="5"/>
  <c r="I7" i="5"/>
  <c r="D12" i="12" s="1"/>
  <c r="F7" i="5"/>
  <c r="C12" i="12" s="1"/>
  <c r="M6" i="5"/>
  <c r="H12" i="12" s="1"/>
  <c r="I6" i="5"/>
  <c r="E12" i="12" s="1"/>
  <c r="F6" i="5"/>
  <c r="B12" i="12" s="1"/>
  <c r="J9" i="4"/>
  <c r="F10" i="4"/>
  <c r="M14" i="4" s="1"/>
  <c r="N6" i="4"/>
  <c r="H5" i="12" s="1"/>
  <c r="I7" i="4"/>
  <c r="D5" i="12" s="1"/>
  <c r="I6" i="4"/>
  <c r="E5" i="12" s="1"/>
  <c r="F7" i="4"/>
  <c r="C5" i="12" s="1"/>
  <c r="F6" i="4"/>
  <c r="B5" i="12" s="1"/>
  <c r="C1" i="10"/>
  <c r="L1" i="10" s="1"/>
  <c r="C2" i="10"/>
  <c r="C3" i="10"/>
  <c r="C4" i="10"/>
  <c r="AM4" i="10" s="1"/>
  <c r="J83" i="11"/>
  <c r="F83" i="11"/>
  <c r="M12" i="5" l="1"/>
  <c r="O12" i="12" s="1"/>
  <c r="O19" i="12"/>
  <c r="M14" i="6"/>
  <c r="X30" i="12"/>
  <c r="X29" i="12"/>
  <c r="X28" i="12"/>
  <c r="X27" i="12"/>
  <c r="X26" i="12"/>
  <c r="W30" i="12"/>
  <c r="W29" i="12"/>
  <c r="W27" i="12"/>
  <c r="W26" i="12"/>
  <c r="K54" i="4"/>
  <c r="N51" i="4"/>
  <c r="AF5" i="12" s="1"/>
  <c r="N54" i="4"/>
  <c r="G38" i="8"/>
  <c r="AG26" i="12" s="1"/>
  <c r="G42" i="8"/>
  <c r="AG30" i="12" s="1"/>
  <c r="M5" i="12"/>
  <c r="K51" i="4"/>
  <c r="Z5" i="12" s="1"/>
  <c r="M15" i="4"/>
  <c r="P5" i="12" s="1"/>
  <c r="O5" i="12"/>
  <c r="I5" i="12"/>
  <c r="K23" i="6"/>
  <c r="S19" i="12" s="1"/>
  <c r="J24" i="4"/>
  <c r="V5" i="12" s="1"/>
  <c r="L4" i="10"/>
  <c r="U4" i="10"/>
  <c r="AM3" i="10"/>
  <c r="U3" i="10"/>
  <c r="AD3" i="10"/>
  <c r="AV3" i="10" s="1"/>
  <c r="L3" i="10"/>
  <c r="AM2" i="10"/>
  <c r="U2" i="10"/>
  <c r="AM1" i="10"/>
  <c r="U1" i="10"/>
  <c r="AD4" i="10"/>
  <c r="AV4" i="10" s="1"/>
  <c r="AD1" i="10"/>
  <c r="AV1" i="10" s="1"/>
  <c r="AD2" i="10"/>
  <c r="AV2" i="10" s="1"/>
  <c r="L2" i="10"/>
  <c r="F5" i="11"/>
  <c r="J5" i="11"/>
  <c r="I20" i="5"/>
  <c r="Q12" i="12" s="1"/>
  <c r="K22" i="6"/>
  <c r="R19" i="12" s="1"/>
  <c r="J23" i="4"/>
  <c r="U5" i="12" s="1"/>
  <c r="F13" i="9" l="1"/>
  <c r="Z27" i="12"/>
  <c r="Z28" i="12"/>
  <c r="Z30" i="12"/>
  <c r="Z26" i="12"/>
  <c r="J22" i="4"/>
  <c r="T5" i="12" s="1"/>
  <c r="P19" i="12"/>
  <c r="H64" i="9"/>
  <c r="H91" i="9"/>
  <c r="F64" i="9"/>
  <c r="F91" i="9"/>
  <c r="K21" i="6"/>
  <c r="Q19" i="12" s="1"/>
  <c r="I19" i="5"/>
  <c r="P12" i="12" s="1"/>
  <c r="H11" i="9"/>
  <c r="H21" i="9"/>
  <c r="F11" i="9"/>
  <c r="F21" i="9"/>
  <c r="AC5" i="12"/>
  <c r="H23" i="9"/>
  <c r="F14" i="11"/>
  <c r="F23" i="9"/>
  <c r="J13" i="11"/>
  <c r="H22" i="9"/>
  <c r="J14" i="11"/>
  <c r="F22" i="9"/>
  <c r="F12" i="9"/>
  <c r="H12" i="9"/>
  <c r="F13" i="11"/>
  <c r="AI5" i="12"/>
  <c r="H13" i="9"/>
  <c r="K24" i="6" l="1"/>
  <c r="L26" i="6" s="1"/>
  <c r="J25" i="4"/>
  <c r="I22" i="5"/>
  <c r="Z29" i="12"/>
  <c r="H89" i="9"/>
  <c r="H90" i="9" s="1"/>
  <c r="H87" i="9"/>
  <c r="H88" i="9" s="1"/>
  <c r="F89" i="9"/>
  <c r="F90" i="9" s="1"/>
  <c r="F87" i="9"/>
  <c r="F88" i="9" s="1"/>
  <c r="F62" i="9"/>
  <c r="F63" i="9" s="1"/>
  <c r="F60" i="9"/>
  <c r="F61" i="9" s="1"/>
  <c r="H60" i="9"/>
  <c r="H61" i="9" s="1"/>
  <c r="H62" i="9"/>
  <c r="H63" i="9" s="1"/>
  <c r="K56" i="4"/>
  <c r="AD5" i="12" s="1"/>
  <c r="J86" i="4"/>
  <c r="M86" i="4"/>
  <c r="N56" i="4"/>
  <c r="AJ5" i="12" s="1"/>
  <c r="H92" i="9"/>
  <c r="F92" i="9"/>
  <c r="H65" i="9"/>
  <c r="F65" i="9"/>
  <c r="L54" i="6" l="1"/>
  <c r="L58" i="6" s="1"/>
  <c r="L51" i="6"/>
  <c r="F47" i="9"/>
  <c r="H47" i="9"/>
  <c r="AC26" i="12"/>
  <c r="AC28" i="12"/>
  <c r="AC29" i="12"/>
  <c r="AC27" i="12"/>
  <c r="AC30" i="12"/>
  <c r="K40" i="8"/>
  <c r="AK28" i="12" s="1"/>
  <c r="G12" i="11"/>
  <c r="G13" i="11"/>
  <c r="M38" i="11"/>
  <c r="M39" i="11"/>
  <c r="J48" i="11"/>
  <c r="J38" i="11"/>
  <c r="J39" i="11"/>
  <c r="M48" i="11"/>
  <c r="M49" i="11"/>
  <c r="J49" i="11"/>
  <c r="K58" i="4"/>
  <c r="AE5" i="12" s="1"/>
  <c r="K12" i="11"/>
  <c r="N58" i="4"/>
  <c r="AK5" i="12" s="1"/>
  <c r="K13" i="11"/>
  <c r="F38" i="11"/>
  <c r="F48" i="11"/>
  <c r="C38" i="11"/>
  <c r="F39" i="11"/>
  <c r="C39" i="11"/>
  <c r="F49" i="11"/>
  <c r="C48" i="11"/>
  <c r="H35" i="9"/>
  <c r="F35" i="9"/>
  <c r="H45" i="9"/>
  <c r="F45" i="9"/>
  <c r="F140" i="9"/>
  <c r="K43" i="5" s="1"/>
  <c r="H140" i="9"/>
  <c r="M43" i="5" s="1"/>
  <c r="C49" i="11"/>
  <c r="F37" i="9"/>
  <c r="J22" i="11"/>
  <c r="H93" i="9"/>
  <c r="H94" i="9" s="1"/>
  <c r="H46" i="9"/>
  <c r="W5" i="12"/>
  <c r="F46" i="9"/>
  <c r="H66" i="9"/>
  <c r="H67" i="9" s="1"/>
  <c r="F23" i="11"/>
  <c r="F66" i="9"/>
  <c r="F93" i="9"/>
  <c r="H36" i="9"/>
  <c r="F36" i="9"/>
  <c r="H37" i="9"/>
  <c r="J23" i="11"/>
  <c r="F76" i="11"/>
  <c r="F77" i="11"/>
  <c r="U19" i="12"/>
  <c r="T19" i="12"/>
  <c r="L27" i="6"/>
  <c r="V19" i="12" s="1"/>
  <c r="K77" i="11"/>
  <c r="K76" i="11"/>
  <c r="J63" i="11"/>
  <c r="F141" i="9"/>
  <c r="S12" i="12"/>
  <c r="J62" i="11"/>
  <c r="H142" i="9"/>
  <c r="F142" i="9"/>
  <c r="I23" i="5" s="1"/>
  <c r="T12" i="12" s="1"/>
  <c r="F63" i="11"/>
  <c r="H141" i="9"/>
  <c r="F62" i="11"/>
  <c r="K40" i="13" l="1"/>
  <c r="J87" i="4"/>
  <c r="M87" i="4"/>
  <c r="J27" i="4"/>
  <c r="X5" i="12" s="1"/>
  <c r="F94" i="9"/>
  <c r="G76" i="11"/>
  <c r="G75" i="11"/>
  <c r="L62" i="6"/>
  <c r="I40" i="13" s="1"/>
  <c r="G104" i="9"/>
  <c r="G75" i="9"/>
  <c r="H75" i="9" s="1"/>
  <c r="G77" i="9"/>
  <c r="H77" i="9" s="1"/>
  <c r="G103" i="9"/>
  <c r="G100" i="9"/>
  <c r="G76" i="9"/>
  <c r="H76" i="9" s="1"/>
  <c r="F67" i="9"/>
  <c r="G102" i="9"/>
  <c r="G101" i="9"/>
  <c r="G73" i="9"/>
  <c r="H73" i="9" s="1"/>
  <c r="G74" i="9"/>
  <c r="H74" i="9" s="1"/>
  <c r="M49" i="5"/>
  <c r="K49" i="5"/>
  <c r="P40" i="13" l="1"/>
  <c r="N40" i="13"/>
  <c r="L40" i="13"/>
  <c r="I40" i="8"/>
  <c r="AI28" i="12" s="1"/>
  <c r="G22" i="11"/>
  <c r="G21" i="11"/>
  <c r="K21" i="11"/>
  <c r="K22" i="11"/>
  <c r="J28" i="4"/>
  <c r="Y5" i="12" s="1"/>
  <c r="H103" i="9"/>
  <c r="H102" i="9"/>
  <c r="H101" i="9"/>
  <c r="H104" i="9"/>
  <c r="H100" i="9"/>
  <c r="L75" i="11"/>
  <c r="L76" i="11"/>
  <c r="G61" i="11"/>
  <c r="G62" i="11"/>
  <c r="K61" i="11"/>
  <c r="K62" i="11"/>
  <c r="P40" i="8" l="1"/>
  <c r="AP28" i="12" s="1"/>
  <c r="N40" i="8"/>
  <c r="AN28" i="12" s="1"/>
  <c r="L40" i="8"/>
  <c r="AL28" i="12" s="1"/>
  <c r="M93" i="4"/>
  <c r="J93" i="4"/>
  <c r="M92" i="4"/>
  <c r="J92" i="4"/>
  <c r="J95" i="4" l="1"/>
  <c r="J99" i="4" s="1"/>
  <c r="M95" i="4"/>
  <c r="M99" i="4" s="1"/>
  <c r="K38" i="11"/>
  <c r="K37" i="11"/>
  <c r="N37" i="11"/>
  <c r="N38" i="11"/>
  <c r="K47" i="11"/>
  <c r="K48" i="11"/>
  <c r="N48" i="11"/>
  <c r="N47" i="11"/>
  <c r="G38" i="11"/>
  <c r="G37" i="11"/>
  <c r="D48" i="11"/>
  <c r="D47" i="11"/>
  <c r="D38" i="11"/>
  <c r="D37" i="11"/>
  <c r="G47" i="11"/>
  <c r="G48" i="11"/>
  <c r="M103" i="4" l="1"/>
  <c r="J103" i="4"/>
  <c r="J92" i="11"/>
  <c r="H126" i="9"/>
  <c r="H122" i="9"/>
  <c r="J91" i="11"/>
  <c r="J38" i="13" l="1"/>
  <c r="J42" i="13"/>
  <c r="F91" i="11"/>
  <c r="H123" i="9"/>
  <c r="F127" i="9"/>
  <c r="F126" i="9"/>
  <c r="F123" i="9"/>
  <c r="H127" i="9"/>
  <c r="J42" i="8"/>
  <c r="AJ30" i="12" s="1"/>
  <c r="AE30" i="12"/>
  <c r="F122" i="9"/>
  <c r="F92" i="11"/>
  <c r="M139" i="4"/>
  <c r="M140" i="4" l="1"/>
  <c r="K91" i="11"/>
  <c r="F41" i="13"/>
  <c r="J38" i="8"/>
  <c r="AJ26" i="12" s="1"/>
  <c r="K42" i="13"/>
  <c r="L42" i="13" s="1"/>
  <c r="K38" i="13"/>
  <c r="L38" i="13" s="1"/>
  <c r="J139" i="4"/>
  <c r="F41" i="8"/>
  <c r="K90" i="11"/>
  <c r="K42" i="8"/>
  <c r="L42" i="8" s="1"/>
  <c r="K38" i="8" l="1"/>
  <c r="AK30" i="12"/>
  <c r="AL30" i="12"/>
  <c r="P42" i="13"/>
  <c r="G41" i="13"/>
  <c r="J41" i="13"/>
  <c r="K41" i="13" s="1"/>
  <c r="N38" i="13"/>
  <c r="P38" i="13"/>
  <c r="F39" i="8"/>
  <c r="J39" i="8" s="1"/>
  <c r="F39" i="13"/>
  <c r="G91" i="11"/>
  <c r="G90" i="11"/>
  <c r="J41" i="8"/>
  <c r="AJ29" i="12" s="1"/>
  <c r="AF29" i="12"/>
  <c r="P42" i="8"/>
  <c r="AP30" i="12" s="1"/>
  <c r="N42" i="8"/>
  <c r="AN30" i="12" s="1"/>
  <c r="G41" i="8"/>
  <c r="AG29" i="12" s="1"/>
  <c r="N42" i="13" l="1"/>
  <c r="L39" i="8"/>
  <c r="L38" i="8"/>
  <c r="G39" i="8"/>
  <c r="AF27" i="12"/>
  <c r="AK26" i="12"/>
  <c r="AJ27" i="12"/>
  <c r="K39" i="8"/>
  <c r="AK27" i="12" s="1"/>
  <c r="G39" i="13"/>
  <c r="J39" i="13"/>
  <c r="K39" i="13" s="1"/>
  <c r="L41" i="13"/>
  <c r="P41" i="13" s="1"/>
  <c r="K41" i="8"/>
  <c r="AK29" i="12" s="1"/>
  <c r="N41" i="13" l="1"/>
  <c r="AL26" i="12"/>
  <c r="P38" i="8"/>
  <c r="AP26" i="12" s="1"/>
  <c r="N38" i="8"/>
  <c r="AN26" i="12" s="1"/>
  <c r="AL27" i="12"/>
  <c r="N39" i="8"/>
  <c r="AN27" i="12" s="1"/>
  <c r="P39" i="8"/>
  <c r="AP27" i="12" s="1"/>
  <c r="L39" i="13"/>
  <c r="N39" i="13" s="1"/>
  <c r="L41" i="8"/>
  <c r="AL29" i="12" s="1"/>
  <c r="P39" i="13" l="1"/>
  <c r="N41" i="8"/>
  <c r="AN29" i="12" s="1"/>
  <c r="P41" i="8"/>
  <c r="AP29" i="12" s="1"/>
</calcChain>
</file>

<file path=xl/comments1.xml><?xml version="1.0" encoding="utf-8"?>
<comments xmlns="http://schemas.openxmlformats.org/spreadsheetml/2006/main">
  <authors>
    <author>Stephen T Benedict</author>
  </authors>
  <commentList>
    <comment ref="I10" authorId="0" shapeId="0">
      <text>
        <r>
          <rPr>
            <sz val="9"/>
            <color indexed="81"/>
            <rFont val="Tahoma"/>
            <family val="2"/>
          </rPr>
          <t xml:space="preserve">A relief bridge will be assumed to have no defined channel with clear-water scour conditions prevailing.
</t>
        </r>
      </text>
    </comment>
    <comment ref="I11" authorId="0" shapeId="0">
      <text>
        <r>
          <rPr>
            <sz val="9"/>
            <color indexed="81"/>
            <rFont val="Tahoma"/>
            <family val="2"/>
          </rPr>
          <t xml:space="preserve">Answering "Yes" will assume that clear-water scour conditions prevail across the entire bridge opening and that live-bed contraction scour will not apply to the channel.
</t>
        </r>
      </text>
    </comment>
    <comment ref="I70" authorId="0" shapeId="0">
      <text>
        <r>
          <rPr>
            <sz val="9"/>
            <color indexed="81"/>
            <rFont val="Tahoma"/>
            <family val="2"/>
          </rPr>
          <t>Data must be entered by hand.</t>
        </r>
      </text>
    </comment>
    <comment ref="I71" authorId="0" shapeId="0">
      <text>
        <r>
          <rPr>
            <sz val="9"/>
            <color indexed="81"/>
            <rFont val="Tahoma"/>
            <family val="2"/>
          </rPr>
          <t>Data must be entered by hand.</t>
        </r>
      </text>
    </comment>
    <comment ref="J86" authorId="0" shapeId="0">
      <text>
        <r>
          <rPr>
            <sz val="9"/>
            <color indexed="81"/>
            <rFont val="Tahoma"/>
            <family val="2"/>
          </rPr>
          <t>Data must be entered by hand.</t>
        </r>
      </text>
    </comment>
    <comment ref="J87" authorId="0" shapeId="0">
      <text>
        <r>
          <rPr>
            <sz val="9"/>
            <color indexed="81"/>
            <rFont val="Tahoma"/>
            <family val="2"/>
          </rPr>
          <t>Data must be entered by hand.</t>
        </r>
      </text>
    </comment>
  </commentList>
</comments>
</file>

<file path=xl/comments2.xml><?xml version="1.0" encoding="utf-8"?>
<comments xmlns="http://schemas.openxmlformats.org/spreadsheetml/2006/main">
  <authors>
    <author>Stephen T Benedict</author>
    <author>Gurley, Laura N</author>
  </authors>
  <commentList>
    <comment ref="I10" authorId="0" shapeId="0">
      <text>
        <r>
          <rPr>
            <sz val="9"/>
            <color indexed="81"/>
            <rFont val="Tahoma"/>
            <family val="2"/>
          </rPr>
          <t xml:space="preserve">A relief bridge will be assumed to have no defined channel with clear-water scour conditions prevailing.
</t>
        </r>
      </text>
    </comment>
    <comment ref="I11" authorId="0" shapeId="0">
      <text>
        <r>
          <rPr>
            <sz val="9"/>
            <color indexed="81"/>
            <rFont val="Tahoma"/>
            <family val="2"/>
          </rPr>
          <t xml:space="preserve">Answering "Yes" will assume that clear-water scour conditions prevail and that live-bed contraction scour will not apply to the channel.
</t>
        </r>
      </text>
    </comment>
    <comment ref="E88" authorId="1" shapeId="0">
      <text>
        <r>
          <rPr>
            <b/>
            <sz val="9"/>
            <color indexed="81"/>
            <rFont val="Tahoma"/>
            <family val="2"/>
          </rPr>
          <t>Gurley, Laura N:</t>
        </r>
        <r>
          <rPr>
            <sz val="9"/>
            <color indexed="81"/>
            <rFont val="Tahoma"/>
            <family val="2"/>
          </rPr>
          <t xml:space="preserve">
The user can choose:
(1) Automatic Calculation - "Selected original abutment-scour depth" is based on Guidance below.
(2) Embankment Length - "Selected original abutment-scour depth" is based on the orginal abutment-scour depth by embankment length curve.
(3) Geometric-Contraction Ratio - "Selected original abutment-scour depth" is based on the original abutment-scour depth by geometric contraction ratio curve.</t>
        </r>
      </text>
    </comment>
    <comment ref="E94" authorId="1" shapeId="0">
      <text>
        <r>
          <rPr>
            <b/>
            <sz val="9"/>
            <color indexed="81"/>
            <rFont val="Tahoma"/>
            <family val="2"/>
          </rPr>
          <t>Gurley, Laura N:</t>
        </r>
        <r>
          <rPr>
            <sz val="9"/>
            <color indexed="81"/>
            <rFont val="Tahoma"/>
            <family val="2"/>
          </rPr>
          <t xml:space="preserve">
The user can choose:
(1) Automatic Calculation - "Selected modified abutment-scour depth" is based on Guidance below.
(2) Embankment Length Category - "Selected modified abutment-scour depth" is based on the modified abutment-scour by embankment length category curve.
(3) Interpolation - "Selected modified abutment-scour depth" is based on the modified abutment-scour depth by interpolation.</t>
        </r>
      </text>
    </comment>
    <comment ref="E98" authorId="1" shapeId="0">
      <text>
        <r>
          <rPr>
            <b/>
            <sz val="9"/>
            <color indexed="81"/>
            <rFont val="Tahoma"/>
            <family val="2"/>
          </rPr>
          <t>Gurley, Laura N:</t>
        </r>
        <r>
          <rPr>
            <sz val="9"/>
            <color indexed="81"/>
            <rFont val="Tahoma"/>
            <family val="2"/>
          </rPr>
          <t xml:space="preserve">
The user can choose:
(1) Automatic Selection - "Final selected clear water abutment-scour depth" is based on Guidance below.
(2) Original Curve Selection - "Final selected clear water abutment-scour depth" is based on the orginal abutment-scour depth selection, above.
(3) Modified Curve Selection - "Final selected clear water abutment-scour depth" is based on the modified abutment-scour depth selection, above.</t>
        </r>
      </text>
    </comment>
  </commentList>
</comments>
</file>

<file path=xl/comments3.xml><?xml version="1.0" encoding="utf-8"?>
<comments xmlns="http://schemas.openxmlformats.org/spreadsheetml/2006/main">
  <authors>
    <author>Stephen T Benedict</author>
  </authors>
  <commentList>
    <comment ref="I10" authorId="0" shapeId="0">
      <text>
        <r>
          <rPr>
            <sz val="9"/>
            <color indexed="81"/>
            <rFont val="Tahoma"/>
            <family val="2"/>
          </rPr>
          <t xml:space="preserve">A relief bridge will be assumed to have no defined channel with clear-water scour conditions prevailing.
</t>
        </r>
      </text>
    </comment>
    <comment ref="I11" authorId="0" shapeId="0">
      <text>
        <r>
          <rPr>
            <sz val="9"/>
            <color indexed="81"/>
            <rFont val="Tahoma"/>
            <family val="2"/>
          </rPr>
          <t xml:space="preserve">Answering "Yes" will assume that clear-water scour conditions prevail and that live-bed contraction scour will not apply to the channel.
</t>
        </r>
      </text>
    </comment>
  </commentList>
</comments>
</file>

<file path=xl/comments4.xml><?xml version="1.0" encoding="utf-8"?>
<comments xmlns="http://schemas.openxmlformats.org/spreadsheetml/2006/main">
  <authors>
    <author>Stephen T Benedict</author>
    <author>Gurley, Laura N</author>
  </authors>
  <commentList>
    <comment ref="I10" authorId="0" shapeId="0">
      <text>
        <r>
          <rPr>
            <sz val="9"/>
            <color indexed="81"/>
            <rFont val="Tahoma"/>
            <family val="2"/>
          </rPr>
          <t xml:space="preserve">A relief bridge will be assumed to have no defined channel with clear-water scour conditions prevailing.
</t>
        </r>
      </text>
    </comment>
    <comment ref="I11" authorId="0" shapeId="0">
      <text>
        <r>
          <rPr>
            <sz val="9"/>
            <color indexed="81"/>
            <rFont val="Tahoma"/>
            <family val="2"/>
          </rPr>
          <t xml:space="preserve">Answering "Yes" will assume that clear-water scour conditions prevail and that live-bed contraction scour will not apply to the channel.
</t>
        </r>
      </text>
    </comment>
    <comment ref="E57" authorId="1" shapeId="0">
      <text>
        <r>
          <rPr>
            <b/>
            <sz val="9"/>
            <color indexed="81"/>
            <rFont val="Tahoma"/>
            <family val="2"/>
          </rPr>
          <t>Gurley, Laura N:</t>
        </r>
        <r>
          <rPr>
            <sz val="9"/>
            <color indexed="81"/>
            <rFont val="Tahoma"/>
            <family val="2"/>
          </rPr>
          <t xml:space="preserve">
The user can choose:
(1) Automatic Selection - "Final selected live-bed contraction-scour depth" is based on Guidance below.
(2) Original Curve Selection - "Final selected live-bed contraction-scour depth" is based on the orginal live-bed contraction-scour depth selection, above.
(3) Modified Curve Selection - "Final selected live-bed contraction-scour depth" is based on the modified live-bed contraction-scour depth selection, above.</t>
        </r>
      </text>
    </comment>
  </commentList>
</comments>
</file>

<file path=xl/comments5.xml><?xml version="1.0" encoding="utf-8"?>
<comments xmlns="http://schemas.openxmlformats.org/spreadsheetml/2006/main">
  <authors>
    <author>Stephen T Benedict</author>
    <author>Stephen Benedict</author>
    <author>Petkewich, Matthew D.</author>
  </authors>
  <commentList>
    <comment ref="H9" authorId="0" shapeId="0">
      <text>
        <r>
          <rPr>
            <sz val="9"/>
            <color indexed="81"/>
            <rFont val="Tahoma"/>
            <family val="2"/>
          </rPr>
          <t xml:space="preserve">A relief bridge will be assumed to have no defined channel with clear-water scour conditions prevailing.
</t>
        </r>
      </text>
    </comment>
    <comment ref="H10" authorId="0" shapeId="0">
      <text>
        <r>
          <rPr>
            <sz val="9"/>
            <color indexed="81"/>
            <rFont val="Tahoma"/>
            <family val="2"/>
          </rPr>
          <t xml:space="preserve">Answering "Yes" will assume that clear-water scour conditions prevail and that live-bed contraction scour will not apply to the channel.
</t>
        </r>
      </text>
    </comment>
    <comment ref="C28" authorId="1" shapeId="0">
      <text>
        <r>
          <rPr>
            <sz val="9"/>
            <color indexed="81"/>
            <rFont val="Tahoma"/>
            <family val="2"/>
          </rPr>
          <t>Definition of pier location:
Left Abutment - LABUT
Left Overbank - LOB
Channel - CH
Right Overbank - ROB
Right Abutment - RABUT</t>
        </r>
        <r>
          <rPr>
            <b/>
            <sz val="11"/>
            <color indexed="81"/>
            <rFont val="Tahoma"/>
            <family val="2"/>
          </rPr>
          <t xml:space="preserve">
</t>
        </r>
      </text>
    </comment>
    <comment ref="C29" authorId="0" shapeId="0">
      <text>
        <r>
          <rPr>
            <sz val="9"/>
            <color indexed="81"/>
            <rFont val="Arial"/>
            <family val="2"/>
          </rPr>
          <t>The type of pier or bent is for information only and is not used in the computation of pier-scour depth.</t>
        </r>
        <r>
          <rPr>
            <sz val="9"/>
            <color indexed="81"/>
            <rFont val="Tahoma"/>
            <family val="2"/>
          </rPr>
          <t xml:space="preserve">
</t>
        </r>
      </text>
    </comment>
    <comment ref="C30" authorId="1" shapeId="0">
      <text>
        <r>
          <rPr>
            <sz val="9"/>
            <color indexed="81"/>
            <rFont val="Tahoma"/>
            <family val="2"/>
          </rPr>
          <t xml:space="preserve">Select the envelope curve equation to be used for a given pier by selecting one of the following from the dropdown menu:
</t>
        </r>
        <r>
          <rPr>
            <u/>
            <sz val="9"/>
            <color indexed="81"/>
            <rFont val="Tahoma"/>
            <family val="2"/>
          </rPr>
          <t>The user can select "Automatically Calculate":</t>
        </r>
        <r>
          <rPr>
            <sz val="9"/>
            <color indexed="81"/>
            <rFont val="Tahoma"/>
            <family val="2"/>
          </rPr>
          <t xml:space="preserve">
1) </t>
        </r>
        <r>
          <rPr>
            <u/>
            <sz val="9"/>
            <color indexed="81"/>
            <rFont val="Tahoma"/>
            <family val="2"/>
          </rPr>
          <t>Automatically Calculate</t>
        </r>
        <r>
          <rPr>
            <sz val="9"/>
            <color indexed="81"/>
            <rFont val="Tahoma"/>
            <family val="2"/>
          </rPr>
          <t xml:space="preserve">:  With this selection, the spreadsheet will automatically determine the appropriate envelope curve using the following criteria:
    - for pier widths less than or equal to 6 feet and in the </t>
        </r>
        <r>
          <rPr>
            <u/>
            <sz val="9"/>
            <color indexed="81"/>
            <rFont val="Tahoma"/>
            <family val="2"/>
          </rPr>
          <t>abutment and overbank areas</t>
        </r>
        <r>
          <rPr>
            <sz val="9"/>
            <color indexed="81"/>
            <rFont val="Tahoma"/>
            <family val="2"/>
          </rPr>
          <t xml:space="preserve">, the spreadsheet will select the maximum value between the South Carolina clear-water envelope curve and the Pier Scour Database 2014 envelope curve.
    - for pier widths less than or equal to 6 feet and in the </t>
        </r>
        <r>
          <rPr>
            <u/>
            <sz val="9"/>
            <color indexed="81"/>
            <rFont val="Tahoma"/>
            <family val="2"/>
          </rPr>
          <t>channel area</t>
        </r>
        <r>
          <rPr>
            <sz val="9"/>
            <color indexed="81"/>
            <rFont val="Tahoma"/>
            <family val="2"/>
          </rPr>
          <t xml:space="preserve">, the spreadsheet will select the maximum value between the South Carolina
       live-bed envelope curve and the Pier Scour Database 2014 envelope curve.
    - for pier widths greater than 6 feet and in the </t>
        </r>
        <r>
          <rPr>
            <u/>
            <sz val="9"/>
            <color indexed="81"/>
            <rFont val="Tahoma"/>
            <family val="2"/>
          </rPr>
          <t>abutment, overbank, or channel area</t>
        </r>
        <r>
          <rPr>
            <sz val="9"/>
            <color indexed="81"/>
            <rFont val="Tahoma"/>
            <family val="2"/>
          </rPr>
          <t xml:space="preserve">, the spreadsheet will select the Pier Scour Database 2014 envelope curve.
    - NOTE: The Pier Scour Database 2014 envelope curve was developed for pier widths equal to or less than 15 feet. "Automatically calculate" will select the Pier Scour Database 2014 envelope curve to calculate pier scour, although caution should be used with this scour result. Pier width and Final scour cells will be shaded red if pier width exceeds 15 feet.
</t>
        </r>
        <r>
          <rPr>
            <u/>
            <sz val="9"/>
            <color indexed="81"/>
            <rFont val="Tahoma"/>
            <family val="2"/>
          </rPr>
          <t xml:space="preserve">The user can also select one of the following envelope curves for calculating pier scour: </t>
        </r>
        <r>
          <rPr>
            <sz val="9"/>
            <color indexed="81"/>
            <rFont val="Tahoma"/>
            <family val="2"/>
          </rPr>
          <t xml:space="preserve">
2) South Carolina </t>
        </r>
        <r>
          <rPr>
            <u/>
            <sz val="9"/>
            <color indexed="81"/>
            <rFont val="Tahoma"/>
            <family val="2"/>
          </rPr>
          <t>clear-water envelope</t>
        </r>
        <r>
          <rPr>
            <sz val="9"/>
            <color indexed="81"/>
            <rFont val="Tahoma"/>
            <family val="2"/>
          </rPr>
          <t xml:space="preserve"> curve for overbank piers with pier widths less than or equal to 6 ft. (from USGS Report SIR 2005-5289)
3) South Carolina </t>
        </r>
        <r>
          <rPr>
            <u/>
            <sz val="9"/>
            <color indexed="81"/>
            <rFont val="Tahoma"/>
            <family val="2"/>
          </rPr>
          <t>live-bed envelope</t>
        </r>
        <r>
          <rPr>
            <sz val="9"/>
            <color indexed="81"/>
            <rFont val="Tahoma"/>
            <family val="2"/>
          </rPr>
          <t xml:space="preserve"> curve for channel piers with pier widths less than or equal to 6 ft. (from USGS Report SIR 2009-5099)
4) Pier Scour Database 2014 (PSDb-2014) envelope curve. (Benedict and others, 2016)
5) </t>
        </r>
        <r>
          <rPr>
            <u/>
            <sz val="9"/>
            <color indexed="81"/>
            <rFont val="Tahoma"/>
            <family val="2"/>
          </rPr>
          <t>2.5b envelope</t>
        </r>
        <r>
          <rPr>
            <sz val="9"/>
            <color indexed="81"/>
            <rFont val="Tahoma"/>
            <family val="2"/>
          </rPr>
          <t xml:space="preserve"> curve for any pier location and pier widths of any size. (NCHRP Web Document 175: Evaluation of Bridge Scour Research:
Pier Scour Processes and Predictions (Ettema and others, 2011))</t>
        </r>
        <r>
          <rPr>
            <b/>
            <sz val="11"/>
            <color indexed="81"/>
            <rFont val="Tahoma"/>
            <family val="2"/>
          </rPr>
          <t xml:space="preserve">
</t>
        </r>
      </text>
    </comment>
    <comment ref="C31" authorId="1" shapeId="0">
      <text>
        <r>
          <rPr>
            <sz val="9"/>
            <color indexed="81"/>
            <rFont val="Tahoma"/>
            <family val="2"/>
          </rPr>
          <t xml:space="preserve">Pier width is the width at the upstream face of the pier or bent.
If pier width is greater than 15 ft the cell will be highlighted in red to flag the user that it is beyond the limits of the South Carolina and PSDb-2014 pier-scour envelope curves.  
If there is no pier or bent in the area of interest leave pier width cell blank.
</t>
        </r>
      </text>
    </comment>
    <comment ref="C32" authorId="1" shapeId="0">
      <text>
        <r>
          <rPr>
            <sz val="9"/>
            <color indexed="81"/>
            <rFont val="Tahoma"/>
            <family val="2"/>
          </rPr>
          <t xml:space="preserve">For multiple-column piers, the pier length is the summation of length for each column </t>
        </r>
        <r>
          <rPr>
            <sz val="9"/>
            <color indexed="10"/>
            <rFont val="Tahoma"/>
            <family val="2"/>
          </rPr>
          <t>based on the guidance in HEC-18.</t>
        </r>
        <r>
          <rPr>
            <sz val="9"/>
            <color indexed="81"/>
            <rFont val="Tahoma"/>
            <family val="2"/>
          </rPr>
          <t xml:space="preserve">
NOTE:  Pier length should not be smaller than pier width.  Cell will be shaded red for this condition.</t>
        </r>
      </text>
    </comment>
    <comment ref="C33" authorId="1" shapeId="0">
      <text>
        <r>
          <rPr>
            <sz val="9"/>
            <color indexed="81"/>
            <rFont val="Tahoma"/>
            <family val="2"/>
          </rPr>
          <t xml:space="preserve">Angle of attack should be based on high flow conditions and should not exceed 90 degrees.  In most cases the available data will be limited requiring judgment in determining this value.
</t>
        </r>
      </text>
    </comment>
    <comment ref="C34" authorId="1" shapeId="0">
      <text>
        <r>
          <rPr>
            <sz val="9"/>
            <color indexed="81"/>
            <rFont val="Tahoma"/>
            <family val="2"/>
          </rPr>
          <t xml:space="preserve">The columns should be approximately circular or square and all of similar size.  Judgment must be used when columns significantly vary in size.
</t>
        </r>
        <r>
          <rPr>
            <b/>
            <sz val="9"/>
            <color indexed="10"/>
            <rFont val="Tahoma"/>
            <family val="2"/>
          </rPr>
          <t>NOTE:</t>
        </r>
        <r>
          <rPr>
            <sz val="9"/>
            <color indexed="10"/>
            <rFont val="Tahoma"/>
            <family val="2"/>
          </rPr>
          <t xml:space="preserve"> This value will influence the calculation of the skew coefficient and it is important to select the correct value. If the pier is a single column this cell should be set to "No" and the minimum spacing between columns should be set to 0 feet.  If the pier is a multiple column this cell should be set to "Yes" and the minimum spacing between columns should be set to a value greater than 0 feet. The cell will be shaded red if it violates this condition.</t>
        </r>
      </text>
    </comment>
    <comment ref="C35" authorId="1" shapeId="0">
      <text>
        <r>
          <rPr>
            <sz val="9"/>
            <color indexed="81"/>
            <rFont val="Tahoma"/>
            <family val="2"/>
          </rPr>
          <t xml:space="preserve">Minimum spacing is from center to center of the 2 closest columns. Approximate value can be obtained by taking the curb-to-curb distance from the SCDOT bridge database and divide by the number of spacings between piles or columns.
Enter a value of 0 feet if single column.
</t>
        </r>
        <r>
          <rPr>
            <b/>
            <sz val="9"/>
            <color indexed="10"/>
            <rFont val="Tahoma"/>
            <family val="2"/>
          </rPr>
          <t>NOTE: This value will influence the calculation of the skew coefficient and it is important to enter the correct value. If the pier is a single column this cell should be set to 0 feet.  If the pier is a multiple column this cell should be set to a value greater than 0 feet.  The cell will be shaded red if it violates this condition.</t>
        </r>
      </text>
    </comment>
    <comment ref="C36" authorId="1" shapeId="0">
      <text>
        <r>
          <rPr>
            <sz val="9"/>
            <color indexed="81"/>
            <rFont val="Tahoma"/>
            <family val="2"/>
          </rPr>
          <t xml:space="preserve">The ratio should range from 2 to 10.  Beyond these limits, judgment must be used to determine the best skew coefficient.  If the ratio is outside of the limits the cell will be shaded in red.
</t>
        </r>
      </text>
    </comment>
    <comment ref="C37" authorId="1" shapeId="0">
      <text>
        <r>
          <rPr>
            <b/>
            <sz val="11"/>
            <color indexed="81"/>
            <rFont val="Tahoma"/>
            <family val="2"/>
          </rPr>
          <t xml:space="preserve">The ratio of pier length to pier width must be between 1 and 12.  If it is less than 1 the spreadsheet equation sets it to 1.  If it exceeds 12 it is set to 12.
</t>
        </r>
        <r>
          <rPr>
            <sz val="9"/>
            <color indexed="81"/>
            <rFont val="Tahoma"/>
            <family val="2"/>
          </rPr>
          <t>If the equation provides a value less than 1 the skew coefficient should be set to 1.  The spreadsheet will check this limit and set the coefficient to 1 if need be.</t>
        </r>
        <r>
          <rPr>
            <sz val="11"/>
            <color indexed="81"/>
            <rFont val="Tahoma"/>
            <family val="2"/>
          </rPr>
          <t xml:space="preserve">
If the pier is a multiple column bent with a column width less than or equal to 2.3 ft and a spacing to column width ratio of 5 or greater, and has a skew of 15 degrees or less, Benedict and others (2016) indicates that the skew coefficient can be set to a value of 1.0.  This is done automatically in the spreadsheet.
</t>
        </r>
        <r>
          <rPr>
            <sz val="11"/>
            <color indexed="10"/>
            <rFont val="Tahoma"/>
            <family val="2"/>
          </rPr>
          <t>Additionally, HEC-18 (Arneson and others, 2012) recommends limiting the skew coefficient to 1.2 for multiple column bents with a column spacing of 5 or greater.   The spreadsheet will check this limit and set the coefficient to 1.2 if need be.</t>
        </r>
      </text>
    </comment>
    <comment ref="C38" authorId="1" shapeId="0">
      <text>
        <r>
          <rPr>
            <sz val="10"/>
            <color indexed="81"/>
            <rFont val="Tahoma"/>
            <family val="2"/>
          </rPr>
          <t>This value is automatically selected from the cell above, but can be overridden by typing a desired value in the cell.</t>
        </r>
        <r>
          <rPr>
            <sz val="10"/>
            <color indexed="10"/>
            <rFont val="Tahoma"/>
            <family val="2"/>
          </rPr>
          <t xml:space="preserve">  Based on guidance in HEC-18 (Arneson and other, 2012) this value should not exceed 5.0. If computed value exceeds 5.0, the value will be set to 5.0, unless overridden by user.</t>
        </r>
        <r>
          <rPr>
            <sz val="9"/>
            <color indexed="81"/>
            <rFont val="Tahoma"/>
            <family val="2"/>
          </rPr>
          <t xml:space="preserve">
</t>
        </r>
      </text>
    </comment>
    <comment ref="C39" authorId="0" shapeId="0">
      <text>
        <r>
          <rPr>
            <sz val="9"/>
            <color indexed="81"/>
            <rFont val="Tahoma"/>
            <family val="2"/>
          </rPr>
          <t>Spreadsheet will automatically verify the envelope curve used to compute pier scour.</t>
        </r>
      </text>
    </comment>
    <comment ref="C40" authorId="1" shapeId="0">
      <text>
        <r>
          <rPr>
            <sz val="9"/>
            <color indexed="81"/>
            <rFont val="Tahoma"/>
            <family val="2"/>
          </rPr>
          <t xml:space="preserve">Pier scour depth is calculated from selected envelope curve.
</t>
        </r>
      </text>
    </comment>
    <comment ref="C42" authorId="2" shapeId="0">
      <text>
        <r>
          <rPr>
            <sz val="9"/>
            <color indexed="81"/>
            <rFont val="Tahoma"/>
            <family val="2"/>
          </rPr>
          <t xml:space="preserve">This value is automatically selected from the cell above, but can be overridden by typing a desired value in the cell.
</t>
        </r>
      </text>
    </comment>
  </commentList>
</comments>
</file>

<file path=xl/comments6.xml><?xml version="1.0" encoding="utf-8"?>
<comments xmlns="http://schemas.openxmlformats.org/spreadsheetml/2006/main">
  <authors>
    <author>Stephen T Benedict</author>
    <author>Petkewich, Matthew D.</author>
    <author>Stephen Benedict</author>
  </authors>
  <commentList>
    <comment ref="I10" authorId="0" shapeId="0">
      <text>
        <r>
          <rPr>
            <sz val="9"/>
            <color indexed="81"/>
            <rFont val="Tahoma"/>
            <family val="2"/>
          </rPr>
          <t xml:space="preserve">A relief bridge will be assumed to have no defined channel with clear-water scour conditions prevailing.
</t>
        </r>
      </text>
    </comment>
    <comment ref="H11" authorId="0" shapeId="0">
      <text>
        <r>
          <rPr>
            <sz val="9"/>
            <color indexed="81"/>
            <rFont val="Tahoma"/>
            <family val="2"/>
          </rPr>
          <t xml:space="preserve">Answering "Yes" will assume that clear-water scour conditions prevail and that live-bed contraction scour will not apply to the channel.
</t>
        </r>
      </text>
    </comment>
    <comment ref="E37" authorId="1" shapeId="0">
      <text>
        <r>
          <rPr>
            <sz val="9"/>
            <color indexed="81"/>
            <rFont val="Tahoma"/>
            <family val="2"/>
          </rPr>
          <t>If clear-water overbank contraction scour depth (with no adjustment for pier scour) is greater than the abutment scour depth (with no adjustment for pier scour), then the clear-water overbank contraction scour depth will be used as the best representation of the abutment scour depth.  The spreadsheet will automatically determine if the clear-water overbank contraction scour depth is to be used in place of the abutment scour depth.</t>
        </r>
      </text>
    </comment>
    <comment ref="L37" authorId="1" shapeId="0">
      <text>
        <r>
          <rPr>
            <sz val="9"/>
            <color indexed="81"/>
            <rFont val="Tahoma"/>
            <family val="2"/>
          </rPr>
          <t>For the left and right abutment scour regions, the larger of the abutment scour or overbank contraction scour values is used in the computation.</t>
        </r>
      </text>
    </comment>
    <comment ref="M37" authorId="2" shapeId="0">
      <text>
        <r>
          <rPr>
            <sz val="9"/>
            <color indexed="81"/>
            <rFont val="Tahoma"/>
            <family val="2"/>
          </rPr>
          <t>For the abutment and overbank areas use the worst case embedment on the overbank region.  For the channel use the worst case embedment in the channel region. For additional details, see consultant report on the unknown foundation investigation.</t>
        </r>
      </text>
    </comment>
    <comment ref="O37" authorId="2" shapeId="0">
      <text>
        <r>
          <rPr>
            <sz val="9"/>
            <color indexed="81"/>
            <rFont val="Tahoma"/>
            <family val="2"/>
          </rPr>
          <t>Use the worst case embedment in the channel region for all piers/bents assuming the channel may shift. For additional details, see consultant report on the unknown foundation investigation.</t>
        </r>
      </text>
    </comment>
  </commentList>
</comments>
</file>

<file path=xl/comments7.xml><?xml version="1.0" encoding="utf-8"?>
<comments xmlns="http://schemas.openxmlformats.org/spreadsheetml/2006/main">
  <authors>
    <author>Stephen T Benedict</author>
    <author>Petkewich, Matthew D.</author>
    <author>Stephen Benedict</author>
  </authors>
  <commentList>
    <comment ref="I10" authorId="0" shapeId="0">
      <text>
        <r>
          <rPr>
            <sz val="9"/>
            <color indexed="81"/>
            <rFont val="Tahoma"/>
            <family val="2"/>
          </rPr>
          <t xml:space="preserve">A relief bridge will be assumed to have no defined channel with clear-water scour conditions prevailing.
</t>
        </r>
      </text>
    </comment>
    <comment ref="H11" authorId="0" shapeId="0">
      <text>
        <r>
          <rPr>
            <sz val="9"/>
            <color indexed="81"/>
            <rFont val="Tahoma"/>
            <family val="2"/>
          </rPr>
          <t xml:space="preserve">Answering "Yes" will assume that clear-water scour conditions prevail and that live-bed contraction scour will not apply to the channel.
</t>
        </r>
      </text>
    </comment>
    <comment ref="E37" authorId="1" shapeId="0">
      <text>
        <r>
          <rPr>
            <sz val="9"/>
            <color indexed="81"/>
            <rFont val="Tahoma"/>
            <family val="2"/>
          </rPr>
          <t>If clear-water overbank contraction scour depth (with no adjustment for pier scour) is greater than the abutment scour depth (with no adjustment for pier scour), then the clear-water overbank contraction scour depth will be used as the best representation of the abutment scour depth.  The spreadsheet will automatically determine if the clear-water overbank contraction scour depth is to be used in place of the abutment scour depth.</t>
        </r>
      </text>
    </comment>
    <comment ref="L37" authorId="1" shapeId="0">
      <text>
        <r>
          <rPr>
            <sz val="9"/>
            <color indexed="81"/>
            <rFont val="Tahoma"/>
            <family val="2"/>
          </rPr>
          <t>For the left and right abutment scour regions, the larger of the abutment scour or overbank contraction scour values is used in the computation.</t>
        </r>
      </text>
    </comment>
    <comment ref="M37" authorId="2" shapeId="0">
      <text>
        <r>
          <rPr>
            <sz val="9"/>
            <color indexed="81"/>
            <rFont val="Tahoma"/>
            <family val="2"/>
          </rPr>
          <t>For the abutment and overbank areas use the worst case embedment on the overbank region.  For the channel use the worst case embedment in the channel region. For additional details, see consultant report on the unknown foundation investigation.</t>
        </r>
      </text>
    </comment>
    <comment ref="O37" authorId="2" shapeId="0">
      <text>
        <r>
          <rPr>
            <sz val="9"/>
            <color indexed="81"/>
            <rFont val="Tahoma"/>
            <family val="2"/>
          </rPr>
          <t>Use the worst case embedment in the channel region for all piers/bents assuming the channel may shift. For additional details, see consultant report on the unknown foundation investigation.</t>
        </r>
      </text>
    </comment>
  </commentList>
</comments>
</file>

<file path=xl/sharedStrings.xml><?xml version="1.0" encoding="utf-8"?>
<sst xmlns="http://schemas.openxmlformats.org/spreadsheetml/2006/main" count="1506" uniqueCount="662">
  <si>
    <t>Bridge Number:</t>
  </si>
  <si>
    <t>County:</t>
  </si>
  <si>
    <t>Stream:</t>
  </si>
  <si>
    <t>Road:</t>
  </si>
  <si>
    <t>Left Abutment</t>
  </si>
  <si>
    <t>Right Abutment</t>
  </si>
  <si>
    <t>Physiographic Region:</t>
  </si>
  <si>
    <t>ft</t>
  </si>
  <si>
    <t>LEW station at bridge:</t>
  </si>
  <si>
    <t>REW station at bridge:</t>
  </si>
  <si>
    <t>NOTE: Bents are listed from left to right looking downstream</t>
  </si>
  <si>
    <t>Does topo  indicate severe meander just upstream?</t>
  </si>
  <si>
    <t>(ft)</t>
  </si>
  <si>
    <t>Length</t>
  </si>
  <si>
    <t>Piedmont Sands</t>
  </si>
  <si>
    <t>Data for Graphs</t>
  </si>
  <si>
    <t>Scour</t>
  </si>
  <si>
    <t>Depth</t>
  </si>
  <si>
    <t>Left Overbank</t>
  </si>
  <si>
    <t>Right Overbank</t>
  </si>
  <si>
    <t>Envelope Curve Data</t>
  </si>
  <si>
    <t>Coastal Plain</t>
  </si>
  <si>
    <t>Use the following envelope curve:</t>
  </si>
  <si>
    <t>Abut</t>
  </si>
  <si>
    <t>Small Swampy Bridges</t>
  </si>
  <si>
    <t>Width</t>
  </si>
  <si>
    <t>Piedmont</t>
  </si>
  <si>
    <t>Long Bridges</t>
  </si>
  <si>
    <t>Right embankment length (topo map):</t>
  </si>
  <si>
    <t>USE embankment length:</t>
  </si>
  <si>
    <t>Left embankment length (topo map):</t>
  </si>
  <si>
    <t>Site Information</t>
  </si>
  <si>
    <t>Date of Analysis:</t>
  </si>
  <si>
    <t>Comparison of Embankment Lengths</t>
  </si>
  <si>
    <t>Multiple Bridge?</t>
  </si>
  <si>
    <t>Yes or No Table</t>
  </si>
  <si>
    <t>No</t>
  </si>
  <si>
    <t>Yes</t>
  </si>
  <si>
    <t>Data Available?</t>
  </si>
  <si>
    <t>Physiographic Region (for scour):</t>
  </si>
  <si>
    <t xml:space="preserve"> </t>
  </si>
  <si>
    <t>Abutment-scour depth by embankment length:</t>
  </si>
  <si>
    <t xml:space="preserve">Bridge Length: </t>
  </si>
  <si>
    <t>Clear-Water Abutment-Scour Estimate</t>
  </si>
  <si>
    <t>Pier Scour Estimate</t>
  </si>
  <si>
    <t>Angle of attack (degrees)</t>
  </si>
  <si>
    <t>Equation Selection Table</t>
  </si>
  <si>
    <t>National</t>
  </si>
  <si>
    <t>Column spacing to width ratio</t>
  </si>
  <si>
    <t>Coastal Plain and Piedmont</t>
  </si>
  <si>
    <t>Pier Scour Envelopes</t>
  </si>
  <si>
    <t>Pier</t>
  </si>
  <si>
    <t>SC</t>
  </si>
  <si>
    <t>Clear-Water</t>
  </si>
  <si>
    <t>Live-Bed</t>
  </si>
  <si>
    <t>Estimate of Upper Bound of Clear-Water Abutment-Scour Depth from Envelope Curves</t>
  </si>
  <si>
    <t>Yes No Table</t>
  </si>
  <si>
    <t>Drainage Area:</t>
  </si>
  <si>
    <t>sq mi</t>
  </si>
  <si>
    <t>Scour Depth</t>
  </si>
  <si>
    <t>CLEAR-WATER CONTRACTION-SCOUR DATA</t>
  </si>
  <si>
    <t>ABUTMENT-SCOUR DATA</t>
  </si>
  <si>
    <t>LIVE-BED CONTRACTION-SCOUR DATA</t>
  </si>
  <si>
    <t>Embankment length from road plans:</t>
  </si>
  <si>
    <t>Embankment length from topographic map:</t>
  </si>
  <si>
    <t>Drainage Area Limits for Clear-Water Abutment Scour</t>
  </si>
  <si>
    <t>Min</t>
  </si>
  <si>
    <t>Max</t>
  </si>
  <si>
    <t>(sq mi)</t>
  </si>
  <si>
    <t>Warning</t>
  </si>
  <si>
    <t>Caution: DA in range but exceeds 80 percent of data</t>
  </si>
  <si>
    <t>Caution: DA in range but exceeds 97 percent of data</t>
  </si>
  <si>
    <t>Caution: DA in range but exceeds 94 percent of data</t>
  </si>
  <si>
    <t>Drainage Area Limits for Clear-Water Overbank Contraction Scour</t>
  </si>
  <si>
    <t>Drainage Area Limits for Live-Bed Contraction Scour</t>
  </si>
  <si>
    <t xml:space="preserve">Embankment Length Check:   </t>
  </si>
  <si>
    <t>NOTES:</t>
  </si>
  <si>
    <r>
      <t xml:space="preserve">If embankment length is greater than 2,000 ft but less than 7,440 ft use </t>
    </r>
    <r>
      <rPr>
        <b/>
        <sz val="10"/>
        <color indexed="53"/>
        <rFont val="Arial"/>
        <family val="2"/>
      </rPr>
      <t>CAUTION</t>
    </r>
    <r>
      <rPr>
        <sz val="10"/>
        <color indexed="53"/>
        <rFont val="Arial"/>
        <family val="2"/>
      </rPr>
      <t>.</t>
    </r>
  </si>
  <si>
    <t xml:space="preserve">Embankment Length:   </t>
  </si>
  <si>
    <t xml:space="preserve">Scour Depth:   </t>
  </si>
  <si>
    <t xml:space="preserve">Contraction Ratio Check:   </t>
  </si>
  <si>
    <t xml:space="preserve">Contraction Ratio:   </t>
  </si>
  <si>
    <r>
      <t xml:space="preserve">If contraction ratio is greater than 0.9 but less than 0.98 use </t>
    </r>
    <r>
      <rPr>
        <b/>
        <sz val="10"/>
        <color indexed="53"/>
        <rFont val="Arial"/>
        <family val="2"/>
      </rPr>
      <t>CAUTION.</t>
    </r>
  </si>
  <si>
    <r>
      <t xml:space="preserve">If contraction ratio is greater than 0.82 but less than 0.86 use </t>
    </r>
    <r>
      <rPr>
        <b/>
        <sz val="10"/>
        <color indexed="53"/>
        <rFont val="Arial"/>
        <family val="2"/>
      </rPr>
      <t>CAUTION.</t>
    </r>
  </si>
  <si>
    <r>
      <t xml:space="preserve">If contraction ratio is greater than 0.85 but less than 0.95 use </t>
    </r>
    <r>
      <rPr>
        <b/>
        <sz val="10"/>
        <color indexed="53"/>
        <rFont val="Arial"/>
        <family val="2"/>
      </rPr>
      <t>CAUTION.</t>
    </r>
  </si>
  <si>
    <t xml:space="preserve">Drainage Area Check:  </t>
  </si>
  <si>
    <t>PIER-SCOUR DATA</t>
  </si>
  <si>
    <t>Channel</t>
  </si>
  <si>
    <t>Physiographic Province</t>
  </si>
  <si>
    <t>CH</t>
  </si>
  <si>
    <t>Latitude:</t>
  </si>
  <si>
    <t>Longitude:</t>
  </si>
  <si>
    <t>DMS</t>
  </si>
  <si>
    <t>WSEL Determination Table</t>
  </si>
  <si>
    <t>Avg. Depth</t>
  </si>
  <si>
    <t>WSEL on SCDOT datum:</t>
  </si>
  <si>
    <t>Does topo  indicate wide, flat floodplain?</t>
  </si>
  <si>
    <t>SC Clear Water</t>
  </si>
  <si>
    <t>SC Live Bed</t>
  </si>
  <si>
    <t>Pier/ Bent Type Table</t>
  </si>
  <si>
    <t>Single Pier</t>
  </si>
  <si>
    <t>Multiple Column Pier</t>
  </si>
  <si>
    <t>H-Pile Bent</t>
  </si>
  <si>
    <t>Concrete Pile Bent</t>
  </si>
  <si>
    <t>Tower Bent</t>
  </si>
  <si>
    <t>Timber Pile Bent</t>
  </si>
  <si>
    <t>Composite Bent</t>
  </si>
  <si>
    <t>5 ft break line</t>
  </si>
  <si>
    <t>No Pier or Bent</t>
  </si>
  <si>
    <t>Left Overbank Width</t>
  </si>
  <si>
    <t>Right Overbank Width</t>
  </si>
  <si>
    <t>Left embankment length (plans):</t>
  </si>
  <si>
    <t>Right embankment length (plans):</t>
  </si>
  <si>
    <t>CHECK:</t>
  </si>
  <si>
    <t>Do embankment lengths and toe-to-toe distance</t>
  </si>
  <si>
    <t>Distance from toe to toe (plans):</t>
  </si>
  <si>
    <t>Live-bed contraction-scour depth:</t>
  </si>
  <si>
    <t>Pier location</t>
  </si>
  <si>
    <t xml:space="preserve">Location of pier  </t>
  </si>
  <si>
    <t>Pier width (feet)</t>
  </si>
  <si>
    <t>Any length bridge with well defined channel</t>
  </si>
  <si>
    <t>Relief or swampy bridge with length of 240 ft or less</t>
  </si>
  <si>
    <t>Pier-Scour Skew Coefficients</t>
  </si>
  <si>
    <t>Use pier scour?</t>
  </si>
  <si>
    <t>Use overbank contraction scour at pier?</t>
  </si>
  <si>
    <t>Use abutment scour at pier?</t>
  </si>
  <si>
    <t>PENETRATION TABLE</t>
  </si>
  <si>
    <t>List of Hydrologic Regions for Scour Table</t>
  </si>
  <si>
    <t>LABUT</t>
  </si>
  <si>
    <t>LOB</t>
  </si>
  <si>
    <t>ROB</t>
  </si>
  <si>
    <t>RABUT</t>
  </si>
  <si>
    <t>Latitude (DMS)</t>
  </si>
  <si>
    <t>Longitude  (DMS)</t>
  </si>
  <si>
    <t>GUIDANCE FOR LEFT AND RIGHT ABUTMENT SCOUR:</t>
  </si>
  <si>
    <t>GUIDANCE FOR LEFT AND RIGHT OVERBANK CONTRACTION SCOUR:</t>
  </si>
  <si>
    <t>GENERAL GUIDANCE:</t>
  </si>
  <si>
    <t>SCDOT Bridge Number</t>
  </si>
  <si>
    <t>County</t>
  </si>
  <si>
    <t>Road</t>
  </si>
  <si>
    <t>Stream</t>
  </si>
  <si>
    <t>Analysis date</t>
  </si>
  <si>
    <t>Multiple bridge?</t>
  </si>
  <si>
    <t>Drainage area           (sq mi)</t>
  </si>
  <si>
    <t>Drainage area check</t>
  </si>
  <si>
    <t>Location of pier</t>
  </si>
  <si>
    <t>Pier or bent type</t>
  </si>
  <si>
    <t>Envelope curve used</t>
  </si>
  <si>
    <t>Pier length (feet)</t>
  </si>
  <si>
    <t>Multiple column bent?</t>
  </si>
  <si>
    <t>Skew coefficient (single pier - HEC-18)</t>
  </si>
  <si>
    <t>Skew coefficient used</t>
  </si>
  <si>
    <t>Pier scour from envelope (feet) (no adjustment)</t>
  </si>
  <si>
    <t>Bridge length (feet)</t>
  </si>
  <si>
    <t>Plan (left abutment length)   (feet)</t>
  </si>
  <si>
    <t>Topo (left abutment length)              (feet)</t>
  </si>
  <si>
    <t>Used (left abutment length)              (feet)</t>
  </si>
  <si>
    <t>Plan (right abutment length)              (feet)</t>
  </si>
  <si>
    <t>Topo (right abutment length)              (feet)</t>
  </si>
  <si>
    <t>Used (right abutment length)              (feet)</t>
  </si>
  <si>
    <t>Left abutment depth selected                    (feet)</t>
  </si>
  <si>
    <t>Right abutment depth selected                    (feet)</t>
  </si>
  <si>
    <t>Left abutment hole width               (feet)</t>
  </si>
  <si>
    <t>Right abutment hole width               (feet)</t>
  </si>
  <si>
    <t>Left overbank scour depth               (feet)</t>
  </si>
  <si>
    <t>Right overbank scour depth               (feet)</t>
  </si>
  <si>
    <t>Selected left overbank scour depth               (feet)</t>
  </si>
  <si>
    <t>Selected right overbank scour depth               (feet)</t>
  </si>
  <si>
    <t>Selected channel scour depth               (feet)</t>
  </si>
  <si>
    <t>Minimum spacing between columns           (feet)</t>
  </si>
  <si>
    <t>Pier scour adjusted for skew               (feet)</t>
  </si>
  <si>
    <t>Clear-water abutment scour from USGS curves               (feet)</t>
  </si>
  <si>
    <t>Clear-water overbank contraction scour from USGS curves         (feet)</t>
  </si>
  <si>
    <t>Live-bed contraction scour from USGS curves           (feet)</t>
  </si>
  <si>
    <t>Pier scour                   (feet)</t>
  </si>
  <si>
    <t>Total scour at bent                          (feet)</t>
  </si>
  <si>
    <t>Computed embedment of pile from consultant           (feet)</t>
  </si>
  <si>
    <t>Remaining pile  penetration                  (feet)</t>
  </si>
  <si>
    <t>Remaining pile  penetration (at thalweg)                   (feet)</t>
  </si>
  <si>
    <t>Live-bed channel contraction scour from USGS curves           (feet)</t>
  </si>
  <si>
    <t>Pier scour    (feet)</t>
  </si>
  <si>
    <t>Total scour at bent          (feet)</t>
  </si>
  <si>
    <t>Computed embedment of pile from consultant         (feet)</t>
  </si>
  <si>
    <t>Remaining pile  penetration   (feet)</t>
  </si>
  <si>
    <t>Estimate of minimum spacing between columns (feet)</t>
  </si>
  <si>
    <r>
      <t xml:space="preserve">If embankment length is greater than 7,440 ft it is </t>
    </r>
    <r>
      <rPr>
        <b/>
        <sz val="10"/>
        <color indexed="60"/>
        <rFont val="Arial"/>
        <family val="2"/>
      </rPr>
      <t>OUTSIDE RANGE</t>
    </r>
    <r>
      <rPr>
        <sz val="10"/>
        <rFont val="Arial"/>
        <family val="2"/>
      </rPr>
      <t>.</t>
    </r>
  </si>
  <si>
    <r>
      <t xml:space="preserve">If embankment length is greater than 950 ft it is </t>
    </r>
    <r>
      <rPr>
        <b/>
        <sz val="10"/>
        <color indexed="60"/>
        <rFont val="Arial"/>
        <family val="2"/>
      </rPr>
      <t>OUTSIDE RANGE</t>
    </r>
    <r>
      <rPr>
        <sz val="10"/>
        <rFont val="Arial"/>
        <family val="2"/>
      </rPr>
      <t>.</t>
    </r>
  </si>
  <si>
    <r>
      <t xml:space="preserve">If contraction ratio is greater than 0.98 it is </t>
    </r>
    <r>
      <rPr>
        <b/>
        <sz val="10"/>
        <color indexed="60"/>
        <rFont val="Arial"/>
        <family val="2"/>
      </rPr>
      <t>OUTSIDE RANGE.</t>
    </r>
  </si>
  <si>
    <r>
      <t xml:space="preserve">If contraction ratio is between 0 and 0.9 it is </t>
    </r>
    <r>
      <rPr>
        <b/>
        <sz val="10"/>
        <color indexed="57"/>
        <rFont val="Arial"/>
        <family val="2"/>
      </rPr>
      <t>OK.</t>
    </r>
  </si>
  <si>
    <r>
      <t xml:space="preserve">If embankment length is between 0 and 950 ft it is </t>
    </r>
    <r>
      <rPr>
        <b/>
        <sz val="10"/>
        <color indexed="57"/>
        <rFont val="Arial"/>
        <family val="2"/>
      </rPr>
      <t>OK</t>
    </r>
    <r>
      <rPr>
        <sz val="10"/>
        <rFont val="Arial"/>
        <family val="2"/>
      </rPr>
      <t>.</t>
    </r>
  </si>
  <si>
    <r>
      <t xml:space="preserve">If embankment length is between 0 and 2,000 ft it is </t>
    </r>
    <r>
      <rPr>
        <b/>
        <sz val="10"/>
        <color indexed="57"/>
        <rFont val="Arial"/>
        <family val="2"/>
      </rPr>
      <t>OK</t>
    </r>
    <r>
      <rPr>
        <sz val="10"/>
        <rFont val="Arial"/>
        <family val="2"/>
      </rPr>
      <t>.</t>
    </r>
  </si>
  <si>
    <r>
      <t xml:space="preserve">If contraction ratio is greater than 0.86 it is </t>
    </r>
    <r>
      <rPr>
        <b/>
        <sz val="10"/>
        <color indexed="60"/>
        <rFont val="Arial"/>
        <family val="2"/>
      </rPr>
      <t>OUTSIDE RANGE.</t>
    </r>
  </si>
  <si>
    <r>
      <t xml:space="preserve">If contraction ratio is between 0 and 0.82 it is </t>
    </r>
    <r>
      <rPr>
        <b/>
        <sz val="10"/>
        <color indexed="57"/>
        <rFont val="Arial"/>
        <family val="2"/>
      </rPr>
      <t>OK.</t>
    </r>
  </si>
  <si>
    <r>
      <t xml:space="preserve">If embankment length is greater than 500 ft it is </t>
    </r>
    <r>
      <rPr>
        <b/>
        <sz val="10"/>
        <color indexed="60"/>
        <rFont val="Arial"/>
        <family val="2"/>
      </rPr>
      <t>OUTSIDE RANGE</t>
    </r>
    <r>
      <rPr>
        <sz val="10"/>
        <rFont val="Arial"/>
        <family val="2"/>
      </rPr>
      <t>.</t>
    </r>
  </si>
  <si>
    <r>
      <t xml:space="preserve">If embankment length is between 0 and 500 ft it is </t>
    </r>
    <r>
      <rPr>
        <b/>
        <sz val="10"/>
        <color indexed="57"/>
        <rFont val="Arial"/>
        <family val="2"/>
      </rPr>
      <t>OK</t>
    </r>
    <r>
      <rPr>
        <sz val="10"/>
        <rFont val="Arial"/>
        <family val="2"/>
      </rPr>
      <t>.</t>
    </r>
  </si>
  <si>
    <r>
      <t xml:space="preserve">If contraction ratio is greater than 0.9 it is </t>
    </r>
    <r>
      <rPr>
        <b/>
        <sz val="10"/>
        <color indexed="60"/>
        <rFont val="Arial"/>
        <family val="2"/>
      </rPr>
      <t>OUTSIDE RANGE.</t>
    </r>
  </si>
  <si>
    <r>
      <t xml:space="preserve">If contraction ratio is greater than 0.95 it is </t>
    </r>
    <r>
      <rPr>
        <b/>
        <sz val="10"/>
        <color indexed="60"/>
        <rFont val="Arial"/>
        <family val="2"/>
      </rPr>
      <t>OUTSIDE RANGE.</t>
    </r>
  </si>
  <si>
    <r>
      <t xml:space="preserve">If contraction ratio is between 0 and 0.85 it is </t>
    </r>
    <r>
      <rPr>
        <b/>
        <sz val="10"/>
        <color indexed="57"/>
        <rFont val="Arial"/>
        <family val="2"/>
      </rPr>
      <t>OK.</t>
    </r>
  </si>
  <si>
    <r>
      <t xml:space="preserve">If contraction ratio is greater than 0.85 it is </t>
    </r>
    <r>
      <rPr>
        <b/>
        <sz val="10"/>
        <color indexed="60"/>
        <rFont val="Arial"/>
        <family val="2"/>
      </rPr>
      <t>OUTSIDE RANGE.</t>
    </r>
  </si>
  <si>
    <t>Interpolation Table</t>
  </si>
  <si>
    <t>Abutment-Scour Depth (ft)</t>
  </si>
  <si>
    <t>Embankment Length Category (ft)</t>
  </si>
  <si>
    <t>Scour Depth      (ft)</t>
  </si>
  <si>
    <t>Original Curve (Benedict, 2003)</t>
  </si>
  <si>
    <t>(Benedict and Caldwell, 2006)</t>
  </si>
  <si>
    <t>(Benedict and Caldwell, 2009)</t>
  </si>
  <si>
    <t>Clear-Water Overbank Contraction Scour</t>
  </si>
  <si>
    <t>Modified Curve (Benedict and Caldwell, 2012)</t>
  </si>
  <si>
    <t>CP:</t>
  </si>
  <si>
    <t>Pied:</t>
  </si>
  <si>
    <t>Abutment-scour depth by embankment-length category:</t>
  </si>
  <si>
    <t>Abutment-scour depth by interpolation:</t>
  </si>
  <si>
    <t>(sq. mi)</t>
  </si>
  <si>
    <t>By Category</t>
  </si>
  <si>
    <t>Original Curve (Benedict and Caldwell, 2009)</t>
  </si>
  <si>
    <t>Region:</t>
  </si>
  <si>
    <r>
      <rPr>
        <b/>
        <u/>
        <sz val="10"/>
        <rFont val="Arial"/>
        <family val="2"/>
      </rPr>
      <t>Original</t>
    </r>
    <r>
      <rPr>
        <b/>
        <sz val="10"/>
        <rFont val="Arial"/>
        <family val="2"/>
      </rPr>
      <t xml:space="preserve"> Live-Bed Channel Contraction Scour</t>
    </r>
  </si>
  <si>
    <r>
      <rPr>
        <b/>
        <u/>
        <sz val="10"/>
        <rFont val="Arial"/>
        <family val="2"/>
      </rPr>
      <t>Modified</t>
    </r>
    <r>
      <rPr>
        <b/>
        <sz val="10"/>
        <rFont val="Arial"/>
        <family val="2"/>
      </rPr>
      <t xml:space="preserve"> Live-Bed Channel Contraction Scour</t>
    </r>
  </si>
  <si>
    <t>(Benedict and Caldwell, 2012)</t>
  </si>
  <si>
    <t>Modified left abutment depth by Category                 (feet)</t>
  </si>
  <si>
    <t>Modified right abutment depth by Category                 (feet)</t>
  </si>
  <si>
    <t>Modified left abutment depth by Interpolation                 (feet)</t>
  </si>
  <si>
    <t>Modified right abutment depth by Interpolation                 (feet)</t>
  </si>
  <si>
    <t>Original left abutment depth by length                    (feet)</t>
  </si>
  <si>
    <t>Original right abutment depth by length                    (feet)</t>
  </si>
  <si>
    <t>Drainage area check (original envelope)</t>
  </si>
  <si>
    <t>Drainage area check (modified envelope)</t>
  </si>
  <si>
    <t>Left abutment length check (original envelope)</t>
  </si>
  <si>
    <t>Left abutment length check (modified envelope)</t>
  </si>
  <si>
    <t>Right abutment length check (original envelope)</t>
  </si>
  <si>
    <t>Right abutment length check (modified envelope)</t>
  </si>
  <si>
    <t>Drainage area check (original curve)</t>
  </si>
  <si>
    <t>Drainage area check (modified curve)</t>
  </si>
  <si>
    <t>Original channel scour depth               (feet)</t>
  </si>
  <si>
    <t>Modified channel scour depth               (feet)</t>
  </si>
  <si>
    <t>By Interpolation</t>
  </si>
  <si>
    <t>3) If the estimate of scour using the original envelope curves is less than that using the modified curve, then use the scour depth associated with the original curve.</t>
  </si>
  <si>
    <t>Quality of Map Data Table</t>
  </si>
  <si>
    <t>Good</t>
  </si>
  <si>
    <t>Fair</t>
  </si>
  <si>
    <t>Poor</t>
  </si>
  <si>
    <t>Quality of Map Data:</t>
  </si>
  <si>
    <t>Quality of Plan Data:</t>
  </si>
  <si>
    <t>Source Used:</t>
  </si>
  <si>
    <t>Source Used Table</t>
  </si>
  <si>
    <t>SCDOT Plans</t>
  </si>
  <si>
    <t>Topo Map</t>
  </si>
  <si>
    <t>FEMA Map</t>
  </si>
  <si>
    <t>Other (See Comments)</t>
  </si>
  <si>
    <t>Quality of Source Data</t>
  </si>
  <si>
    <t>Left</t>
  </si>
  <si>
    <t xml:space="preserve">Right </t>
  </si>
  <si>
    <t>Embankment Length  (ft)</t>
  </si>
  <si>
    <t xml:space="preserve">If so, use the maximum embankment length from the selected </t>
  </si>
  <si>
    <t>"Source Used" for left and right  embankment length.</t>
  </si>
  <si>
    <t>Comparison of Overbank Widths underneath Bridge</t>
  </si>
  <si>
    <t xml:space="preserve">     Using "final selected abutment-scour depth"</t>
  </si>
  <si>
    <t>2.5b</t>
  </si>
  <si>
    <t>Bridge length as provided by SCDOT (verify with topo map if possible):</t>
  </si>
  <si>
    <t>Automatic Calculation</t>
  </si>
  <si>
    <t>Envelope curve used in pier scour estimate</t>
  </si>
  <si>
    <t>USE overbank width:</t>
  </si>
  <si>
    <t>Source Used for Overbank Width Table</t>
  </si>
  <si>
    <t>Use clear-water abutment scour?</t>
  </si>
  <si>
    <t>Use clear-water overbank contraction scour?</t>
  </si>
  <si>
    <t>Use live-bed channel contraction scour?</t>
  </si>
  <si>
    <t>Is scour depth outside range of graph?</t>
  </si>
  <si>
    <t>Is scour depth greater than 18 feet and therefore outside range of graph?</t>
  </si>
  <si>
    <r>
      <t xml:space="preserve">If scour depth is within the range of the graph then cell is highlighted in </t>
    </r>
    <r>
      <rPr>
        <b/>
        <sz val="10"/>
        <color rgb="FF00B050"/>
        <rFont val="Arial"/>
        <family val="2"/>
      </rPr>
      <t>green.</t>
    </r>
  </si>
  <si>
    <r>
      <t xml:space="preserve">If scour depth is outside the range of the graph then cell is highlighted in </t>
    </r>
    <r>
      <rPr>
        <b/>
        <sz val="10"/>
        <color rgb="FFFF0000"/>
        <rFont val="Arial"/>
        <family val="2"/>
      </rPr>
      <t>red.</t>
    </r>
  </si>
  <si>
    <t>Is scour depth greater than 23.6 feet and therefore outside range of graph?</t>
  </si>
  <si>
    <t>Is this a relief or swampy bridge with a length less than or equal to 240 ft?</t>
  </si>
  <si>
    <t xml:space="preserve">1) Do not include clear-water overbank scour depth in abutment-scour area. </t>
  </si>
  <si>
    <t>3) User should review automatically determined values to assure that selected values are reasonable.</t>
  </si>
  <si>
    <t>2)  The spreadsheet will automatically determine if clear-water overbank scour should be applied or not.</t>
  </si>
  <si>
    <t>Relief Bridge?</t>
  </si>
  <si>
    <t>Is this a relief or swampy bridge with a poorly defined channel and a bridge length less than or equal to 240 ft?</t>
  </si>
  <si>
    <t>Relief bridge?</t>
  </si>
  <si>
    <t>Use live-bed channel contraction scour at pier?</t>
  </si>
  <si>
    <t>Pier Scour Computations</t>
  </si>
  <si>
    <t xml:space="preserve">    pier to the bank, the user should consider other factors such as bends that may increase potential for scour.</t>
  </si>
  <si>
    <t xml:space="preserve"> -  If a pier or bent falls anywhere on the overbank, pier scour will be computed for both the abutment and overbank regions.</t>
  </si>
  <si>
    <t xml:space="preserve"> -  If there are piers or bents of varying geometries on the same overbank, use the worst case pier geometry in both the abutment and overbank areas.</t>
  </si>
  <si>
    <t xml:space="preserve"> -  When a pier is on the floodplain, but near the channel bank, the user must decide if the pier should be considered to be a channel pier or not; in addition to the proximity of the</t>
  </si>
  <si>
    <t>1)   If the abutment-scour hole topwidth is greater than the overbank width then it will be assumed that the abutment-scour depth will cover the entire overbank area and there will be no clear-water overbank scour applied to the bridge overbank.  However, if the abutment-scour hole topwidth is less than the overbank width then it will be assumed that clear-water overbank scour occurs in the overbank area not affected by the abutment scour hole.</t>
  </si>
  <si>
    <t>#</t>
  </si>
  <si>
    <t>Swampy, Poorly Defined Channel?</t>
  </si>
  <si>
    <t xml:space="preserve">           Swampy, Poorly    Defined Channel?</t>
  </si>
  <si>
    <t xml:space="preserve">         Swampy, Poorly Defined Channel?</t>
  </si>
  <si>
    <t xml:space="preserve">       Swampy, Poorly Defined Channel? </t>
  </si>
  <si>
    <t xml:space="preserve">   Swampy, Poorly Defined Channel? </t>
  </si>
  <si>
    <t xml:space="preserve">Swampy, Poorly Defined Channel? </t>
  </si>
  <si>
    <t xml:space="preserve">Does sum of embankment and bridge lengths </t>
  </si>
  <si>
    <t>CHECK (Single bridge data):</t>
  </si>
  <si>
    <t>Embedment below thalweg from consultant                     (feet)</t>
  </si>
  <si>
    <t>GUIDANCE FOR LIVE-BED CHANNEL SCOUR:</t>
  </si>
  <si>
    <t xml:space="preserve">Initial Estimate of Scour Depth (by Category):   </t>
  </si>
  <si>
    <t xml:space="preserve">Final Selection of Scour Depth (by Category):   </t>
  </si>
  <si>
    <t xml:space="preserve">Initial Estimate of Scour Depth (by Interpolation):   </t>
  </si>
  <si>
    <t xml:space="preserve">Final Selection of Scour Depth (by Interpolation):   </t>
  </si>
  <si>
    <t>(1) Any length bridge with a well defined channel or any bridge longer than 240 feet</t>
  </si>
  <si>
    <t>Quality of Topo Map Data</t>
  </si>
  <si>
    <t>Quality of SCDOT Plan Data</t>
  </si>
  <si>
    <t>Quality of FEMA/Other Map Data</t>
  </si>
  <si>
    <r>
      <t>LTB station at bridge (</t>
    </r>
    <r>
      <rPr>
        <b/>
        <sz val="10"/>
        <color rgb="FFFF0000"/>
        <rFont val="Arial"/>
        <family val="2"/>
      </rPr>
      <t>if relief bridge or swampy, poorly defined channel, leave cell empty</t>
    </r>
    <r>
      <rPr>
        <b/>
        <sz val="10"/>
        <rFont val="Arial"/>
        <family val="2"/>
      </rPr>
      <t>):</t>
    </r>
  </si>
  <si>
    <r>
      <t>RTB station at bridge (</t>
    </r>
    <r>
      <rPr>
        <b/>
        <sz val="10"/>
        <color rgb="FFFF0000"/>
        <rFont val="Arial"/>
        <family val="2"/>
      </rPr>
      <t>if relief bridge or swampy, poorly defined channel, leave cell empty</t>
    </r>
    <r>
      <rPr>
        <b/>
        <sz val="10"/>
        <rFont val="Arial"/>
        <family val="2"/>
      </rPr>
      <t>):</t>
    </r>
  </si>
  <si>
    <r>
      <t>REW station at unconstricted cross section from plans                                              (</t>
    </r>
    <r>
      <rPr>
        <b/>
        <sz val="10"/>
        <color rgb="FFFF0000"/>
        <rFont val="Arial"/>
        <family val="2"/>
      </rPr>
      <t>if no data, leave cell empty</t>
    </r>
    <r>
      <rPr>
        <b/>
        <sz val="10"/>
        <rFont val="Arial"/>
        <family val="2"/>
      </rPr>
      <t>):</t>
    </r>
  </si>
  <si>
    <t>(Left abutment toe to left top of bank)**</t>
  </si>
  <si>
    <t>(Right top of bank to right abutment toe)**</t>
  </si>
  <si>
    <t>Embankment length from FEMA/Other map:</t>
  </si>
  <si>
    <t>Bridge length as provided by SCDOT (verify with FEMA/Other map if possible):</t>
  </si>
  <si>
    <t>Left embankment length (FEMA/Other map):</t>
  </si>
  <si>
    <t>Right embankment length (FEMA/Other map):</t>
  </si>
  <si>
    <t>If "Other Map," describe:</t>
  </si>
  <si>
    <t>2) If site is a relief bridge or is swampy with a poorly defined channel, it will be assumed that live-bed contraction scour will not occur and the scour depths in the above cells will be set to "N/A."</t>
  </si>
  <si>
    <t>FEMA/Other (left abutment length)              (feet)</t>
  </si>
  <si>
    <t>FEMA/Other (right abutment length)              (feet)</t>
  </si>
  <si>
    <t>Not Usable</t>
  </si>
  <si>
    <t>2) If site is in the Piedmont region and the abutment-scour depth is less than or equal to 5 feet then add pier-scour depth for determining total scour.</t>
  </si>
  <si>
    <t xml:space="preserve">5)  If the site is a relief or swampy bridge that is 240 ft or less, the abutment-scour depth will be applicable from toe-to-toe; if the relief or swampy bridge is greater than 240 ft, the abutment scour-hole depths will be limited to the abutment scour-hole topwidths and the clear-water overbank contraction scour will be applied to the remaining overbank area.  The spreadsheet will automatically determine if there is any overbank area on which overbank contraction scour will occur. </t>
  </si>
  <si>
    <t>4) The spreadsheet assumes that abutment scour will always occur at the left and right abutments. The spreadsheet will automatically make an initial determination regarding the inclusion of pier scour in the total scour estimate.  The user should review this initial determination and if appropriate override the automated value by typing "Yes" or "No" (case sensitive) in the "Use pier scour?" column.  If the pier is skewed, the user should apply judgment to determine if pier scour should be included in the total scour estimate, especially for long solid piers where a pier skew can cause large scour depths.</t>
  </si>
  <si>
    <t>1) Drainage area should fall within the range of measured data and caution should be used as drainage area approaches limits of the data or exceeds the data range.</t>
  </si>
  <si>
    <t>Abutment Scour by Embankment Length</t>
  </si>
  <si>
    <t>Embankment</t>
  </si>
  <si>
    <t>Abutment-Scour Depth by Embankment Length</t>
  </si>
  <si>
    <t>Abutment-Scour Depth by Contraction Ratio</t>
  </si>
  <si>
    <t>(Benedict and Caldwell, 2006; 2009)</t>
  </si>
  <si>
    <t xml:space="preserve"> Bridge-Scour Envelope Curve Template</t>
  </si>
  <si>
    <t xml:space="preserve">The South Carolina </t>
  </si>
  <si>
    <t xml:space="preserve">Benedict, S.T., 2003, Clear-water abutment and contraction scour in the Coastal Plain and Piedmont Provinces of South Carolina, 1996–99: U.S. Geological Survey Water-Resources Investigations Report 03–4064, 137 p. </t>
  </si>
  <si>
    <t>http://pubs.usgs.gov/wri/wri034064/</t>
  </si>
  <si>
    <t>http://pubs.usgs.gov/sir/2005/5289/</t>
  </si>
  <si>
    <t xml:space="preserve">Benedict, S.T., and Caldwell, A.W., 2006, Development and evaluation of clear-water pier and contraction scour envelope curves in the Coastal Plain and Piedmont Provinces of South Carolina: U.S. Geological Survey Scientific Investigations Report 2005–5289, 98 p. </t>
  </si>
  <si>
    <t>Benedict, S.T., and Caldwell, A.W., 2009, Development and evaluation of live-bed pier and contraction scour envelope curves in the Coastal Plain and Piedmont Provinces of South Carolina, U.S. Geological Survey Scientific Investigations Report 2009–5099, 108 p.</t>
  </si>
  <si>
    <t>http://pubs.usgs.gov/sir/2009/5099/</t>
  </si>
  <si>
    <t>feet</t>
  </si>
  <si>
    <t>square mile</t>
  </si>
  <si>
    <t>SCDOT</t>
  </si>
  <si>
    <t>South Carolina Department of Transportation</t>
  </si>
  <si>
    <t>HWM</t>
  </si>
  <si>
    <t>high water mark</t>
  </si>
  <si>
    <t>WSEL</t>
  </si>
  <si>
    <t>water-surface elevation</t>
  </si>
  <si>
    <t>LEW</t>
  </si>
  <si>
    <t>left edge of water</t>
  </si>
  <si>
    <t>REW</t>
  </si>
  <si>
    <t>right edge of water</t>
  </si>
  <si>
    <t>LTB</t>
  </si>
  <si>
    <t>left top bank</t>
  </si>
  <si>
    <t>RTB</t>
  </si>
  <si>
    <t>right top bank</t>
  </si>
  <si>
    <t>geometric-contraction ratio</t>
  </si>
  <si>
    <t>topo</t>
  </si>
  <si>
    <t>topographic</t>
  </si>
  <si>
    <t>FEMA</t>
  </si>
  <si>
    <t>Federal Emergency Management Agency</t>
  </si>
  <si>
    <t>Abbreviations Used in the Template</t>
  </si>
  <si>
    <t>degrees-minutes-seconds</t>
  </si>
  <si>
    <t>number</t>
  </si>
  <si>
    <t>Left abutment toe station:</t>
  </si>
  <si>
    <t>Right abutment toe station:</t>
  </si>
  <si>
    <t>Use HWM or average flood-plain flow depth for WSEL?**</t>
  </si>
  <si>
    <t>Approach flood-plain topwidth (topo map):**</t>
  </si>
  <si>
    <t>Approach flood-plain topwidth (FEMA/Other map):**</t>
  </si>
  <si>
    <t xml:space="preserve"> equal approach flood-plain topwidth?</t>
  </si>
  <si>
    <t>Channel topwidth (plans):</t>
  </si>
  <si>
    <t>(2) Flood-plain relief or swampy bridge with length of 240 ft or less</t>
  </si>
  <si>
    <t>equal approach flood-plain topwidth?</t>
  </si>
  <si>
    <t>Unconstricted cross-section topwidth from plans:</t>
  </si>
  <si>
    <t>Abutment scour-hole topwidth:</t>
  </si>
  <si>
    <t>Scour-Hole Topwidths</t>
  </si>
  <si>
    <t>Use Abutment Scour-Hole Topwidth Curve (select from 1 or 2 below):</t>
  </si>
  <si>
    <t>Scour-Hole Topwidth Table</t>
  </si>
  <si>
    <t>SCDOT Road Plan number:</t>
  </si>
  <si>
    <t>D/S</t>
  </si>
  <si>
    <t>downstream</t>
  </si>
  <si>
    <t>N/A</t>
  </si>
  <si>
    <t>not applicable</t>
  </si>
  <si>
    <r>
      <t xml:space="preserve">If the geometric-contraction ratio is between 0 and 0.85 message is </t>
    </r>
    <r>
      <rPr>
        <b/>
        <sz val="10"/>
        <color rgb="FF00B050"/>
        <rFont val="Arial"/>
        <family val="2"/>
      </rPr>
      <t>OK</t>
    </r>
    <r>
      <rPr>
        <sz val="10"/>
        <rFont val="Arial"/>
        <family val="2"/>
      </rPr>
      <t>.</t>
    </r>
  </si>
  <si>
    <r>
      <t xml:space="preserve">If the geometric-contraction ratio is greater than 0.95 message is </t>
    </r>
    <r>
      <rPr>
        <b/>
        <sz val="10"/>
        <color rgb="FFFF0000"/>
        <rFont val="Arial"/>
        <family val="2"/>
      </rPr>
      <t>OUTSIDE RANGE</t>
    </r>
    <r>
      <rPr>
        <sz val="10"/>
        <rFont val="Arial"/>
        <family val="2"/>
      </rPr>
      <t>.</t>
    </r>
  </si>
  <si>
    <r>
      <t xml:space="preserve">If the geometric-contraction ratio is between 0.85 and 0.95 message is </t>
    </r>
    <r>
      <rPr>
        <b/>
        <sz val="10"/>
        <color theme="9" tint="-0.249977111117893"/>
        <rFont val="Arial"/>
        <family val="2"/>
      </rPr>
      <t>CAUTION</t>
    </r>
    <r>
      <rPr>
        <sz val="10"/>
        <rFont val="Arial"/>
        <family val="2"/>
      </rPr>
      <t>.</t>
    </r>
  </si>
  <si>
    <t>DA</t>
  </si>
  <si>
    <t>drainage area</t>
  </si>
  <si>
    <t>USGS</t>
  </si>
  <si>
    <t>U.S. Geological Survey</t>
  </si>
  <si>
    <t>3) If the pier in the abutment area is a multiple column bent/pier with minimal skew or a solid, long pier with no skew, and the pier width is less than or equal to 2.3 ft, then do not add pier scour to total scour.  (NOTE:  The exception to this guidance is for sites in the Piedmont with abutment-scour depths less than or equal to 5 ft as noted in item 2 above.)</t>
  </si>
  <si>
    <t>1) If the main channel is well defined and considered to be live-bed in nature, it will be assumed that the live-bed contraction scour and channel pier scour will be included in the estimate for total scour in the main channel.  The spreadsheet will automatically determine if these scour components are to be included in the estimate of total scour in the main channel.</t>
  </si>
  <si>
    <t>Clear-water abutment scour from USGS curves      (feet)</t>
  </si>
  <si>
    <t>3)   If clear-water overbank scour is determined to be applicable to the overbank area, then the spreadsheet will automatically apply the calculated pier scour to the overbank as well.</t>
  </si>
  <si>
    <t>2)  Live-bed contraction scour will not be applied to a relief bridge or to a bridge with a swampy, poorly defined channel; at such bridges, it will be assumed that clear-water scour conditions prevail and the procedures for applying clear-water abutment and contraction scour, as noted previously, will be used. The spreadsheet will automatically determine if live-bed scour should or should not be applied to the channel.</t>
  </si>
  <si>
    <t>Topwidth</t>
  </si>
  <si>
    <t>Drainage Area (sq mi)</t>
  </si>
  <si>
    <r>
      <t xml:space="preserve"> </t>
    </r>
    <r>
      <rPr>
        <sz val="10"/>
        <color indexed="8"/>
        <rFont val="Arial"/>
        <family val="2"/>
      </rPr>
      <t xml:space="preserve">Angle </t>
    </r>
    <r>
      <rPr>
        <sz val="10"/>
        <rFont val="Arial"/>
        <family val="2"/>
      </rPr>
      <t xml:space="preserve"> </t>
    </r>
  </si>
  <si>
    <r>
      <t xml:space="preserve"> </t>
    </r>
    <r>
      <rPr>
        <sz val="10"/>
        <color indexed="8"/>
        <rFont val="Arial"/>
        <family val="2"/>
      </rPr>
      <t xml:space="preserve">L/a=4 </t>
    </r>
    <r>
      <rPr>
        <sz val="10"/>
        <rFont val="Arial"/>
        <family val="2"/>
      </rPr>
      <t xml:space="preserve"> </t>
    </r>
  </si>
  <si>
    <r>
      <t xml:space="preserve"> </t>
    </r>
    <r>
      <rPr>
        <sz val="10"/>
        <color indexed="8"/>
        <rFont val="Arial"/>
        <family val="2"/>
      </rPr>
      <t xml:space="preserve">L/a=8 </t>
    </r>
    <r>
      <rPr>
        <sz val="10"/>
        <rFont val="Arial"/>
        <family val="2"/>
      </rPr>
      <t xml:space="preserve"> </t>
    </r>
  </si>
  <si>
    <r>
      <t xml:space="preserve"> </t>
    </r>
    <r>
      <rPr>
        <sz val="10"/>
        <color indexed="8"/>
        <rFont val="Arial"/>
        <family val="2"/>
      </rPr>
      <t xml:space="preserve">L/a=12 </t>
    </r>
    <r>
      <rPr>
        <sz val="10"/>
        <rFont val="Arial"/>
        <family val="2"/>
      </rPr>
      <t xml:space="preserve"> </t>
    </r>
  </si>
  <si>
    <t>Abutment-Scour Hole Topwidth</t>
  </si>
  <si>
    <r>
      <t xml:space="preserve"> </t>
    </r>
    <r>
      <rPr>
        <sz val="10"/>
        <color indexed="8"/>
        <rFont val="Arial"/>
        <family val="2"/>
      </rPr>
      <t>Angle = skew angle of flow, in degrees; L = length of pier, in feet; a = pier width, in feet</t>
    </r>
  </si>
  <si>
    <t>References Used in the Template</t>
  </si>
  <si>
    <t>HEC-18</t>
  </si>
  <si>
    <t>http://pubs.usgs.gov/sir/2012/5029/</t>
  </si>
  <si>
    <t>Benedict, S.T., and Caldwell, A.W., 2012, Modification of selected South Carolina bridge-scour envelope curves:U.S. Geological Survey Scientific Investigations Report 2012-5029, 37 p.</t>
  </si>
  <si>
    <t>Benedict, S.T., 2003, Clear-water abutment and contraction scour in the Coastal Plain and Piedmont Provinces of South Carolina, 1996–99: U.S. Geological Survey Water-Resources Investigations Report 03–4064, 137 p.</t>
  </si>
  <si>
    <t>Abutment-scour by 500-year flow coefficient:</t>
  </si>
  <si>
    <r>
      <t>1) The 500-year flow adjustment coefficient (K</t>
    </r>
    <r>
      <rPr>
        <vertAlign val="subscript"/>
        <sz val="10"/>
        <color theme="1"/>
        <rFont val="Arial"/>
        <family val="2"/>
      </rPr>
      <t>500</t>
    </r>
    <r>
      <rPr>
        <sz val="10"/>
        <color theme="1"/>
        <rFont val="Arial"/>
        <family val="2"/>
      </rPr>
      <t>) is used to calculate the relative abutment scour increase from 100- to 500-year flows.</t>
    </r>
  </si>
  <si>
    <t>(Option to fill in/modify gray shaded cells. Other cells are selected/calculated automatically.)</t>
  </si>
  <si>
    <t>Final Selected Clear-Water Contraction-Scour Depth:</t>
  </si>
  <si>
    <t>Final Selected Clear-Water Abutment-Scour Depth:</t>
  </si>
  <si>
    <t>Clear-Water Contraction-Scour Estimate</t>
  </si>
  <si>
    <t>Live-Bed Contraction-Scour Estimate</t>
  </si>
  <si>
    <t>Final Selected Live-Bed Contraction-Scour Depth:</t>
  </si>
  <si>
    <t>Clear-water contraction-scour by 500-year flow coefficient:</t>
  </si>
  <si>
    <t>Live-bed contraction-scour by 500-year flow coefficient:</t>
  </si>
  <si>
    <t>If so, use the maximum embankment length from the selected "Source Used" (see "Site Info" Sheet) for left and right embankment lengths.</t>
  </si>
  <si>
    <t>1) If the bridge is a relief or swampy bridge with a length of 240 ft or less, the scour depth determined by embankment length for the left and right abutments should be based on the longest embankment length. NOTE: The "Use embankment length" from above should reflect the maximum embankment length from the left or right embankment if the bridge meets the criteria in item 1.  Check to verify.</t>
  </si>
  <si>
    <t>2)  For Piedmont sites the maximum embankment length = 950 ft.</t>
  </si>
  <si>
    <t>3)  For Coastal Plain sites the maximum embankment length = 7,440 ft, but most of the data is for lengths of about 2,000 ft or less. Caution must be used when values exceed 2,000 ft.</t>
  </si>
  <si>
    <t>4)   Drainage area should fall within the range of measured data and caution should be used as drainage area approaches limits of data.</t>
  </si>
  <si>
    <t xml:space="preserve">Limits: </t>
  </si>
  <si>
    <t>1) If the bridge is a relief or swampy bridge with a length of 240 ft or less, the longest embankment length for the left or right embankments should be used at both abutments.</t>
  </si>
  <si>
    <t>2)  For Piedmont and Coastal Plain sites, the maximum embankment length = 500 ft.</t>
  </si>
  <si>
    <t>3)   Drainage area should fall within the range of measured data and caution should be used as drainage area approaches limits of data.</t>
  </si>
  <si>
    <t xml:space="preserve">Limits:  </t>
  </si>
  <si>
    <t>3)  Drainage area should fall within range of measured data and caution should be used as drainage area approaches limits of data.</t>
  </si>
  <si>
    <t>3)  Drainage area should fall within the range of measured data and caution should be used as drainage area approaches limits of data.</t>
  </si>
  <si>
    <t>2)  Limited clear-water scour data suggests that it may be appropriate to extend the live-bed curve beyond a value of 0.82; however caution and judgment must be used.</t>
  </si>
  <si>
    <t>3)  Drainage area should fall within range of the measured data and caution should be used as drainage area approaches limits of data.</t>
  </si>
  <si>
    <t>4)  Because of uncertainty associated with the live-bed contraction-scour data, caution and judgment must be used in the final estimate of live-bed contraction scour.</t>
  </si>
  <si>
    <t>2)  Drainage area should be 200 square miles or less.</t>
  </si>
  <si>
    <t>3)  Because of uncertainty associated with the live-bed contraction-scour data, caution and judgment must be used in the final estimate of live-bed contraction scour.</t>
  </si>
  <si>
    <t>Clear-Water Abutment-Scour Depth from Envelope Curves</t>
  </si>
  <si>
    <t>Clear-Water Contraction-Scour Depth from Envelope Curves</t>
  </si>
  <si>
    <t>(occurs in the abutment region)</t>
  </si>
  <si>
    <t>(occurs in the overbank region)</t>
  </si>
  <si>
    <t>(occurs in the channel region)</t>
  </si>
  <si>
    <t>(Fill in gray shaded cells. Other cells are selected/calculated automatically.)</t>
  </si>
  <si>
    <t>PSDb-2014</t>
  </si>
  <si>
    <t>Final selected pier scour depth (feet)</t>
  </si>
  <si>
    <t>Overbank width (Old SCDOT plans if available):</t>
  </si>
  <si>
    <t>Benedict, S.T., and Caldwell, A.W., 2014, A pier-scour database—2,427 field and laboratory measurements of pier scour: U.S. Geological Survey Data Series 845, 22 p.</t>
  </si>
  <si>
    <t>http://pubs.usgs.gov/ds/0845/</t>
  </si>
  <si>
    <r>
      <t>LEW station at unconstricted cross section from plans (</t>
    </r>
    <r>
      <rPr>
        <b/>
        <sz val="10"/>
        <color rgb="FFFF0000"/>
        <rFont val="Arial"/>
        <family val="2"/>
      </rPr>
      <t>if no data, leave cell empty</t>
    </r>
    <r>
      <rPr>
        <b/>
        <sz val="10"/>
        <rFont val="Arial"/>
        <family val="2"/>
      </rPr>
      <t>):</t>
    </r>
  </si>
  <si>
    <r>
      <t xml:space="preserve">Type of pier or bent </t>
    </r>
    <r>
      <rPr>
        <b/>
        <sz val="11"/>
        <color rgb="FF0070C0"/>
        <rFont val="Arial"/>
        <family val="2"/>
      </rPr>
      <t>(choose from list)</t>
    </r>
  </si>
  <si>
    <r>
      <t xml:space="preserve">Envelope curve used </t>
    </r>
    <r>
      <rPr>
        <b/>
        <sz val="11"/>
        <color rgb="FF0070C0"/>
        <rFont val="Arial"/>
        <family val="2"/>
      </rPr>
      <t>(choose from list)</t>
    </r>
  </si>
  <si>
    <r>
      <t xml:space="preserve">Pier length (feet) </t>
    </r>
    <r>
      <rPr>
        <b/>
        <sz val="11"/>
        <color rgb="FF0070C0"/>
        <rFont val="Arial"/>
        <family val="2"/>
      </rPr>
      <t>(should not be less than pier width)</t>
    </r>
  </si>
  <si>
    <r>
      <t xml:space="preserve">Angle of attack (degrees) </t>
    </r>
    <r>
      <rPr>
        <b/>
        <sz val="11"/>
        <color rgb="FF0070C0"/>
        <rFont val="Arial"/>
        <family val="2"/>
      </rPr>
      <t>(should not exceed 90)</t>
    </r>
  </si>
  <si>
    <r>
      <t xml:space="preserve">Multiple column pier or bent? </t>
    </r>
    <r>
      <rPr>
        <b/>
        <sz val="11"/>
        <color rgb="FF0070C0"/>
        <rFont val="Arial"/>
        <family val="2"/>
      </rPr>
      <t>(choose from list)</t>
    </r>
  </si>
  <si>
    <r>
      <t xml:space="preserve">Column spacing to width ratio </t>
    </r>
    <r>
      <rPr>
        <b/>
        <sz val="11"/>
        <color rgb="FF0070C0"/>
        <rFont val="Arial"/>
        <family val="2"/>
      </rPr>
      <t>(should be between 2 and 10)</t>
    </r>
  </si>
  <si>
    <t>Use of Pier Scour Table below</t>
  </si>
  <si>
    <t xml:space="preserve"> - See cell comments for guidance on using the Pier Scour Table below.</t>
  </si>
  <si>
    <t>Pier Scour Table</t>
  </si>
  <si>
    <t>Guidance:</t>
  </si>
  <si>
    <t>Comments:</t>
  </si>
  <si>
    <t>Pier scour adjusted for skew (feet)</t>
  </si>
  <si>
    <r>
      <rPr>
        <b/>
        <sz val="14"/>
        <color rgb="FF0070C0"/>
        <rFont val="Arial"/>
        <family val="2"/>
      </rPr>
      <t xml:space="preserve">(Fill in gray shaded cells; </t>
    </r>
    <r>
      <rPr>
        <b/>
        <u/>
        <sz val="14"/>
        <color rgb="FFFF0000"/>
        <rFont val="Arial"/>
        <family val="2"/>
      </rPr>
      <t>leave blank</t>
    </r>
    <r>
      <rPr>
        <b/>
        <sz val="14"/>
        <color rgb="FF0070C0"/>
        <rFont val="Arial"/>
        <family val="2"/>
      </rPr>
      <t xml:space="preserve"> if data not available.)</t>
    </r>
  </si>
  <si>
    <r>
      <t>SCDOT Plan Data</t>
    </r>
    <r>
      <rPr>
        <b/>
        <sz val="10"/>
        <rFont val="Arial"/>
        <family val="2"/>
      </rPr>
      <t xml:space="preserve"> (Be sure to check for tie equalities)</t>
    </r>
  </si>
  <si>
    <t>Topographic Map Data</t>
  </si>
  <si>
    <t>FEMA/Other Map Data</t>
  </si>
  <si>
    <t>Select Source for Embankment Length:</t>
  </si>
  <si>
    <r>
      <t>**NOTE:</t>
    </r>
    <r>
      <rPr>
        <sz val="10"/>
        <color rgb="FFFF0000"/>
        <rFont val="Arial"/>
        <family val="2"/>
      </rPr>
      <t xml:space="preserve"> The "USE embankment length" value is automatically selected, but can be overridden by typing in another value. If the originally selected value of embankment length is overridden, justification should be provided in the comments below.</t>
    </r>
  </si>
  <si>
    <r>
      <rPr>
        <b/>
        <sz val="10"/>
        <rFont val="Arial"/>
        <family val="2"/>
      </rPr>
      <t>**NOTE:</t>
    </r>
    <r>
      <rPr>
        <sz val="10"/>
        <rFont val="Arial"/>
        <family val="2"/>
      </rPr>
      <t xml:space="preserve"> The inundated areas on the FEMA/Other map should be used to approximate the flood-plain topwidth.</t>
    </r>
  </si>
  <si>
    <r>
      <rPr>
        <b/>
        <sz val="10"/>
        <rFont val="Arial"/>
        <family val="2"/>
      </rPr>
      <t>**NOTE:</t>
    </r>
    <r>
      <rPr>
        <sz val="10"/>
        <rFont val="Arial"/>
        <family val="2"/>
      </rPr>
      <t xml:space="preserve"> Average flood-plain flow depth in Coastal Plain and Piedmont is approximately 7 ft.</t>
    </r>
  </si>
  <si>
    <t>Select Source for Overbank Width:</t>
  </si>
  <si>
    <r>
      <rPr>
        <b/>
        <sz val="10"/>
        <rFont val="Arial"/>
        <family val="2"/>
      </rPr>
      <t>**NOTE:</t>
    </r>
    <r>
      <rPr>
        <sz val="10"/>
        <rFont val="Arial"/>
        <family val="2"/>
      </rPr>
      <t xml:space="preserve"> The overbank width information is compared with the topwidth of the abutment-scour hole to determine how much of the overbank width will be covered by the abutment-scour hole and how much will remain for overbank scour.</t>
    </r>
  </si>
  <si>
    <r>
      <rPr>
        <b/>
        <sz val="10"/>
        <rFont val="Arial"/>
        <family val="2"/>
      </rPr>
      <t>**NOTE:</t>
    </r>
    <r>
      <rPr>
        <sz val="10"/>
        <rFont val="Arial"/>
        <family val="2"/>
      </rPr>
      <t xml:space="preserve"> If the site is a relief bridge or has a swampy, poorly defined channel, then the overbank width will be determined by splitting the toe-to-toe width between the left and right overbanks.</t>
    </r>
  </si>
  <si>
    <t>Original Clear-Water Abutment-Scour Curves</t>
  </si>
  <si>
    <r>
      <t xml:space="preserve">USE embankment length </t>
    </r>
    <r>
      <rPr>
        <sz val="10"/>
        <color rgb="FFFF0000"/>
        <rFont val="Arial"/>
        <family val="2"/>
      </rPr>
      <t>(</t>
    </r>
    <r>
      <rPr>
        <i/>
        <sz val="10"/>
        <color rgb="FFFF0000"/>
        <rFont val="Arial"/>
        <family val="2"/>
      </rPr>
      <t>from Site Info Sheet</t>
    </r>
    <r>
      <rPr>
        <sz val="10"/>
        <color rgb="FFFF0000"/>
        <rFont val="Arial"/>
        <family val="2"/>
      </rPr>
      <t>)</t>
    </r>
    <r>
      <rPr>
        <b/>
        <sz val="10"/>
        <rFont val="Arial"/>
        <family val="2"/>
      </rPr>
      <t>:</t>
    </r>
  </si>
  <si>
    <t>Modified Clear-Water Abutment-Scour Curve</t>
  </si>
  <si>
    <t>Relative Increase in Theoretical Clear-Water Abutment-Scour from the 100- to 500-Year Flows</t>
  </si>
  <si>
    <t>**NOTES:</t>
  </si>
  <si>
    <r>
      <rPr>
        <b/>
        <sz val="10"/>
        <color rgb="FFFF0000"/>
        <rFont val="Arial"/>
        <family val="2"/>
      </rPr>
      <t>**NOTE:</t>
    </r>
    <r>
      <rPr>
        <sz val="10"/>
        <color rgb="FFFF0000"/>
        <rFont val="Arial"/>
        <family val="2"/>
      </rPr>
      <t xml:space="preserve"> The "Selected clear-water overbank-contraction-scour depth" value is automatically selected,  but can be overridden by typing in another value. If the originally selected value of overbank-contraction-scour depth is overridden, justification should be provided in the comments below.</t>
    </r>
  </si>
  <si>
    <t>Relative Increase in Theoretical Clear-Water Contraction-Scour from the 100- to 500-Year Flows</t>
  </si>
  <si>
    <t>Original Live-Bed Contraction-Scour Curve:</t>
  </si>
  <si>
    <t>Modified Live-Bed Contraction-Scour Curve:</t>
  </si>
  <si>
    <t>Original and Modified Live-Bed Contraction-Scour Curve</t>
  </si>
  <si>
    <t>Relative Increase in Theoretical Live-Bed Contraction-Scour from the 100- to 500-Year Flows</t>
  </si>
  <si>
    <t>Scour analysis using USGS Bridge-Scour Envelope Curves</t>
  </si>
  <si>
    <t>Skew Coefficients from HEC-18</t>
  </si>
  <si>
    <r>
      <rPr>
        <sz val="11"/>
        <color indexed="8"/>
        <rFont val="Arial"/>
        <family val="2"/>
      </rPr>
      <t>Correction Factor, K</t>
    </r>
    <r>
      <rPr>
        <sz val="6.6"/>
        <color indexed="8"/>
        <rFont val="Arial"/>
        <family val="2"/>
      </rPr>
      <t>2</t>
    </r>
    <r>
      <rPr>
        <sz val="11"/>
        <color indexed="8"/>
        <rFont val="Arial"/>
        <family val="2"/>
      </rPr>
      <t xml:space="preserve">, for Angle of Attack, θ, of the Flow. </t>
    </r>
    <r>
      <rPr>
        <sz val="11"/>
        <rFont val="Arial"/>
        <family val="2"/>
      </rPr>
      <t xml:space="preserve"> </t>
    </r>
  </si>
  <si>
    <t>Arneson, L.A., Zevenbergen, L.W., Lagasse, P.F., and Clopper, P.E., 2012, Evaluating scour at bridges (5th ed.): Federal Highway Administration Hydraulic Engineering Circular No. 18, Publication No. FHWA-HIF-12-003, 340 p.</t>
  </si>
  <si>
    <t>Embankment Length</t>
  </si>
  <si>
    <t>Geometric-Contraction Ratio</t>
  </si>
  <si>
    <t>Embankment Length Category</t>
  </si>
  <si>
    <t>Interpolation</t>
  </si>
  <si>
    <t>Original abutment-scour curve selection:</t>
  </si>
  <si>
    <t>Modified abutment-scour curve selection:</t>
  </si>
  <si>
    <t>Selected original abutment-scour depth:</t>
  </si>
  <si>
    <t>Selected modified abutment-scour depth:</t>
  </si>
  <si>
    <t>Final abutment-scour curve selection:</t>
  </si>
  <si>
    <t>Automatic Selection</t>
  </si>
  <si>
    <t>Original Curve Selection</t>
  </si>
  <si>
    <t>Modified Curve Selection</t>
  </si>
  <si>
    <t>Final selected clear water abutment-scour depth:</t>
  </si>
  <si>
    <t>500-yr flow coefficient:</t>
  </si>
  <si>
    <t>Final live-bed contraction-scour curve selection:</t>
  </si>
  <si>
    <t>Final selected live-bed contraction-scour depth:</t>
  </si>
  <si>
    <t>A Note to Template Users:</t>
  </si>
  <si>
    <t xml:space="preserve">          Throughout this workbook there are several locations where users are asked to fill in bridge-site information and where users have the option to select their preferred bridge-scour envelope curve. The authors recommend that a blank template be used when starting a new bridge-scour assessment to avoid mistakes possible when back-tracking through a previously populated template. </t>
  </si>
  <si>
    <t>*Use a blank template when starting new assessments*</t>
  </si>
  <si>
    <r>
      <rPr>
        <b/>
        <sz val="10"/>
        <rFont val="Arial"/>
        <family val="2"/>
      </rPr>
      <t xml:space="preserve">Drainage Area Check -- </t>
    </r>
    <r>
      <rPr>
        <u/>
        <sz val="10"/>
        <rFont val="Arial"/>
        <family val="2"/>
      </rPr>
      <t>Original</t>
    </r>
    <r>
      <rPr>
        <sz val="10"/>
        <rFont val="Arial"/>
        <family val="2"/>
      </rPr>
      <t xml:space="preserve"> Curve (Benedict and others, 2016; Benedict, 2003):</t>
    </r>
  </si>
  <si>
    <r>
      <rPr>
        <b/>
        <sz val="10"/>
        <rFont val="Arial"/>
        <family val="2"/>
      </rPr>
      <t>Drainage Area Check --</t>
    </r>
    <r>
      <rPr>
        <sz val="10"/>
        <rFont val="Arial"/>
        <family val="2"/>
      </rPr>
      <t xml:space="preserve"> </t>
    </r>
    <r>
      <rPr>
        <u/>
        <sz val="10"/>
        <rFont val="Arial"/>
        <family val="2"/>
      </rPr>
      <t>Modified</t>
    </r>
    <r>
      <rPr>
        <sz val="10"/>
        <rFont val="Arial"/>
        <family val="2"/>
      </rPr>
      <t xml:space="preserve"> Curve (Benedict and others, 2016; Benedict and Caldwell, 2012):</t>
    </r>
  </si>
  <si>
    <r>
      <t xml:space="preserve">Embankment length range check -- </t>
    </r>
    <r>
      <rPr>
        <u/>
        <sz val="10"/>
        <rFont val="Arial"/>
        <family val="2"/>
      </rPr>
      <t>Original</t>
    </r>
    <r>
      <rPr>
        <sz val="10"/>
        <rFont val="Arial"/>
        <family val="2"/>
      </rPr>
      <t xml:space="preserve"> Curve (Benedict and others, 2016; Benedict, 2003): </t>
    </r>
    <r>
      <rPr>
        <sz val="10"/>
        <color rgb="FFFF0000"/>
        <rFont val="Arial"/>
        <family val="2"/>
      </rPr>
      <t>(</t>
    </r>
    <r>
      <rPr>
        <i/>
        <sz val="10"/>
        <color rgb="FFFF0000"/>
        <rFont val="Arial"/>
        <family val="2"/>
      </rPr>
      <t>from "EQUATIONS" Sheet</t>
    </r>
    <r>
      <rPr>
        <sz val="10"/>
        <color rgb="FFFF0000"/>
        <rFont val="Arial"/>
        <family val="2"/>
      </rPr>
      <t>)</t>
    </r>
  </si>
  <si>
    <r>
      <t xml:space="preserve">Embankment length range check -- </t>
    </r>
    <r>
      <rPr>
        <u/>
        <sz val="10"/>
        <rFont val="Arial"/>
        <family val="2"/>
      </rPr>
      <t>Modified</t>
    </r>
    <r>
      <rPr>
        <sz val="10"/>
        <rFont val="Arial"/>
        <family val="2"/>
      </rPr>
      <t xml:space="preserve"> Curve (Benedict and others, 2016; Benedict and Caldwell, 2012): </t>
    </r>
    <r>
      <rPr>
        <sz val="10"/>
        <color rgb="FFFF0000"/>
        <rFont val="Arial"/>
        <family val="2"/>
      </rPr>
      <t>(</t>
    </r>
    <r>
      <rPr>
        <i/>
        <sz val="10"/>
        <color rgb="FFFF0000"/>
        <rFont val="Arial"/>
        <family val="2"/>
      </rPr>
      <t>from "EQUATIONS" Sheet</t>
    </r>
    <r>
      <rPr>
        <sz val="10"/>
        <color rgb="FFFF0000"/>
        <rFont val="Arial"/>
        <family val="2"/>
      </rPr>
      <t>)</t>
    </r>
  </si>
  <si>
    <t>(Benedict and others, 2016; Benedict, 2003)</t>
  </si>
  <si>
    <t>(Benedict and others, 2016; Benedict and Caldwell, 2012)</t>
  </si>
  <si>
    <t>Original Clear-Water Abutment-Scour Curves (Benedict and others, 2016; Benedict, 2003):</t>
  </si>
  <si>
    <t>Modified Clear-Water Abutment-Scour Curve (Benedict and others, 2016; Benedict and Caldwell, 2012):</t>
  </si>
  <si>
    <t>Relative Increase in Theoretical Clear-Water Abutment-Scour from the 100- to 500-Year Flows (Benedict and others, 2016):</t>
  </si>
  <si>
    <t>2) Use for single bridges only.  Use original curve (Benedict and others, 2016; Benedict, 2003) for multiple bridges.</t>
  </si>
  <si>
    <t>(Benedict and others, 2016)</t>
  </si>
  <si>
    <t>(Benedict and others, 2016; Benedict and Caldwell, 2006)</t>
  </si>
  <si>
    <t>Relative Increase in Theoretical Clear-Water Contraction Scour from the 100- to 500-Year Flows (Benedict and others, 2016):</t>
  </si>
  <si>
    <t>Drainage Area Check -- Original Curve (Benedict and others, 2016; Benedict and Caldwell, 2009):</t>
  </si>
  <si>
    <t>Drainage Area Check -- Modified Curve (Benedict and others, 2016; Benedict and Caldwell, 2012):</t>
  </si>
  <si>
    <t>(Benedict and others, 2016; Benedict and Caldwell, 2009)</t>
  </si>
  <si>
    <t>Relative Increase in Theoretical Live-Bed Contraction Scour from the 100- to 500-Year Flows (Benedict and others, 2016):</t>
  </si>
  <si>
    <t>(Benedict and others, 2016; Benedict and Caldwell, 2012; Benedict and Caldwell, 2009)</t>
  </si>
  <si>
    <t>1) If drainage area is 200 square miles or less, then use the live-bed contraction-scour estimate based on the modified envelope curve  (Benedict and Caldwell, 2012). Otherwise, use the estimate based on the original envelope curve (Benedict and others, 2016; Benedict and Caldwell, 2009).</t>
  </si>
  <si>
    <t>(Benedict and others, 2016; Benedict and Caldwell, 2009; Benedict and Caldwell, 2006)</t>
  </si>
  <si>
    <t>Relative Increase in Theoretical Pier-Scour from the 100- to 500-Year Flows (Benedict and others, 2016):</t>
  </si>
  <si>
    <t>Refer to Benedict and others (2016) and Benedict (2003) for additional guidance.</t>
  </si>
  <si>
    <t>Refer to Benedict and others (2016) and Benedict and Caldwell (2006) for additional guidance.</t>
  </si>
  <si>
    <t>Refer to Benedict and others (2016) and Benedict and Caldwell (2009) for additional guidance.</t>
  </si>
  <si>
    <t xml:space="preserve">     I.  Estimate from abutment-length envelope curves -- Original Curves (Benedict and others, 2016; Benedict, 2003)</t>
  </si>
  <si>
    <t xml:space="preserve">     III. Estimate by embankment-length category -- Modified Curves (Benedict and others, 2016; Benedict and Caldwell, 2012)</t>
  </si>
  <si>
    <t>Estimate of Clear-Water Abutment-Scour Hole Topwidth from Envelope Curve (Benedict and others, 2016; Benedict, 2003)</t>
  </si>
  <si>
    <t>Estimate of Clear-Water Overbank Contraction-Scour Depth from Envelope Curves (Benedict and others, 2016; Benedict and Caldwell, 2006)</t>
  </si>
  <si>
    <t>Original Clear-Water Abutment-Scour Envelope Curves (Benedict and others, 2016; Benedict, 2003)</t>
  </si>
  <si>
    <t>Modified Clear-Water Abutment-Scour Envelope Curves (Benedict and others, 2016; Benedict and Caldwell, 2012)</t>
  </si>
  <si>
    <t>Original Live-Bed Channel Contraction-Scour Envelope Curve (Benedict and others, 2016; Benedict and Caldwell, 2009)</t>
  </si>
  <si>
    <t>Pier-Scour Envelope Curves (Benedict and others, 2016; Benedict and Caldwell, 2006; 2009)</t>
  </si>
  <si>
    <t>Modified Live-Bed Channel Contraction-Scour Envelope Curves (Benedict and others, 2016; Benedict and Caldwell, 2012)</t>
  </si>
  <si>
    <t>Clear-Water Overbank Contraction-Scour Envelope Curve (Benedict and others, 2016; Benedict and Caldwell, 2006)</t>
  </si>
  <si>
    <t>Estimate of Abutment-Scour  --  Original Abutment-Scour Envelope Curves (Benedict and others, 2016; Benedict, 2003)</t>
  </si>
  <si>
    <t>Estimate of Abutment-Scour  --  Modified Abutment-Scour Envelope Curves (Benedict and others, 2016; Benedict and Caldwell, 2012)</t>
  </si>
  <si>
    <t>Abutment-Scour Hole Topwidths (Benedict and others, 2016; Benedict, 2003)</t>
  </si>
  <si>
    <t>Modified Abutment-Scour Envelope Curves (Benedict and others, 2016; Benedict and Caldwell, 2012)</t>
  </si>
  <si>
    <t>High Water</t>
  </si>
  <si>
    <r>
      <rPr>
        <b/>
        <sz val="10"/>
        <rFont val="Arial"/>
        <family val="2"/>
      </rPr>
      <t>**NOTE:</t>
    </r>
    <r>
      <rPr>
        <sz val="10"/>
        <rFont val="Arial"/>
        <family val="2"/>
      </rPr>
      <t xml:space="preserve"> The approach cross section should represent the unconstricted natural cross section located approximately one bridge-width upstream of the bridge of interest. </t>
    </r>
  </si>
  <si>
    <r>
      <rPr>
        <b/>
        <sz val="10"/>
        <rFont val="Arial"/>
        <family val="2"/>
      </rPr>
      <t>**NOTE:</t>
    </r>
    <r>
      <rPr>
        <sz val="10"/>
        <rFont val="Arial"/>
        <family val="2"/>
      </rPr>
      <t xml:space="preserve"> The HWM from the SCDOT plans, HWM from flood documentation, or the average flood-plain flow depth should be used to approximate the flood-plain topwidth.</t>
    </r>
  </si>
  <si>
    <r>
      <t xml:space="preserve"> </t>
    </r>
    <r>
      <rPr>
        <b/>
        <vertAlign val="superscript"/>
        <sz val="10"/>
        <rFont val="Arial"/>
        <family val="2"/>
      </rPr>
      <t>++</t>
    </r>
    <r>
      <rPr>
        <b/>
        <sz val="10"/>
        <rFont val="Arial"/>
        <family val="2"/>
      </rPr>
      <t xml:space="preserve">NOTE: </t>
    </r>
    <r>
      <rPr>
        <sz val="10"/>
        <rFont val="Arial"/>
        <family val="2"/>
      </rPr>
      <t>The SCDOT Requirements Manual recommends for new and replacement bridges that there be a minimum 10 foot setback distance from the top of bank to the abutment toe (written commun., S.T. Benedict, South Carolina Department of Transportation, September 12, 2016).</t>
    </r>
  </si>
  <si>
    <t>These and other limitations should be kept in mind when using the envelope curves to assess scour potential. The envelope curves are empirical methods that are based on limited field samples; it is possible that scour could exceed the envelope curves; therefore, application of a safety factor may be prudent. Application of the envelope curves is constrained to the range of data and site characteristics used to develop the envelope curves. The uncertainty associated with the envelope curves increases near the limits of the data range. The live-bed scour data have the largest uncertainty.</t>
  </si>
  <si>
    <t>The envelope curves do not account for unusual site conditions such as: debris; channel bank failures; pressure flow; unusual flow patterns created by unique site conditions; unusual pier geometries; and washout of approach road embankments.</t>
  </si>
  <si>
    <t>Subsurface soils can impede or promote scour. Therefore, assessing the potential effect of subsurface soils on scour is important.</t>
  </si>
  <si>
    <r>
      <rPr>
        <b/>
        <sz val="10"/>
        <color rgb="FFFF0000"/>
        <rFont val="Arial"/>
        <family val="2"/>
      </rPr>
      <t>**NOTE:</t>
    </r>
    <r>
      <rPr>
        <sz val="10"/>
        <color rgb="FFFF0000"/>
        <rFont val="Arial"/>
        <family val="2"/>
      </rPr>
      <t xml:space="preserve"> The "USE embankment length" value is automatically pulled from the Site Info Sheet.</t>
    </r>
  </si>
  <si>
    <r>
      <t>2) The K</t>
    </r>
    <r>
      <rPr>
        <vertAlign val="subscript"/>
        <sz val="10"/>
        <color theme="1"/>
        <rFont val="Arial"/>
        <family val="2"/>
      </rPr>
      <t>500</t>
    </r>
    <r>
      <rPr>
        <sz val="10"/>
        <color theme="1"/>
        <rFont val="Arial"/>
        <family val="2"/>
      </rPr>
      <t xml:space="preserve"> is a helpful tool for gaining perspective on the relative increase of theoretical scour associated with the 100- to 500-year abutment-scour depth. However, the adjusted envelope curve values should not be considered a definitive estimate of the abutment scour associated with the 500-year flow.</t>
    </r>
  </si>
  <si>
    <r>
      <rPr>
        <b/>
        <sz val="10"/>
        <color rgb="FFFF0000"/>
        <rFont val="Arial"/>
        <family val="2"/>
      </rPr>
      <t>NOTE:</t>
    </r>
    <r>
      <rPr>
        <sz val="10"/>
        <color rgb="FFFF0000"/>
        <rFont val="Arial"/>
        <family val="2"/>
      </rPr>
      <t xml:space="preserve"> The "Abutment scour-hole topwidth" is automatically calculated. The scour-hole topwidth equations coded in the spreadsheet limit the abutment-scour depth to 25 feet, which is beyond the range of the original graphs. The cell below the scour-hole topwidth will indicate if the abutment-scour depth exceeds the graph range and judgment must be used with regard to utilizing the estimated value.</t>
    </r>
  </si>
  <si>
    <t>Clear-Water Contraction-Scour Curve (Benedict and others, 2016; Benedict and Caldwell, 2006)</t>
  </si>
  <si>
    <t>Clear-Water Contraction-Scour Curve</t>
  </si>
  <si>
    <r>
      <t>2) The K</t>
    </r>
    <r>
      <rPr>
        <vertAlign val="subscript"/>
        <sz val="10"/>
        <color theme="1"/>
        <rFont val="Arial"/>
        <family val="2"/>
      </rPr>
      <t>500</t>
    </r>
    <r>
      <rPr>
        <sz val="10"/>
        <color theme="1"/>
        <rFont val="Arial"/>
        <family val="2"/>
      </rPr>
      <t xml:space="preserve"> is a helpful tool for gaining perspective on the relative increase of theoretical scour associated with the 100- to 500-year clear-water contraction-scour depth. However, the adjusted envelope curve values should not be considered a definitive estimate of the scour associated with the 500-year flow.</t>
    </r>
  </si>
  <si>
    <r>
      <t xml:space="preserve">NOTE: </t>
    </r>
    <r>
      <rPr>
        <sz val="10"/>
        <rFont val="Arial"/>
        <family val="2"/>
      </rPr>
      <t>Only the field envelope curve for live-bed contraction scour is used in the spreadsheet template. The user may refer to Benedict and others (2016) for application of the dimensionless envelope curve, if deemed appropriate.</t>
    </r>
  </si>
  <si>
    <r>
      <t xml:space="preserve">Live-Bed Contraction-Scour Depth from Envelope Curves </t>
    </r>
    <r>
      <rPr>
        <b/>
        <u/>
        <sz val="12"/>
        <color rgb="FFFF0000"/>
        <rFont val="Arial"/>
        <family val="2"/>
      </rPr>
      <t>(NOTE: Only the Field Envelope Curves are Used)</t>
    </r>
  </si>
  <si>
    <t>Modified Field Envelope Curve for Live-Bed Contraction-Scour Curve (Benedict and others, 2016; Benedict and Caldwell, 2012):</t>
  </si>
  <si>
    <t>Original Field Envelope Curve for Live-Bed Contraction-Scour Curve (Benedict and others, 2016; Benedict and Caldwell, 2009):</t>
  </si>
  <si>
    <r>
      <rPr>
        <b/>
        <sz val="10"/>
        <color theme="1"/>
        <rFont val="Arial"/>
        <family val="2"/>
      </rPr>
      <t>NOTE:</t>
    </r>
    <r>
      <rPr>
        <sz val="10"/>
        <color theme="1"/>
        <rFont val="Arial"/>
        <family val="2"/>
      </rPr>
      <t xml:space="preserve"> Only the field envelope curve for live-bed contraction scour is used in the spreadsheet template. The user may refer to Benedict and others (2016) for application of the dimensionless envelope curve, if deemed appropriate.</t>
    </r>
  </si>
  <si>
    <r>
      <t>2) The K</t>
    </r>
    <r>
      <rPr>
        <vertAlign val="subscript"/>
        <sz val="10"/>
        <color theme="1"/>
        <rFont val="Arial"/>
        <family val="2"/>
      </rPr>
      <t>500</t>
    </r>
    <r>
      <rPr>
        <sz val="10"/>
        <color theme="1"/>
        <rFont val="Arial"/>
        <family val="2"/>
      </rPr>
      <t xml:space="preserve"> is a helpful tool for gaining perspective on the relative increase of theoretical scour associated with the 100- to 500-year live-bed contraction-scour depth. However, the adjusted envelope curve values should not be considered a definitive estimate of the scour associated with the 500-year flow.</t>
    </r>
  </si>
  <si>
    <r>
      <rPr>
        <b/>
        <sz val="10"/>
        <rFont val="Arial"/>
        <family val="2"/>
      </rPr>
      <t xml:space="preserve">**NOTE: </t>
    </r>
    <r>
      <rPr>
        <sz val="10"/>
        <rFont val="Arial"/>
        <family val="2"/>
      </rPr>
      <t>The K</t>
    </r>
    <r>
      <rPr>
        <vertAlign val="subscript"/>
        <sz val="10"/>
        <rFont val="Arial"/>
        <family val="2"/>
      </rPr>
      <t>500</t>
    </r>
    <r>
      <rPr>
        <sz val="10"/>
        <rFont val="Arial"/>
        <family val="2"/>
      </rPr>
      <t xml:space="preserve"> is a helpful tool for gaining perspective on the relative increase of theoretical scour associated with the 100- to 500-year clear-water contraction-scour depth. However, the adjusted envelope curve values should not be considered a definitive estimate of the scour associated with the 500-year flow.</t>
    </r>
  </si>
  <si>
    <t>Do not modify this worksheet. This worksheet uses data entered in other worksheets of this workbook and uses the various South Carolina Bridge-Scour Envelope Curves to calculate the upper bound of selected scour parameters.</t>
  </si>
  <si>
    <t>The South Carolina Bridge-Scour Envelope Curve Template was designed to provide a consistent procedure to apply the South Carolina bridge-scour envelope curves. The template was tested with a limited number of bridges and corrections were made as necessary.</t>
  </si>
  <si>
    <t>Although much effort was expended in the development and review of this template, no warranty, expressed or implied, is made by the U.S. Geological Survey as to the accuracy and functioning of the template and related template materials.</t>
  </si>
  <si>
    <t>The development of the South Carolina bridge-scour envelope curves is documented in a series of five reports published over a period from 2003 to 2014 (reports listed below with website links).  Benedict and others (2016; website link below) provides a summary of those five previous reports and the 2016 report should be used as the primary source for guidance in applying the envelope curves and understanding their limitations.  However, the earlier five reports provide important background information, and users of this template should be familiar with their content. The South Carolina bridge-scour envelope curves are useful supplementary tools for assessing scour potential at bridges in South Carolina. However, there are limitations associated with these empirical methods that must be considered in their application. The reports listed below (with website links) describe these limitations, and users of this template should be familiar with their content.</t>
  </si>
  <si>
    <r>
      <rPr>
        <b/>
        <sz val="10"/>
        <rFont val="Arial"/>
        <family val="2"/>
      </rPr>
      <t>**NOTE:</t>
    </r>
    <r>
      <rPr>
        <sz val="10"/>
        <rFont val="Arial"/>
        <family val="2"/>
      </rPr>
      <t xml:space="preserve"> The approach cross section should represent the unconstricted natural cross section located approximately one bridge-length upstream of the bridge of interest. </t>
    </r>
  </si>
  <si>
    <r>
      <t>Hydraulic Model Data</t>
    </r>
    <r>
      <rPr>
        <b/>
        <sz val="10"/>
        <rFont val="Arial"/>
        <family val="2"/>
      </rPr>
      <t xml:space="preserve"> (Stations for bridge cross section are based on unconstricted approach section station with bridge projected on to approach)</t>
    </r>
  </si>
  <si>
    <r>
      <t>LEW station at unconstricted approach cross section; OR left stagnation point for multiple bridge (</t>
    </r>
    <r>
      <rPr>
        <b/>
        <sz val="10"/>
        <color rgb="FFFF0000"/>
        <rFont val="Arial"/>
        <family val="2"/>
      </rPr>
      <t>if no data, leave cell empty</t>
    </r>
    <r>
      <rPr>
        <b/>
        <sz val="10"/>
        <rFont val="Arial"/>
        <family val="2"/>
      </rPr>
      <t>):</t>
    </r>
  </si>
  <si>
    <r>
      <t>LEW station at bridge (</t>
    </r>
    <r>
      <rPr>
        <b/>
        <sz val="10"/>
        <color rgb="FFFF0000"/>
        <rFont val="Arial"/>
        <family val="2"/>
      </rPr>
      <t>based on approach</t>
    </r>
    <r>
      <rPr>
        <b/>
        <sz val="10"/>
        <rFont val="Arial"/>
        <family val="2"/>
      </rPr>
      <t>):</t>
    </r>
  </si>
  <si>
    <r>
      <t>REW station at bridge (</t>
    </r>
    <r>
      <rPr>
        <b/>
        <sz val="10"/>
        <color rgb="FFFF0000"/>
        <rFont val="Arial"/>
        <family val="2"/>
      </rPr>
      <t>based on approach</t>
    </r>
    <r>
      <rPr>
        <b/>
        <sz val="10"/>
        <rFont val="Arial"/>
        <family val="2"/>
      </rPr>
      <t>):</t>
    </r>
  </si>
  <si>
    <r>
      <t>Left abutment toe station (</t>
    </r>
    <r>
      <rPr>
        <b/>
        <sz val="10"/>
        <color rgb="FFFF0000"/>
        <rFont val="Arial"/>
        <family val="2"/>
      </rPr>
      <t>based on approach</t>
    </r>
    <r>
      <rPr>
        <b/>
        <sz val="10"/>
        <rFont val="Arial"/>
        <family val="2"/>
      </rPr>
      <t>):</t>
    </r>
  </si>
  <si>
    <r>
      <t>Right abutment toe station (</t>
    </r>
    <r>
      <rPr>
        <b/>
        <sz val="10"/>
        <color rgb="FFFF0000"/>
        <rFont val="Arial"/>
        <family val="2"/>
      </rPr>
      <t>based on approach</t>
    </r>
    <r>
      <rPr>
        <b/>
        <sz val="10"/>
        <rFont val="Arial"/>
        <family val="2"/>
      </rPr>
      <t>):</t>
    </r>
  </si>
  <si>
    <t>equal unconstricted cross-section topwidth?</t>
  </si>
  <si>
    <t>Hydraulic Model</t>
  </si>
  <si>
    <t>Embankment length from model:</t>
  </si>
  <si>
    <t>Overbank width (Hydraulic Model):</t>
  </si>
  <si>
    <r>
      <t>Is overbank width greater than or equal to 10 feet?</t>
    </r>
    <r>
      <rPr>
        <b/>
        <vertAlign val="superscript"/>
        <sz val="10"/>
        <rFont val="Arial"/>
        <family val="2"/>
      </rPr>
      <t>++</t>
    </r>
  </si>
  <si>
    <t>2016</t>
  </si>
  <si>
    <t>Quality of Model Data:</t>
  </si>
  <si>
    <r>
      <t>REW station at unconstricted approach cross section; OR right stagnation point for multiple bridge (</t>
    </r>
    <r>
      <rPr>
        <b/>
        <sz val="10"/>
        <color rgb="FFFF0000"/>
        <rFont val="Arial"/>
        <family val="2"/>
      </rPr>
      <t>if no data, leave cell empty</t>
    </r>
    <r>
      <rPr>
        <b/>
        <sz val="10"/>
        <rFont val="Arial"/>
        <family val="2"/>
      </rPr>
      <t>):</t>
    </r>
  </si>
  <si>
    <t>Unconstricted cross-section topwidth from model data (approach before cross-section):</t>
  </si>
  <si>
    <t>Do embankment lengths and toe-to-toe distance equal unconstricted cross-section topwidth? (approach before cross-section)</t>
  </si>
  <si>
    <t>Channel topwidth (model):</t>
  </si>
  <si>
    <t>Distance from toe to toe (model):</t>
  </si>
  <si>
    <t>Left embankment length (model):</t>
  </si>
  <si>
    <t>Right embankment length (model):</t>
  </si>
  <si>
    <t>Scour region</t>
  </si>
  <si>
    <t>Enter Value</t>
  </si>
  <si>
    <t xml:space="preserve">The field data generally represent scour associated with flows approaching the 100-year flow magnitude but should not be considered a definitive estimate of the scour depth associated with the 100-year flow. Similarly, the 500-year flow adjustment coefficients can be used to provide perspective on the relative increase in theoretical scour associated with the 100- to 500-year flow condition, but should not be considered a definitive estimate of the scour depth associated with the 500-year flow. </t>
  </si>
  <si>
    <r>
      <t>1) The 500-year flow adjustment coefficient (K</t>
    </r>
    <r>
      <rPr>
        <vertAlign val="subscript"/>
        <sz val="10"/>
        <color theme="1"/>
        <rFont val="Arial"/>
        <family val="2"/>
      </rPr>
      <t>500</t>
    </r>
    <r>
      <rPr>
        <sz val="10"/>
        <color theme="1"/>
        <rFont val="Arial"/>
        <family val="2"/>
      </rPr>
      <t>) is used to calculate the relative clear-water contraction scour increase from 100- to 500-year flows.</t>
    </r>
  </si>
  <si>
    <t>6)  If clear-water overbank contraction scour depth (with no adjustment for pier scour) is greater than the abutment scour depth (with no adjustment for pier scour), then the clear-water overbank contraction scour depth will be used as the best representation of the abutment scour depth.  The spreadsheet will automatically determine if the clear-water overbank contraction scour depth is to be used in place of the abutment scour depth.</t>
  </si>
  <si>
    <t>Pile Penetration Table for Scour Estimates Using Flows Approaching the 100-year Flow</t>
  </si>
  <si>
    <t>Pile Penetration Table for Scour Estimates Using Flows Approaching the 100-year Flow and Adjusted by the 500-year Flow Adjustment Coefficient</t>
  </si>
  <si>
    <t>2) For single bridge, the spreadsheet will use the embankment-length envelope curves. However, there are cases when it may be appropriate to use the geometric-contraction ratio envelope curve if a more conservative estimate is deemed appropriate. Refer to Benedict and others (2016) for additional discussion.</t>
  </si>
  <si>
    <t>5) For multiple bridge in Coastal Plain: for embankment length &gt;= 426 ft, the spreadsheet will use the embankment-length envelope curves. However, there are cases when it may be appropriate to use the geometric-contraction ratio envelope curve if a more conservative estimate is deemed appropriate. Refer to Benedict and others (2016) for additional discussion.</t>
  </si>
  <si>
    <t>Skew coefficient [Based on guidance in Benedict and others (2016) and HEC-18]</t>
  </si>
  <si>
    <r>
      <t xml:space="preserve">Skew coefficient (selected value; </t>
    </r>
    <r>
      <rPr>
        <b/>
        <sz val="11"/>
        <color rgb="FF0070C0"/>
        <rFont val="Arial"/>
        <family val="2"/>
      </rPr>
      <t>should not exceed a value of 5</t>
    </r>
    <r>
      <rPr>
        <sz val="11"/>
        <rFont val="Arial"/>
        <family val="2"/>
      </rPr>
      <t>)</t>
    </r>
  </si>
  <si>
    <t>500-year flow coefficient:</t>
  </si>
  <si>
    <t>Hydraulic Engineering Circular No. 18 (Arneson and others, 2012)</t>
  </si>
  <si>
    <t>Benedict, S.T., Feaster, T.D., and Caldwell, A.W., 2016, The South Carolina bridge-scour envelope curves: U.S. Geological Survey Scientific Investigations Report 2016-5121, 96 p.</t>
  </si>
  <si>
    <t>Benedict, S.T., and Caldwell, A.W., 2012, Modification of selected South Carolina bridge-scour envelope curves: U.S. Geological Survey Scientific Investigations Report 2012-5029, 37 p.</t>
  </si>
  <si>
    <t>channel</t>
  </si>
  <si>
    <t>left abutment</t>
  </si>
  <si>
    <t>left overbank</t>
  </si>
  <si>
    <t>right abutment</t>
  </si>
  <si>
    <t>right overbank</t>
  </si>
  <si>
    <t>Application of Selected Envelope-Curve Equations</t>
  </si>
  <si>
    <t>m</t>
  </si>
  <si>
    <t>m (plans):</t>
  </si>
  <si>
    <t>m (topo map):</t>
  </si>
  <si>
    <t>Comparison of Geometric-Contraction Ratios [m]</t>
  </si>
  <si>
    <t>m Value</t>
  </si>
  <si>
    <t>m from model:</t>
  </si>
  <si>
    <t>m from road plans:</t>
  </si>
  <si>
    <t>m from topographic map:</t>
  </si>
  <si>
    <t>m from FEMA/Other map:</t>
  </si>
  <si>
    <t>USE m: (from "Site Info" Sheet)</t>
  </si>
  <si>
    <t xml:space="preserve">m range check -- Original Curve (Benedict and others, 2016; Benedict, 2003): </t>
  </si>
  <si>
    <t>m range check -- Modified Curve (Benedict and others, 2016; Benedict and Caldwell, 2012):</t>
  </si>
  <si>
    <t>**NOTE: The "USE m" value is automatically pulled from the Site Info Sheet.</t>
  </si>
  <si>
    <t>1)  For Piedmont sites the maximum m =0.82, but 0.86 could be justified with caution.</t>
  </si>
  <si>
    <t>2)  For Coastal Plain sites the maximum m =0.98, but use caution when greater than 0.9.</t>
  </si>
  <si>
    <t>1)  For Piedmont sites the maximum m =0.85.</t>
  </si>
  <si>
    <t>2)  For Coastal Plain sites the maximum m =0.9.</t>
  </si>
  <si>
    <t>Abutment-scour depth by geometric-contraction ratio m:</t>
  </si>
  <si>
    <t>3) For multiple bridge in Piedmont, use m envelope curve.</t>
  </si>
  <si>
    <t>4) For multiple bridge in Coastal Plain, for embankment length &lt; 426 ft use m envelope curve.</t>
  </si>
  <si>
    <t>6) If the m and (or) embankment lengths are near the limits or beyond the range of the envelope data a caution or warning message, respectively, will appear in the "m range check" and (or) "Embankment length range check" cells above.    For these cases judgment, must be used to assess the best estimate of clear-water abutment scour.</t>
  </si>
  <si>
    <t>4) If the m and (or) embankment lengths are near the limits or beyond the range of the envelope data a caution or warning message, respectively, will appear in the "m range check" and (or) "Embankment length range check" cells above.    For these cases judgment must be used to assess the best estimate of clear-water abutment scour.</t>
  </si>
  <si>
    <t>1)  For the Piedmont data the maximum m for clear-water overbank contraction scour was 0.85.</t>
  </si>
  <si>
    <t>2)  For the Coastal Plain data the maximum m for clear-water overbank contraction scour was 0.95 with data sparse for m greater than 0.9.</t>
  </si>
  <si>
    <t>3)  Caution must be used when m nears or exceeds the upper limits of the data and the "m range check" cell above should be used to help evaluate the final selection of m.</t>
  </si>
  <si>
    <t>Clear-water contraction-scour depth by geometric-contraction ratio m:</t>
  </si>
  <si>
    <t>1) If the m is near the limits or beyond the range of the envelope data a caution or warning message, respectively, will appear in the "m range check" cell above. For these cases judgment must be used to assess the best estimate of clear-water overbank-contraction scour.</t>
  </si>
  <si>
    <t>m range check: ( from "EQUATIONS" Sheet)</t>
  </si>
  <si>
    <t>m range check -- Original Curve (Benedict and Caldwell, 2009) (m &lt;=0.82):</t>
  </si>
  <si>
    <t>m range check -- Modified Curve (Benedict and Caldwell, 2012)  (m &lt;=0.90):</t>
  </si>
  <si>
    <t>USE m: ( from "Site Info" Sheet)</t>
  </si>
  <si>
    <t>1)  For Piedmont and Coastal Plain sites the maximum m =0.82.</t>
  </si>
  <si>
    <t>1)  For Piedmont and Coastal Plain sites the maximum m =0.9.</t>
  </si>
  <si>
    <t>2) If the m and (or) embankment lengths are near the limits or beyond the range of the envelope data caution should be used.</t>
  </si>
  <si>
    <t xml:space="preserve">     II. Estimate from the geometric contraction ratio m -- Original Curves (Benedict and others, 2016; Benedict, 2003)</t>
  </si>
  <si>
    <t>Plan m</t>
  </si>
  <si>
    <t>Topo m</t>
  </si>
  <si>
    <t>FEMA/Other m</t>
  </si>
  <si>
    <t>Used m</t>
  </si>
  <si>
    <t>m check (original envelope)</t>
  </si>
  <si>
    <t>m check (modified envelope)</t>
  </si>
  <si>
    <t>Original left abutment depth by m                   (feet)</t>
  </si>
  <si>
    <t>Original right abutment depth by m                    (feet)</t>
  </si>
  <si>
    <t>m check</t>
  </si>
  <si>
    <t>m check (original curve)</t>
  </si>
  <si>
    <t>m check (modified curve)</t>
  </si>
  <si>
    <t>m (FEMA/Other map):</t>
  </si>
  <si>
    <t>Select Source for m:</t>
  </si>
  <si>
    <t>USE m:</t>
  </si>
  <si>
    <t>**NOTE: The "USE m" value is automatically selected, but can be overridden by typing in another value. If the originally selected value of m is overridden, justification should be provided in the comments below.</t>
  </si>
  <si>
    <t>**NOTE: In most cases, the model data should provide a reasonable estimate of m and should be given strong consideration in the selection of the final m. The other sources of data (road plans and maps) should be used to confirm the m estimate based on the model data. The road plans are based on an actual survey, likely providing a better data source for confirming the m determined from the model data. The details associated with the topographic and FEMA/Other maps  will often be limited, causing discrepancies in the estimate of m. When significant discrepancies in the estimate of m exist between the four data sources, the user should determine the reason for the discrepancy and then select a reasonable, but conservative estimate of m. As a general rule, the selected m and embankment lengths should come from the same data source.</t>
  </si>
  <si>
    <t>**NOTE: In most cases, the model data should provide a reasonable estimate of embankment lengths and should be given strong consideration in the selection of the final embankment lengths. The other sources of data (road plans and maps) should be used to confirm the embankment length estimates baed on the model data. The road plans are based on an actual survey, likely providing a better data source for confirming the embankment lengths determined from the model data. The details associated with the topographic and FEMA/Other maps will often be limited, causing discrepancies in the estimate of embankment length.  When significant discrepancies in the estimate of embankmnent lengths exist between the four data sources, the user should determine the reason for the discrepancy and then select a reasonable, but conservative estimate of embankment length. As a general rule, the selected m and embankment lengths should come from the same data source.</t>
  </si>
  <si>
    <t>m (model):</t>
  </si>
  <si>
    <t>Abutment Scour by m</t>
  </si>
  <si>
    <t>Coastal Plain and Piedmont Clear-Water Overbank Contraction-Scour Envelope Curve by m (Benedict and others, 2016; Benedict and Caldwell, 2006)</t>
  </si>
  <si>
    <t>Coastal Plain and Piedmont Live-Bed Channel Contraction-Scour Envelope Curve by m</t>
  </si>
  <si>
    <t>Lower m Limit</t>
  </si>
  <si>
    <t>m used in equation</t>
  </si>
  <si>
    <t>https://pubs.er.usgs.gov/publication/sir20165121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</si>
</sst>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m\-d\-yyyy"/>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u/>
      <sz val="10"/>
      <name val="Arial"/>
      <family val="2"/>
    </font>
    <font>
      <b/>
      <sz val="12"/>
      <name val="Arial"/>
      <family val="2"/>
    </font>
    <font>
      <b/>
      <u/>
      <sz val="12"/>
      <name val="Arial"/>
      <family val="2"/>
    </font>
    <font>
      <b/>
      <u/>
      <sz val="14"/>
      <name val="Arial"/>
      <family val="2"/>
    </font>
    <font>
      <b/>
      <u/>
      <sz val="16"/>
      <name val="Arial"/>
      <family val="2"/>
    </font>
    <font>
      <b/>
      <sz val="16"/>
      <name val="Arial"/>
      <family val="2"/>
    </font>
    <font>
      <b/>
      <sz val="14"/>
      <name val="Arial"/>
      <family val="2"/>
    </font>
    <font>
      <b/>
      <sz val="18"/>
      <name val="Arial"/>
      <family val="2"/>
    </font>
    <font>
      <sz val="12"/>
      <name val="Arial"/>
      <family val="2"/>
    </font>
    <font>
      <b/>
      <sz val="11"/>
      <color indexed="81"/>
      <name val="Tahoma"/>
      <family val="2"/>
    </font>
    <font>
      <sz val="11"/>
      <color indexed="81"/>
      <name val="Tahoma"/>
      <family val="2"/>
    </font>
    <font>
      <b/>
      <sz val="10"/>
      <color indexed="60"/>
      <name val="Arial"/>
      <family val="2"/>
    </font>
    <font>
      <b/>
      <sz val="10"/>
      <color indexed="53"/>
      <name val="Arial"/>
      <family val="2"/>
    </font>
    <font>
      <sz val="10"/>
      <color indexed="53"/>
      <name val="Arial"/>
      <family val="2"/>
    </font>
    <font>
      <b/>
      <sz val="10"/>
      <color indexed="57"/>
      <name val="Arial"/>
      <family val="2"/>
    </font>
    <font>
      <b/>
      <sz val="11"/>
      <name val="Arial"/>
      <family val="2"/>
    </font>
    <font>
      <sz val="11"/>
      <color theme="1"/>
      <name val="Calibri"/>
      <family val="2"/>
      <scheme val="minor"/>
    </font>
    <font>
      <b/>
      <u/>
      <sz val="10"/>
      <color rgb="FFC00000"/>
      <name val="Arial"/>
      <family val="2"/>
    </font>
    <font>
      <b/>
      <sz val="10"/>
      <color rgb="FFFF0000"/>
      <name val="Arial"/>
      <family val="2"/>
    </font>
    <font>
      <b/>
      <sz val="10"/>
      <color theme="1"/>
      <name val="Arial"/>
      <family val="2"/>
    </font>
    <font>
      <b/>
      <u/>
      <sz val="16"/>
      <color theme="1"/>
      <name val="Calibri"/>
      <family val="2"/>
      <scheme val="minor"/>
    </font>
    <font>
      <b/>
      <i/>
      <sz val="10"/>
      <color rgb="FFFF0000"/>
      <name val="Arial"/>
      <family val="2"/>
    </font>
    <font>
      <b/>
      <sz val="12"/>
      <color theme="1"/>
      <name val="Arial"/>
      <family val="2"/>
    </font>
    <font>
      <sz val="10"/>
      <color theme="1"/>
      <name val="Arial"/>
      <family val="2"/>
    </font>
    <font>
      <sz val="9"/>
      <name val="Arial"/>
      <family val="2"/>
    </font>
    <font>
      <sz val="10"/>
      <name val="Tahoma"/>
      <family val="2"/>
    </font>
    <font>
      <b/>
      <u/>
      <sz val="12"/>
      <color theme="1"/>
      <name val="Arial"/>
      <family val="2"/>
    </font>
    <font>
      <sz val="10"/>
      <color rgb="FFFF0000"/>
      <name val="Arial"/>
      <family val="2"/>
    </font>
    <font>
      <sz val="8"/>
      <name val="Arial"/>
      <family val="2"/>
    </font>
    <font>
      <sz val="9"/>
      <color indexed="81"/>
      <name val="Tahoma"/>
      <family val="2"/>
    </font>
    <font>
      <b/>
      <sz val="10"/>
      <color rgb="FF00B050"/>
      <name val="Arial"/>
      <family val="2"/>
    </font>
    <font>
      <sz val="11"/>
      <name val="Arial"/>
      <family val="2"/>
    </font>
    <font>
      <sz val="14"/>
      <name val="Arial"/>
      <family val="2"/>
    </font>
    <font>
      <u/>
      <sz val="10"/>
      <color theme="10"/>
      <name val="Arial"/>
      <family val="2"/>
    </font>
    <font>
      <sz val="18"/>
      <name val="Arial"/>
      <family val="2"/>
    </font>
    <font>
      <b/>
      <sz val="10"/>
      <color theme="9" tint="-0.249977111117893"/>
      <name val="Arial"/>
      <family val="2"/>
    </font>
    <font>
      <sz val="11"/>
      <color indexed="8"/>
      <name val="Arial"/>
      <family val="2"/>
    </font>
    <font>
      <sz val="10"/>
      <color indexed="8"/>
      <name val="Arial"/>
      <family val="2"/>
    </font>
    <font>
      <sz val="6.6"/>
      <color indexed="8"/>
      <name val="Arial"/>
      <family val="2"/>
    </font>
    <font>
      <vertAlign val="subscript"/>
      <sz val="10"/>
      <color theme="1"/>
      <name val="Arial"/>
      <family val="2"/>
    </font>
    <font>
      <b/>
      <u/>
      <sz val="10"/>
      <color theme="1"/>
      <name val="Arial"/>
      <family val="2"/>
    </font>
    <font>
      <u/>
      <sz val="10"/>
      <name val="Arial"/>
      <family val="2"/>
    </font>
    <font>
      <sz val="10"/>
      <color rgb="FF7030A0"/>
      <name val="Arial"/>
      <family val="2"/>
    </font>
    <font>
      <b/>
      <sz val="8"/>
      <name val="Arial"/>
      <family val="2"/>
    </font>
    <font>
      <b/>
      <u/>
      <sz val="8"/>
      <name val="Arial"/>
      <family val="2"/>
    </font>
    <font>
      <b/>
      <sz val="11"/>
      <color rgb="FF0070C0"/>
      <name val="Arial"/>
      <family val="2"/>
    </font>
    <font>
      <b/>
      <sz val="14"/>
      <color rgb="FF0070C0"/>
      <name val="Arial"/>
      <family val="2"/>
    </font>
    <font>
      <b/>
      <sz val="14"/>
      <color theme="4"/>
      <name val="Arial"/>
      <family val="2"/>
    </font>
    <font>
      <b/>
      <u/>
      <sz val="14"/>
      <color rgb="FFFF0000"/>
      <name val="Arial"/>
      <family val="2"/>
    </font>
    <font>
      <i/>
      <sz val="10"/>
      <color rgb="FFFF0000"/>
      <name val="Arial"/>
      <family val="2"/>
    </font>
    <font>
      <sz val="10"/>
      <color rgb="FF000000"/>
      <name val="Arial"/>
      <family val="2"/>
    </font>
    <font>
      <b/>
      <u/>
      <sz val="12"/>
      <color theme="1"/>
      <name val="Calibri"/>
      <family val="2"/>
      <scheme val="minor"/>
    </font>
    <font>
      <sz val="12"/>
      <color theme="1"/>
      <name val="Calibri"/>
      <family val="2"/>
      <scheme val="minor"/>
    </font>
    <font>
      <sz val="9"/>
      <color indexed="81"/>
      <name val="Arial"/>
      <family val="2"/>
    </font>
    <font>
      <u/>
      <sz val="9"/>
      <color indexed="81"/>
      <name val="Tahoma"/>
      <family val="2"/>
    </font>
    <font>
      <b/>
      <sz val="9"/>
      <color indexed="81"/>
      <name val="Tahoma"/>
      <family val="2"/>
    </font>
    <font>
      <b/>
      <vertAlign val="superscript"/>
      <sz val="10"/>
      <name val="Arial"/>
      <family val="2"/>
    </font>
    <font>
      <b/>
      <u/>
      <sz val="12"/>
      <color rgb="FFFF0000"/>
      <name val="Arial"/>
      <family val="2"/>
    </font>
    <font>
      <vertAlign val="subscript"/>
      <sz val="10"/>
      <name val="Arial"/>
      <family val="2"/>
    </font>
    <font>
      <sz val="9"/>
      <color indexed="10"/>
      <name val="Tahoma"/>
      <family val="2"/>
    </font>
    <font>
      <b/>
      <sz val="9"/>
      <color indexed="10"/>
      <name val="Tahoma"/>
      <family val="2"/>
    </font>
    <font>
      <sz val="11"/>
      <color indexed="10"/>
      <name val="Tahoma"/>
      <family val="2"/>
    </font>
    <font>
      <sz val="10"/>
      <color indexed="81"/>
      <name val="Tahoma"/>
      <family val="2"/>
    </font>
    <font>
      <sz val="10"/>
      <color indexed="10"/>
      <name val="Tahoma"/>
      <family val="2"/>
    </font>
  </fonts>
  <fills count="7">
    <fill>
      <patternFill patternType="none"/>
    </fill>
    <fill>
      <patternFill patternType="gray125"/>
    </fill>
    <fill>
      <patternFill patternType="solid">
        <fgColor indexed="22"/>
        <bgColor indexed="64"/>
      </patternFill>
    </fill>
    <fill>
      <patternFill patternType="solid">
        <fgColor indexed="46"/>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s>
  <borders count="9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rgb="FF7030A0"/>
      </left>
      <right style="thin">
        <color indexed="64"/>
      </right>
      <top style="medium">
        <color indexed="64"/>
      </top>
      <bottom/>
      <diagonal/>
    </border>
    <border>
      <left style="thick">
        <color rgb="FF7030A0"/>
      </left>
      <right style="thin">
        <color indexed="64"/>
      </right>
      <top style="medium">
        <color indexed="64"/>
      </top>
      <bottom style="thin">
        <color indexed="64"/>
      </bottom>
      <diagonal/>
    </border>
    <border>
      <left style="thick">
        <color rgb="FF7030A0"/>
      </left>
      <right style="thin">
        <color indexed="64"/>
      </right>
      <top style="thin">
        <color indexed="64"/>
      </top>
      <bottom style="medium">
        <color indexed="64"/>
      </bottom>
      <diagonal/>
    </border>
    <border>
      <left style="thick">
        <color rgb="FF7030A0"/>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rgb="FF7030A0"/>
      </left>
      <right style="thin">
        <color indexed="64"/>
      </right>
      <top/>
      <bottom style="thin">
        <color indexed="64"/>
      </bottom>
      <diagonal/>
    </border>
    <border>
      <left style="thick">
        <color rgb="FF7030A0"/>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hair">
        <color auto="1"/>
      </left>
      <right/>
      <top style="hair">
        <color auto="1"/>
      </top>
      <bottom style="hair">
        <color auto="1"/>
      </bottom>
      <diagonal/>
    </border>
    <border>
      <left style="thick">
        <color indexed="64"/>
      </left>
      <right/>
      <top/>
      <bottom style="medium">
        <color indexed="64"/>
      </bottom>
      <diagonal/>
    </border>
    <border>
      <left/>
      <right style="thick">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256">
    <xf numFmtId="0" fontId="0" fillId="0" borderId="0"/>
    <xf numFmtId="0" fontId="25" fillId="0" borderId="0"/>
    <xf numFmtId="0" fontId="8" fillId="0" borderId="0"/>
    <xf numFmtId="0" fontId="6" fillId="0" borderId="0"/>
    <xf numFmtId="0" fontId="6" fillId="0" borderId="0"/>
    <xf numFmtId="0" fontId="8"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85">
    <xf numFmtId="0" fontId="0" fillId="0" borderId="0" xfId="0"/>
    <xf numFmtId="0" fontId="7" fillId="0" borderId="0" xfId="0" applyFont="1"/>
    <xf numFmtId="0" fontId="8" fillId="0" borderId="0" xfId="0" applyFont="1"/>
    <xf numFmtId="0" fontId="0" fillId="0" borderId="0" xfId="0" applyBorder="1"/>
    <xf numFmtId="0" fontId="8" fillId="0" borderId="0" xfId="0" applyFont="1" applyBorder="1"/>
    <xf numFmtId="0" fontId="8" fillId="0" borderId="0" xfId="0" applyFont="1" applyFill="1" applyBorder="1"/>
    <xf numFmtId="49" fontId="0" fillId="0" borderId="0" xfId="0" applyNumberFormat="1"/>
    <xf numFmtId="0" fontId="7" fillId="0" borderId="0" xfId="0" applyFont="1" applyBorder="1"/>
    <xf numFmtId="49" fontId="8" fillId="0" borderId="0" xfId="0" applyNumberFormat="1" applyFont="1"/>
    <xf numFmtId="0" fontId="0" fillId="0" borderId="0" xfId="0" applyAlignment="1">
      <alignment horizontal="center"/>
    </xf>
    <xf numFmtId="164" fontId="0" fillId="0" borderId="0" xfId="0" applyNumberFormat="1"/>
    <xf numFmtId="0" fontId="0" fillId="0" borderId="0" xfId="0" applyBorder="1" applyAlignment="1">
      <alignment horizontal="center"/>
    </xf>
    <xf numFmtId="164" fontId="0" fillId="0" borderId="0" xfId="0" applyNumberFormat="1" applyAlignment="1">
      <alignment horizontal="center"/>
    </xf>
    <xf numFmtId="2" fontId="0" fillId="0" borderId="2" xfId="0" applyNumberFormat="1"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0" fontId="0" fillId="0" borderId="4" xfId="0" applyBorder="1"/>
    <xf numFmtId="0" fontId="0" fillId="0" borderId="3" xfId="0" applyBorder="1"/>
    <xf numFmtId="0" fontId="7" fillId="0" borderId="0" xfId="0" applyFont="1" applyBorder="1" applyAlignment="1">
      <alignment horizontal="center"/>
    </xf>
    <xf numFmtId="164" fontId="0" fillId="0" borderId="0" xfId="0" applyNumberFormat="1" applyBorder="1"/>
    <xf numFmtId="164" fontId="0" fillId="0" borderId="0" xfId="0" applyNumberFormat="1" applyBorder="1" applyAlignment="1">
      <alignment horizontal="center"/>
    </xf>
    <xf numFmtId="0" fontId="0" fillId="0" borderId="5" xfId="0" applyBorder="1"/>
    <xf numFmtId="0" fontId="0" fillId="0" borderId="6" xfId="0" applyBorder="1"/>
    <xf numFmtId="164" fontId="0" fillId="0" borderId="6" xfId="0" applyNumberFormat="1" applyBorder="1" applyAlignment="1">
      <alignment horizontal="center"/>
    </xf>
    <xf numFmtId="164" fontId="0" fillId="0" borderId="6" xfId="0" applyNumberFormat="1" applyBorder="1"/>
    <xf numFmtId="0" fontId="0" fillId="0" borderId="7" xfId="0" applyBorder="1"/>
    <xf numFmtId="0" fontId="15" fillId="0" borderId="0" xfId="0" applyFont="1" applyBorder="1" applyAlignment="1">
      <alignment horizontal="center"/>
    </xf>
    <xf numFmtId="164" fontId="8" fillId="0" borderId="0" xfId="0" applyNumberFormat="1" applyFont="1" applyBorder="1" applyAlignment="1">
      <alignment horizontal="center"/>
    </xf>
    <xf numFmtId="0" fontId="0" fillId="0" borderId="0" xfId="0" applyNumberFormat="1"/>
    <xf numFmtId="164" fontId="0" fillId="0" borderId="20"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8" fillId="0" borderId="0" xfId="0" applyFont="1" applyBorder="1" applyAlignment="1">
      <alignment horizontal="right"/>
    </xf>
    <xf numFmtId="0" fontId="0" fillId="0" borderId="23" xfId="0" applyBorder="1"/>
    <xf numFmtId="0" fontId="0" fillId="0" borderId="21" xfId="0" applyBorder="1"/>
    <xf numFmtId="164" fontId="0" fillId="0" borderId="21" xfId="0" applyNumberFormat="1" applyBorder="1"/>
    <xf numFmtId="0" fontId="0" fillId="0" borderId="24" xfId="0" applyBorder="1"/>
    <xf numFmtId="0" fontId="10" fillId="0" borderId="25" xfId="0" applyFont="1" applyBorder="1"/>
    <xf numFmtId="0" fontId="0" fillId="0" borderId="26" xfId="0" applyBorder="1"/>
    <xf numFmtId="0" fontId="0" fillId="0" borderId="25" xfId="0" applyBorder="1"/>
    <xf numFmtId="0" fontId="26" fillId="0" borderId="0" xfId="0" applyFont="1" applyBorder="1"/>
    <xf numFmtId="0" fontId="0" fillId="0" borderId="27" xfId="0" applyBorder="1"/>
    <xf numFmtId="0" fontId="0" fillId="0" borderId="22" xfId="0" applyBorder="1"/>
    <xf numFmtId="0" fontId="8" fillId="0" borderId="22" xfId="0" applyFont="1" applyFill="1" applyBorder="1"/>
    <xf numFmtId="164" fontId="0" fillId="0" borderId="22" xfId="0" applyNumberFormat="1" applyBorder="1"/>
    <xf numFmtId="0" fontId="0" fillId="0" borderId="28" xfId="0" applyBorder="1"/>
    <xf numFmtId="0" fontId="0" fillId="0" borderId="21" xfId="0" applyBorder="1" applyAlignment="1">
      <alignment horizontal="center"/>
    </xf>
    <xf numFmtId="0" fontId="8" fillId="0" borderId="26" xfId="0" applyFont="1" applyBorder="1"/>
    <xf numFmtId="2" fontId="0" fillId="0" borderId="0" xfId="0" applyNumberFormat="1" applyBorder="1"/>
    <xf numFmtId="0" fontId="0" fillId="0" borderId="29" xfId="0" applyBorder="1" applyProtection="1"/>
    <xf numFmtId="0" fontId="0" fillId="0" borderId="32" xfId="0" applyBorder="1" applyProtection="1"/>
    <xf numFmtId="0" fontId="0" fillId="0" borderId="0" xfId="0" applyProtection="1"/>
    <xf numFmtId="0" fontId="10" fillId="0" borderId="0" xfId="0" applyFont="1" applyProtection="1"/>
    <xf numFmtId="0" fontId="8" fillId="0" borderId="34" xfId="0" applyFont="1" applyBorder="1" applyAlignment="1" applyProtection="1">
      <alignment horizontal="center"/>
    </xf>
    <xf numFmtId="0" fontId="0" fillId="0" borderId="0" xfId="0" applyBorder="1" applyAlignment="1" applyProtection="1">
      <alignment horizontal="center"/>
    </xf>
    <xf numFmtId="0" fontId="8" fillId="0" borderId="35" xfId="0" applyFont="1" applyBorder="1" applyAlignment="1" applyProtection="1">
      <alignment horizontal="center"/>
    </xf>
    <xf numFmtId="0" fontId="7" fillId="0" borderId="0" xfId="0" applyFont="1" applyProtection="1"/>
    <xf numFmtId="1" fontId="0" fillId="0" borderId="2" xfId="0" applyNumberFormat="1" applyFill="1" applyBorder="1" applyAlignment="1" applyProtection="1">
      <alignment horizontal="center"/>
    </xf>
    <xf numFmtId="0" fontId="8" fillId="0" borderId="2" xfId="0" applyFont="1" applyFill="1" applyBorder="1" applyAlignment="1" applyProtection="1">
      <alignment horizontal="center"/>
    </xf>
    <xf numFmtId="0" fontId="0" fillId="0" borderId="37" xfId="0" applyBorder="1" applyProtection="1"/>
    <xf numFmtId="0" fontId="7" fillId="0" borderId="1" xfId="0" applyFont="1" applyBorder="1" applyProtection="1"/>
    <xf numFmtId="0" fontId="0" fillId="0" borderId="1" xfId="0" applyBorder="1" applyProtection="1"/>
    <xf numFmtId="0" fontId="0" fillId="0" borderId="1" xfId="0" applyFill="1" applyBorder="1" applyProtection="1"/>
    <xf numFmtId="0" fontId="8" fillId="0" borderId="0" xfId="0" applyFont="1" applyProtection="1"/>
    <xf numFmtId="2" fontId="8" fillId="0" borderId="0" xfId="0" applyNumberFormat="1" applyFont="1" applyFill="1" applyBorder="1" applyAlignment="1" applyProtection="1">
      <alignment horizontal="center"/>
    </xf>
    <xf numFmtId="0" fontId="10" fillId="0" borderId="0" xfId="0" applyFont="1" applyFill="1" applyBorder="1" applyProtection="1"/>
    <xf numFmtId="0" fontId="11" fillId="0" borderId="0" xfId="0" applyFont="1" applyFill="1" applyBorder="1" applyProtection="1"/>
    <xf numFmtId="1" fontId="7" fillId="0" borderId="0" xfId="0" applyNumberFormat="1" applyFont="1" applyFill="1" applyBorder="1" applyAlignment="1" applyProtection="1">
      <alignment horizontal="center"/>
    </xf>
    <xf numFmtId="0" fontId="28" fillId="0" borderId="0" xfId="0" applyFont="1" applyFill="1" applyBorder="1" applyProtection="1"/>
    <xf numFmtId="0" fontId="0" fillId="0" borderId="0" xfId="0" applyAlignment="1" applyProtection="1">
      <alignment horizontal="center"/>
    </xf>
    <xf numFmtId="0" fontId="0" fillId="0" borderId="0" xfId="0" applyBorder="1" applyAlignment="1" applyProtection="1"/>
    <xf numFmtId="0" fontId="13" fillId="0" borderId="0" xfId="0" applyFont="1" applyProtection="1"/>
    <xf numFmtId="49" fontId="9" fillId="0" borderId="0" xfId="0" applyNumberFormat="1" applyFont="1" applyProtection="1"/>
    <xf numFmtId="0" fontId="0" fillId="0" borderId="40" xfId="0" applyBorder="1" applyAlignment="1" applyProtection="1">
      <alignment horizontal="center"/>
    </xf>
    <xf numFmtId="0" fontId="0" fillId="0" borderId="41" xfId="0" applyBorder="1" applyAlignment="1" applyProtection="1">
      <alignment horizontal="center"/>
    </xf>
    <xf numFmtId="0" fontId="0" fillId="0" borderId="42" xfId="0" applyBorder="1" applyAlignment="1" applyProtection="1">
      <alignment horizontal="center"/>
    </xf>
    <xf numFmtId="1" fontId="0" fillId="0" borderId="41" xfId="0" applyNumberFormat="1" applyBorder="1" applyAlignment="1" applyProtection="1">
      <alignment horizontal="center"/>
    </xf>
    <xf numFmtId="1" fontId="0" fillId="0" borderId="42" xfId="0" applyNumberFormat="1" applyBorder="1" applyAlignment="1" applyProtection="1">
      <alignment horizontal="center"/>
    </xf>
    <xf numFmtId="2" fontId="0" fillId="0" borderId="41" xfId="0" applyNumberFormat="1" applyBorder="1" applyAlignment="1" applyProtection="1">
      <alignment horizontal="center"/>
    </xf>
    <xf numFmtId="2" fontId="0" fillId="0" borderId="42" xfId="0" applyNumberFormat="1" applyBorder="1" applyAlignment="1" applyProtection="1">
      <alignment horizontal="center"/>
    </xf>
    <xf numFmtId="0" fontId="0" fillId="3" borderId="20" xfId="0" applyFill="1" applyBorder="1" applyProtection="1"/>
    <xf numFmtId="0" fontId="0" fillId="3" borderId="20" xfId="0" applyFill="1" applyBorder="1" applyAlignment="1" applyProtection="1">
      <alignment horizontal="center"/>
    </xf>
    <xf numFmtId="2" fontId="0" fillId="0" borderId="32" xfId="0" applyNumberFormat="1" applyBorder="1" applyAlignment="1" applyProtection="1">
      <alignment horizontal="center"/>
    </xf>
    <xf numFmtId="2" fontId="0" fillId="0" borderId="37" xfId="0" applyNumberFormat="1" applyBorder="1" applyAlignment="1" applyProtection="1">
      <alignment horizontal="center"/>
    </xf>
    <xf numFmtId="0" fontId="9" fillId="0" borderId="0" xfId="0" applyFont="1" applyProtection="1"/>
    <xf numFmtId="0" fontId="12" fillId="0" borderId="0" xfId="0" applyFont="1" applyProtection="1"/>
    <xf numFmtId="0" fontId="8" fillId="0" borderId="40" xfId="0" applyFont="1" applyBorder="1" applyAlignment="1" applyProtection="1">
      <alignment horizontal="center"/>
    </xf>
    <xf numFmtId="0" fontId="8" fillId="0" borderId="43" xfId="0" applyFont="1" applyBorder="1" applyAlignment="1" applyProtection="1">
      <alignment horizontal="center"/>
    </xf>
    <xf numFmtId="0" fontId="8" fillId="0" borderId="42" xfId="0" applyFont="1" applyBorder="1" applyAlignment="1" applyProtection="1">
      <alignment horizontal="center"/>
    </xf>
    <xf numFmtId="0" fontId="8" fillId="0" borderId="45" xfId="0" applyFont="1" applyBorder="1" applyAlignment="1" applyProtection="1">
      <alignment horizontal="center"/>
    </xf>
    <xf numFmtId="0" fontId="8" fillId="0" borderId="46" xfId="0" applyFont="1" applyBorder="1" applyAlignment="1" applyProtection="1">
      <alignment horizontal="center"/>
    </xf>
    <xf numFmtId="0" fontId="8" fillId="0" borderId="47" xfId="0" applyFont="1" applyBorder="1" applyAlignment="1" applyProtection="1">
      <alignment horizontal="center"/>
    </xf>
    <xf numFmtId="0" fontId="8" fillId="0" borderId="48" xfId="0" applyFont="1" applyBorder="1" applyAlignment="1" applyProtection="1">
      <alignment horizontal="center"/>
    </xf>
    <xf numFmtId="0" fontId="0" fillId="0" borderId="49" xfId="0" applyBorder="1" applyAlignment="1" applyProtection="1">
      <alignment horizontal="center"/>
    </xf>
    <xf numFmtId="0" fontId="0" fillId="0" borderId="47" xfId="0" applyBorder="1" applyAlignment="1" applyProtection="1">
      <alignment horizontal="center"/>
    </xf>
    <xf numFmtId="164" fontId="8" fillId="0" borderId="31" xfId="0" applyNumberFormat="1" applyFont="1" applyBorder="1" applyAlignment="1" applyProtection="1">
      <alignment horizontal="center"/>
    </xf>
    <xf numFmtId="0" fontId="0" fillId="0" borderId="48" xfId="0" applyBorder="1" applyAlignment="1" applyProtection="1">
      <alignment horizontal="center"/>
    </xf>
    <xf numFmtId="0" fontId="29" fillId="0" borderId="0" xfId="1" applyFont="1" applyProtection="1"/>
    <xf numFmtId="0" fontId="25" fillId="0" borderId="0" xfId="1" applyProtection="1"/>
    <xf numFmtId="0" fontId="25" fillId="0" borderId="0" xfId="1" applyFill="1" applyProtection="1"/>
    <xf numFmtId="0" fontId="25" fillId="0" borderId="0" xfId="1" applyBorder="1" applyAlignment="1" applyProtection="1">
      <alignment horizontal="center"/>
    </xf>
    <xf numFmtId="2" fontId="0" fillId="0" borderId="44" xfId="0" applyNumberFormat="1" applyBorder="1" applyAlignment="1" applyProtection="1">
      <alignment horizontal="center"/>
    </xf>
    <xf numFmtId="2" fontId="0" fillId="0" borderId="51" xfId="0" applyNumberFormat="1" applyBorder="1" applyAlignment="1" applyProtection="1">
      <alignment horizontal="center"/>
    </xf>
    <xf numFmtId="2" fontId="0" fillId="0" borderId="46" xfId="0" applyNumberFormat="1" applyBorder="1" applyAlignment="1" applyProtection="1">
      <alignment horizontal="center"/>
    </xf>
    <xf numFmtId="0" fontId="7" fillId="0" borderId="0" xfId="0" applyNumberFormat="1" applyFont="1" applyAlignment="1">
      <alignment horizontal="left"/>
    </xf>
    <xf numFmtId="0" fontId="0" fillId="0" borderId="0" xfId="0" applyNumberFormat="1" applyAlignment="1">
      <alignment horizontal="center"/>
    </xf>
    <xf numFmtId="0" fontId="0" fillId="0" borderId="36" xfId="0" applyNumberFormat="1" applyBorder="1" applyAlignment="1">
      <alignment horizontal="center"/>
    </xf>
    <xf numFmtId="0" fontId="0" fillId="0" borderId="36" xfId="0" applyNumberFormat="1" applyBorder="1"/>
    <xf numFmtId="164" fontId="17" fillId="0" borderId="0" xfId="0" applyNumberFormat="1" applyFont="1" applyFill="1" applyBorder="1" applyAlignment="1" applyProtection="1">
      <alignment horizontal="center" vertical="center"/>
    </xf>
    <xf numFmtId="2" fontId="17" fillId="0" borderId="0" xfId="0" applyNumberFormat="1" applyFont="1" applyFill="1" applyBorder="1" applyAlignment="1" applyProtection="1">
      <alignment horizontal="center" vertical="center" wrapText="1"/>
    </xf>
    <xf numFmtId="2" fontId="17" fillId="0" borderId="0" xfId="0" applyNumberFormat="1" applyFont="1" applyFill="1" applyBorder="1" applyAlignment="1" applyProtection="1">
      <alignment horizontal="center" vertical="center"/>
    </xf>
    <xf numFmtId="2" fontId="7" fillId="0" borderId="43" xfId="0" applyNumberFormat="1" applyFont="1" applyBorder="1" applyAlignment="1" applyProtection="1">
      <alignment horizontal="center" vertical="center" wrapText="1"/>
    </xf>
    <xf numFmtId="2" fontId="7" fillId="0" borderId="52" xfId="0" applyNumberFormat="1" applyFont="1" applyBorder="1" applyAlignment="1" applyProtection="1">
      <alignment horizontal="center" vertical="center" wrapText="1"/>
    </xf>
    <xf numFmtId="0" fontId="7" fillId="0" borderId="0" xfId="0" applyNumberFormat="1" applyFont="1" applyAlignment="1">
      <alignment vertical="center"/>
    </xf>
    <xf numFmtId="0" fontId="7" fillId="0" borderId="71" xfId="0" applyFont="1" applyBorder="1" applyAlignment="1" applyProtection="1">
      <alignment horizontal="center" vertical="center" wrapText="1"/>
    </xf>
    <xf numFmtId="0" fontId="7" fillId="0" borderId="43" xfId="0" applyNumberFormat="1" applyFont="1" applyBorder="1" applyAlignment="1">
      <alignment horizontal="center" vertical="center" wrapText="1"/>
    </xf>
    <xf numFmtId="0" fontId="7" fillId="0" borderId="30" xfId="0" applyNumberFormat="1" applyFont="1" applyBorder="1" applyAlignment="1">
      <alignment horizontal="center" vertical="center" wrapText="1"/>
    </xf>
    <xf numFmtId="0" fontId="7" fillId="0" borderId="43" xfId="0" applyNumberFormat="1" applyFont="1" applyFill="1" applyBorder="1" applyAlignment="1">
      <alignment horizontal="center" vertical="center" wrapText="1"/>
    </xf>
    <xf numFmtId="0" fontId="7" fillId="0" borderId="3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49" fontId="0" fillId="0" borderId="39" xfId="0" applyNumberFormat="1" applyBorder="1" applyAlignment="1">
      <alignment horizontal="center" vertical="center"/>
    </xf>
    <xf numFmtId="49" fontId="8" fillId="0" borderId="39" xfId="0" applyNumberFormat="1" applyFont="1" applyBorder="1" applyAlignment="1">
      <alignment horizontal="center" vertical="center"/>
    </xf>
    <xf numFmtId="0" fontId="8" fillId="0" borderId="39" xfId="0" applyNumberFormat="1" applyFont="1" applyBorder="1" applyAlignment="1">
      <alignment horizontal="center" vertical="center"/>
    </xf>
    <xf numFmtId="0" fontId="0" fillId="0" borderId="39" xfId="0" applyNumberFormat="1" applyBorder="1" applyAlignment="1">
      <alignment horizontal="center" vertical="center"/>
    </xf>
    <xf numFmtId="2" fontId="0" fillId="0" borderId="72" xfId="0" applyNumberFormat="1" applyBorder="1" applyAlignment="1">
      <alignment horizontal="center" vertical="center"/>
    </xf>
    <xf numFmtId="49" fontId="0" fillId="0" borderId="17" xfId="0" applyNumberFormat="1" applyBorder="1" applyAlignment="1">
      <alignment horizontal="center" vertical="center"/>
    </xf>
    <xf numFmtId="49" fontId="8" fillId="0" borderId="17" xfId="0" applyNumberFormat="1" applyFont="1" applyBorder="1" applyAlignment="1">
      <alignment horizontal="center" vertical="center"/>
    </xf>
    <xf numFmtId="0" fontId="8" fillId="0" borderId="17" xfId="0" applyNumberFormat="1" applyFont="1" applyBorder="1" applyAlignment="1">
      <alignment horizontal="center" vertical="center"/>
    </xf>
    <xf numFmtId="0" fontId="0" fillId="0" borderId="17" xfId="0" applyNumberFormat="1" applyBorder="1" applyAlignment="1">
      <alignment horizontal="center" vertical="center"/>
    </xf>
    <xf numFmtId="2" fontId="0" fillId="0" borderId="73" xfId="0" applyNumberFormat="1" applyBorder="1" applyAlignment="1">
      <alignment horizontal="center" vertical="center"/>
    </xf>
    <xf numFmtId="49" fontId="8" fillId="0" borderId="2" xfId="0" applyNumberFormat="1" applyFont="1" applyBorder="1" applyAlignment="1">
      <alignment horizontal="center" vertical="center"/>
    </xf>
    <xf numFmtId="0" fontId="8" fillId="0" borderId="2" xfId="0" applyNumberFormat="1" applyFont="1" applyBorder="1" applyAlignment="1">
      <alignment horizontal="center" vertical="center"/>
    </xf>
    <xf numFmtId="0" fontId="0" fillId="0" borderId="2" xfId="0" applyNumberFormat="1" applyBorder="1" applyAlignment="1">
      <alignment horizontal="center" vertical="center"/>
    </xf>
    <xf numFmtId="0" fontId="7" fillId="0" borderId="52" xfId="0" applyFont="1" applyBorder="1" applyAlignment="1" applyProtection="1">
      <alignment horizontal="center" vertical="center" wrapText="1"/>
    </xf>
    <xf numFmtId="2" fontId="0" fillId="0" borderId="74" xfId="0" applyNumberFormat="1" applyBorder="1" applyAlignment="1">
      <alignment horizontal="center" vertical="center"/>
    </xf>
    <xf numFmtId="0" fontId="7" fillId="0" borderId="0" xfId="0" applyNumberFormat="1" applyFont="1" applyFill="1" applyBorder="1" applyAlignment="1">
      <alignment vertical="center"/>
    </xf>
    <xf numFmtId="0" fontId="0" fillId="0" borderId="0" xfId="0" applyNumberFormat="1" applyFill="1" applyBorder="1" applyAlignment="1">
      <alignment vertical="center"/>
    </xf>
    <xf numFmtId="0" fontId="7" fillId="0" borderId="0" xfId="0" applyNumberFormat="1" applyFont="1" applyBorder="1" applyAlignment="1">
      <alignment vertical="center" wrapText="1"/>
    </xf>
    <xf numFmtId="0" fontId="0" fillId="0" borderId="25" xfId="0" applyBorder="1" applyProtection="1"/>
    <xf numFmtId="0" fontId="7" fillId="0" borderId="44" xfId="0" applyFont="1" applyBorder="1" applyAlignment="1" applyProtection="1">
      <alignment horizontal="center" vertical="center" wrapText="1"/>
    </xf>
    <xf numFmtId="2" fontId="0" fillId="0" borderId="57" xfId="0" applyNumberFormat="1" applyBorder="1" applyAlignment="1">
      <alignment horizontal="center" vertical="center"/>
    </xf>
    <xf numFmtId="2" fontId="0" fillId="0" borderId="15" xfId="0" applyNumberFormat="1" applyBorder="1" applyAlignment="1">
      <alignment horizontal="center" vertical="center"/>
    </xf>
    <xf numFmtId="2" fontId="0" fillId="0" borderId="18" xfId="0" applyNumberFormat="1" applyBorder="1" applyAlignment="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7" fillId="0" borderId="0" xfId="0" applyFont="1" applyFill="1" applyBorder="1" applyProtection="1"/>
    <xf numFmtId="2" fontId="0" fillId="0" borderId="0" xfId="0" applyNumberFormat="1" applyBorder="1" applyAlignment="1" applyProtection="1">
      <alignment horizontal="center"/>
    </xf>
    <xf numFmtId="164" fontId="0" fillId="0" borderId="0" xfId="0" applyNumberFormat="1" applyBorder="1" applyAlignment="1" applyProtection="1"/>
    <xf numFmtId="2" fontId="0" fillId="0" borderId="48" xfId="0" applyNumberFormat="1" applyBorder="1" applyAlignment="1" applyProtection="1">
      <alignment horizontal="center"/>
    </xf>
    <xf numFmtId="2" fontId="0" fillId="0" borderId="49" xfId="0" applyNumberFormat="1" applyBorder="1" applyAlignment="1" applyProtection="1">
      <alignment horizontal="center"/>
    </xf>
    <xf numFmtId="164" fontId="0" fillId="0" borderId="48" xfId="0" applyNumberFormat="1" applyBorder="1" applyAlignment="1" applyProtection="1">
      <alignment horizontal="center"/>
    </xf>
    <xf numFmtId="164" fontId="0" fillId="0" borderId="49" xfId="0" applyNumberFormat="1" applyBorder="1" applyAlignment="1" applyProtection="1">
      <alignment horizontal="center"/>
    </xf>
    <xf numFmtId="164" fontId="17" fillId="0" borderId="2" xfId="0" applyNumberFormat="1" applyFont="1" applyFill="1" applyBorder="1" applyAlignment="1" applyProtection="1">
      <alignment horizontal="center" vertical="center"/>
    </xf>
    <xf numFmtId="2" fontId="17" fillId="0" borderId="2" xfId="0" applyNumberFormat="1" applyFont="1" applyFill="1" applyBorder="1" applyAlignment="1" applyProtection="1">
      <alignment horizontal="center" vertical="center" wrapText="1"/>
    </xf>
    <xf numFmtId="2" fontId="17" fillId="0" borderId="2" xfId="0" applyNumberFormat="1" applyFont="1" applyFill="1" applyBorder="1" applyAlignment="1" applyProtection="1">
      <alignment horizontal="center" vertical="center"/>
    </xf>
    <xf numFmtId="0" fontId="0" fillId="0" borderId="33" xfId="0" applyFill="1" applyBorder="1" applyProtection="1"/>
    <xf numFmtId="0" fontId="8" fillId="0" borderId="58" xfId="0" applyFont="1" applyBorder="1" applyAlignment="1" applyProtection="1">
      <alignment horizontal="center"/>
    </xf>
    <xf numFmtId="0" fontId="0" fillId="0" borderId="30" xfId="0" applyFill="1" applyBorder="1" applyProtection="1"/>
    <xf numFmtId="0" fontId="8" fillId="0" borderId="32" xfId="0" applyFont="1" applyFill="1" applyBorder="1" applyProtection="1"/>
    <xf numFmtId="0" fontId="0" fillId="0" borderId="0" xfId="0" applyFill="1" applyBorder="1" applyAlignment="1" applyProtection="1">
      <alignment vertical="center"/>
    </xf>
    <xf numFmtId="0" fontId="0" fillId="0" borderId="31" xfId="0" applyFill="1" applyBorder="1" applyProtection="1"/>
    <xf numFmtId="0" fontId="0" fillId="0" borderId="38" xfId="0" applyFill="1" applyBorder="1" applyProtection="1"/>
    <xf numFmtId="0" fontId="7" fillId="0" borderId="52" xfId="0" applyNumberFormat="1" applyFont="1" applyFill="1" applyBorder="1" applyAlignment="1">
      <alignment horizontal="center" vertical="center" wrapText="1"/>
    </xf>
    <xf numFmtId="0" fontId="7" fillId="0" borderId="47" xfId="0" applyNumberFormat="1" applyFont="1" applyFill="1" applyBorder="1" applyAlignment="1">
      <alignment horizontal="center" vertical="center" wrapText="1"/>
    </xf>
    <xf numFmtId="0" fontId="8" fillId="0" borderId="33" xfId="0" applyFont="1" applyFill="1" applyBorder="1" applyProtection="1"/>
    <xf numFmtId="0" fontId="15" fillId="0" borderId="0" xfId="0" applyFont="1" applyFill="1" applyBorder="1" applyAlignment="1" applyProtection="1">
      <alignment horizontal="center" vertical="center"/>
    </xf>
    <xf numFmtId="0" fontId="10" fillId="0" borderId="0" xfId="0" applyFont="1" applyFill="1" applyBorder="1" applyAlignment="1" applyProtection="1">
      <alignment horizontal="left"/>
    </xf>
    <xf numFmtId="0" fontId="17" fillId="0" borderId="2" xfId="0" applyFont="1" applyFill="1" applyBorder="1" applyAlignment="1" applyProtection="1">
      <alignment horizontal="center" vertical="center"/>
    </xf>
    <xf numFmtId="0" fontId="0" fillId="0" borderId="29" xfId="0" applyFill="1" applyBorder="1" applyProtection="1"/>
    <xf numFmtId="0" fontId="7" fillId="0" borderId="31" xfId="0" applyFont="1" applyFill="1" applyBorder="1" applyAlignment="1" applyProtection="1">
      <alignment horizontal="center"/>
    </xf>
    <xf numFmtId="0" fontId="0" fillId="0" borderId="0" xfId="0" applyFill="1" applyProtection="1"/>
    <xf numFmtId="0" fontId="7" fillId="0" borderId="33" xfId="0" applyFont="1" applyFill="1" applyBorder="1" applyAlignment="1" applyProtection="1">
      <alignment horizontal="center"/>
    </xf>
    <xf numFmtId="0" fontId="10" fillId="0" borderId="0" xfId="0" applyFont="1" applyFill="1" applyProtection="1"/>
    <xf numFmtId="0" fontId="8" fillId="0" borderId="0" xfId="0" applyFont="1" applyFill="1" applyAlignment="1" applyProtection="1">
      <alignment horizontal="center"/>
    </xf>
    <xf numFmtId="0" fontId="8" fillId="0" borderId="0" xfId="0" applyFont="1" applyFill="1" applyProtection="1"/>
    <xf numFmtId="0" fontId="7" fillId="0" borderId="0" xfId="0" applyFont="1" applyFill="1" applyBorder="1" applyAlignment="1" applyProtection="1">
      <alignment horizontal="right"/>
    </xf>
    <xf numFmtId="0" fontId="0" fillId="0" borderId="37" xfId="0" applyFill="1" applyBorder="1" applyProtection="1"/>
    <xf numFmtId="0" fontId="7" fillId="0" borderId="1" xfId="0" applyFont="1" applyFill="1" applyBorder="1" applyProtection="1"/>
    <xf numFmtId="49" fontId="0" fillId="0" borderId="1" xfId="0" applyNumberFormat="1" applyFill="1" applyBorder="1" applyAlignment="1" applyProtection="1">
      <alignment horizontal="center"/>
    </xf>
    <xf numFmtId="0" fontId="7" fillId="0" borderId="38" xfId="0" applyFont="1" applyFill="1" applyBorder="1" applyAlignment="1" applyProtection="1">
      <alignment horizontal="center"/>
    </xf>
    <xf numFmtId="0" fontId="7" fillId="0" borderId="32" xfId="0" applyFont="1" applyFill="1" applyBorder="1" applyProtection="1"/>
    <xf numFmtId="0" fontId="7" fillId="0" borderId="0" xfId="0" applyFont="1" applyFill="1" applyProtection="1"/>
    <xf numFmtId="0" fontId="27" fillId="0" borderId="0" xfId="0" applyFont="1" applyFill="1" applyBorder="1" applyProtection="1"/>
    <xf numFmtId="0" fontId="9" fillId="0" borderId="0" xfId="0" applyFont="1" applyFill="1" applyBorder="1" applyProtection="1"/>
    <xf numFmtId="0" fontId="7" fillId="0" borderId="0" xfId="0" applyFont="1" applyFill="1" applyAlignment="1" applyProtection="1">
      <alignment horizontal="center"/>
    </xf>
    <xf numFmtId="0" fontId="11" fillId="0" borderId="0" xfId="0" applyFont="1" applyFill="1" applyProtection="1"/>
    <xf numFmtId="0" fontId="0" fillId="0" borderId="0" xfId="0" applyFill="1"/>
    <xf numFmtId="0" fontId="8" fillId="0" borderId="0" xfId="0" applyFont="1" applyFill="1" applyAlignment="1">
      <alignment horizontal="center"/>
    </xf>
    <xf numFmtId="0" fontId="8" fillId="0" borderId="0" xfId="0" applyFont="1" applyFill="1"/>
    <xf numFmtId="0" fontId="24" fillId="0" borderId="0" xfId="0" applyFont="1" applyFill="1" applyBorder="1" applyProtection="1"/>
    <xf numFmtId="0" fontId="17" fillId="0" borderId="32" xfId="0" applyFont="1" applyFill="1" applyBorder="1" applyAlignment="1" applyProtection="1">
      <alignment horizontal="left" vertical="center"/>
    </xf>
    <xf numFmtId="0" fontId="17" fillId="0" borderId="0" xfId="0" applyFont="1" applyFill="1" applyAlignment="1" applyProtection="1">
      <alignment horizontal="left" vertical="center"/>
    </xf>
    <xf numFmtId="2" fontId="10" fillId="0" borderId="0" xfId="0" applyNumberFormat="1" applyFont="1" applyFill="1" applyProtection="1"/>
    <xf numFmtId="0" fontId="17" fillId="0" borderId="61" xfId="0" applyFont="1" applyFill="1" applyBorder="1" applyAlignment="1" applyProtection="1">
      <alignment horizontal="center"/>
    </xf>
    <xf numFmtId="0" fontId="17" fillId="0" borderId="61" xfId="0" applyFont="1" applyFill="1" applyBorder="1" applyProtection="1"/>
    <xf numFmtId="2" fontId="0" fillId="0" borderId="0" xfId="0" applyNumberFormat="1" applyFill="1" applyProtection="1"/>
    <xf numFmtId="2" fontId="17" fillId="0" borderId="32" xfId="0" applyNumberFormat="1" applyFont="1" applyFill="1" applyBorder="1" applyAlignment="1" applyProtection="1">
      <alignment horizontal="left" vertical="center"/>
    </xf>
    <xf numFmtId="2" fontId="17" fillId="0" borderId="0" xfId="0" applyNumberFormat="1" applyFont="1" applyFill="1" applyAlignment="1" applyProtection="1">
      <alignment horizontal="left" vertical="center"/>
    </xf>
    <xf numFmtId="0" fontId="0" fillId="0" borderId="1" xfId="0" applyFill="1" applyBorder="1" applyAlignment="1" applyProtection="1">
      <alignment wrapText="1"/>
    </xf>
    <xf numFmtId="0" fontId="7" fillId="0" borderId="30" xfId="0" applyFont="1" applyFill="1" applyBorder="1" applyProtection="1"/>
    <xf numFmtId="0" fontId="8" fillId="0" borderId="34" xfId="0" applyFont="1" applyFill="1" applyBorder="1" applyAlignment="1" applyProtection="1">
      <alignment horizontal="center"/>
    </xf>
    <xf numFmtId="0" fontId="8" fillId="0" borderId="35" xfId="0" applyFont="1" applyFill="1" applyBorder="1" applyAlignment="1" applyProtection="1">
      <alignment horizontal="center"/>
    </xf>
    <xf numFmtId="0" fontId="8" fillId="0" borderId="1" xfId="0" applyFont="1" applyFill="1" applyBorder="1" applyProtection="1"/>
    <xf numFmtId="0" fontId="7" fillId="0" borderId="62"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10" fillId="0" borderId="53" xfId="0" applyFont="1" applyFill="1" applyBorder="1" applyAlignment="1" applyProtection="1">
      <alignment vertical="center"/>
    </xf>
    <xf numFmtId="2" fontId="0" fillId="0" borderId="39" xfId="0" applyNumberFormat="1" applyFill="1" applyBorder="1" applyAlignment="1" applyProtection="1">
      <alignment horizontal="center" vertical="center"/>
    </xf>
    <xf numFmtId="2" fontId="0" fillId="0" borderId="57" xfId="0" applyNumberFormat="1" applyFill="1" applyBorder="1" applyAlignment="1" applyProtection="1">
      <alignment horizontal="center" vertical="center"/>
    </xf>
    <xf numFmtId="0" fontId="0" fillId="0" borderId="0" xfId="0" applyFill="1" applyAlignment="1" applyProtection="1">
      <alignment vertical="center"/>
    </xf>
    <xf numFmtId="0" fontId="10" fillId="0" borderId="14" xfId="0" applyFont="1" applyFill="1" applyBorder="1" applyAlignment="1" applyProtection="1">
      <alignment vertical="center"/>
    </xf>
    <xf numFmtId="2" fontId="0" fillId="0" borderId="2" xfId="0" applyNumberFormat="1" applyFill="1" applyBorder="1" applyAlignment="1" applyProtection="1">
      <alignment horizontal="center" vertical="center"/>
    </xf>
    <xf numFmtId="2" fontId="0" fillId="0" borderId="15" xfId="0" applyNumberFormat="1" applyFill="1" applyBorder="1" applyAlignment="1" applyProtection="1">
      <alignment horizontal="center" vertical="center"/>
    </xf>
    <xf numFmtId="0" fontId="10" fillId="0" borderId="16" xfId="0" applyFont="1" applyFill="1" applyBorder="1" applyAlignment="1" applyProtection="1">
      <alignment vertical="center"/>
    </xf>
    <xf numFmtId="2" fontId="0" fillId="0" borderId="17" xfId="0" applyNumberFormat="1" applyFill="1" applyBorder="1" applyAlignment="1" applyProtection="1">
      <alignment horizontal="center" vertical="center"/>
    </xf>
    <xf numFmtId="2" fontId="0" fillId="0" borderId="18" xfId="0" applyNumberFormat="1" applyFill="1" applyBorder="1" applyAlignment="1" applyProtection="1">
      <alignment horizontal="center" vertical="center"/>
    </xf>
    <xf numFmtId="2" fontId="0" fillId="4" borderId="39" xfId="0" applyNumberFormat="1" applyFill="1" applyBorder="1" applyAlignment="1" applyProtection="1">
      <alignment horizontal="center" vertical="center"/>
      <protection locked="0"/>
    </xf>
    <xf numFmtId="2" fontId="0" fillId="4" borderId="2" xfId="0" applyNumberFormat="1" applyFill="1" applyBorder="1" applyAlignment="1" applyProtection="1">
      <alignment horizontal="center" vertical="center"/>
      <protection locked="0"/>
    </xf>
    <xf numFmtId="2" fontId="0" fillId="4" borderId="17" xfId="0" applyNumberFormat="1" applyFill="1" applyBorder="1" applyAlignment="1" applyProtection="1">
      <alignment horizontal="center" vertical="center"/>
      <protection locked="0"/>
    </xf>
    <xf numFmtId="0" fontId="31" fillId="0" borderId="0" xfId="0" applyFont="1" applyFill="1" applyBorder="1" applyProtection="1"/>
    <xf numFmtId="0" fontId="32" fillId="0" borderId="0" xfId="0" applyFont="1" applyFill="1" applyBorder="1" applyProtection="1"/>
    <xf numFmtId="0" fontId="7" fillId="0" borderId="0" xfId="0" applyFont="1" applyAlignment="1" applyProtection="1">
      <alignment horizontal="center"/>
    </xf>
    <xf numFmtId="0" fontId="7" fillId="0" borderId="0" xfId="0" applyFont="1" applyBorder="1" applyAlignment="1" applyProtection="1">
      <alignment horizontal="center" vertical="top"/>
    </xf>
    <xf numFmtId="0" fontId="7" fillId="0" borderId="32" xfId="0" applyFont="1" applyFill="1" applyBorder="1" applyAlignment="1" applyProtection="1">
      <alignment horizontal="center" vertical="center"/>
    </xf>
    <xf numFmtId="0" fontId="10" fillId="0" borderId="32" xfId="0" applyFont="1" applyFill="1" applyBorder="1" applyAlignment="1" applyProtection="1">
      <alignment vertical="center"/>
    </xf>
    <xf numFmtId="0" fontId="0" fillId="0" borderId="19" xfId="0" applyFill="1" applyBorder="1" applyProtection="1"/>
    <xf numFmtId="0" fontId="7" fillId="0" borderId="43" xfId="0" applyFont="1" applyFill="1" applyBorder="1" applyAlignment="1" applyProtection="1">
      <alignment horizontal="center" vertical="center" wrapText="1"/>
    </xf>
    <xf numFmtId="0" fontId="8" fillId="0" borderId="0" xfId="0" applyNumberFormat="1" applyFont="1" applyAlignment="1">
      <alignment horizontal="center"/>
    </xf>
    <xf numFmtId="0" fontId="7" fillId="0" borderId="59" xfId="0" applyFont="1" applyFill="1" applyBorder="1" applyAlignment="1" applyProtection="1">
      <alignment horizontal="center" vertical="center" wrapText="1"/>
    </xf>
    <xf numFmtId="49" fontId="0" fillId="0" borderId="0" xfId="0" applyNumberFormat="1" applyAlignment="1">
      <alignment horizontal="center"/>
    </xf>
    <xf numFmtId="49" fontId="0" fillId="0" borderId="36" xfId="0" applyNumberFormat="1" applyBorder="1" applyAlignment="1">
      <alignment horizontal="center"/>
    </xf>
    <xf numFmtId="0" fontId="7" fillId="0" borderId="75"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49" fontId="8" fillId="0" borderId="76" xfId="0" applyNumberFormat="1" applyFont="1" applyBorder="1" applyAlignment="1">
      <alignment horizontal="center" vertical="center"/>
    </xf>
    <xf numFmtId="49" fontId="8" fillId="0" borderId="77" xfId="0" applyNumberFormat="1" applyFont="1" applyBorder="1" applyAlignment="1">
      <alignment horizontal="center" vertical="center"/>
    </xf>
    <xf numFmtId="49" fontId="0" fillId="0" borderId="53" xfId="0" applyNumberFormat="1" applyBorder="1" applyAlignment="1">
      <alignment horizontal="center" vertical="center"/>
    </xf>
    <xf numFmtId="49" fontId="8" fillId="0" borderId="8" xfId="0" applyNumberFormat="1" applyFont="1" applyBorder="1" applyAlignment="1">
      <alignment horizontal="center" vertical="center"/>
    </xf>
    <xf numFmtId="49" fontId="8" fillId="0" borderId="62"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0" fillId="0" borderId="9" xfId="0" applyNumberFormat="1" applyBorder="1" applyAlignment="1">
      <alignment horizontal="center" vertical="center"/>
    </xf>
    <xf numFmtId="0" fontId="8" fillId="0" borderId="9" xfId="0" applyNumberFormat="1" applyFont="1" applyBorder="1" applyAlignment="1">
      <alignment horizontal="center" vertical="center"/>
    </xf>
    <xf numFmtId="2" fontId="0" fillId="0" borderId="9" xfId="0" applyNumberFormat="1" applyBorder="1" applyAlignment="1">
      <alignment horizontal="center" vertical="center"/>
    </xf>
    <xf numFmtId="1" fontId="0" fillId="0" borderId="9" xfId="0" applyNumberFormat="1" applyBorder="1" applyAlignment="1">
      <alignment horizontal="center" vertical="center"/>
    </xf>
    <xf numFmtId="0" fontId="0" fillId="0" borderId="0" xfId="0" applyNumberFormat="1" applyBorder="1" applyAlignment="1">
      <alignment vertical="center"/>
    </xf>
    <xf numFmtId="0" fontId="8" fillId="0" borderId="62" xfId="0" applyNumberFormat="1" applyFont="1" applyBorder="1" applyAlignment="1">
      <alignment horizontal="center" vertical="center"/>
    </xf>
    <xf numFmtId="0" fontId="0" fillId="0" borderId="0" xfId="0" applyNumberFormat="1" applyAlignment="1">
      <alignment vertical="center"/>
    </xf>
    <xf numFmtId="0" fontId="0" fillId="0" borderId="0" xfId="0" applyNumberFormat="1" applyAlignment="1">
      <alignment horizontal="center" vertical="center"/>
    </xf>
    <xf numFmtId="0" fontId="10" fillId="0" borderId="11" xfId="0" applyFont="1" applyFill="1" applyBorder="1" applyAlignment="1" applyProtection="1">
      <alignment vertical="center"/>
    </xf>
    <xf numFmtId="2" fontId="0" fillId="0" borderId="12" xfId="0" applyNumberFormat="1" applyFill="1" applyBorder="1" applyAlignment="1" applyProtection="1">
      <alignment horizontal="center" vertical="center"/>
    </xf>
    <xf numFmtId="2" fontId="0" fillId="0" borderId="13" xfId="0" applyNumberFormat="1" applyFill="1" applyBorder="1" applyAlignment="1" applyProtection="1">
      <alignment horizontal="center" vertical="center"/>
    </xf>
    <xf numFmtId="0" fontId="10" fillId="0" borderId="78" xfId="0" applyFont="1" applyFill="1" applyBorder="1" applyAlignment="1" applyProtection="1">
      <alignment vertical="center"/>
    </xf>
    <xf numFmtId="2" fontId="0" fillId="0" borderId="63" xfId="0" applyNumberFormat="1" applyFill="1" applyBorder="1" applyAlignment="1" applyProtection="1">
      <alignment horizontal="center" vertical="center"/>
    </xf>
    <xf numFmtId="2" fontId="0" fillId="0" borderId="79" xfId="0" applyNumberFormat="1" applyFill="1" applyBorder="1" applyAlignment="1" applyProtection="1">
      <alignment horizontal="center" vertical="center"/>
    </xf>
    <xf numFmtId="49" fontId="0" fillId="0" borderId="12" xfId="0" applyNumberFormat="1" applyBorder="1" applyAlignment="1">
      <alignment horizontal="center" vertical="center"/>
    </xf>
    <xf numFmtId="49" fontId="8" fillId="0" borderId="28"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12" xfId="0" applyNumberFormat="1" applyFont="1" applyBorder="1" applyAlignment="1">
      <alignment horizontal="center" vertical="center"/>
    </xf>
    <xf numFmtId="0" fontId="0" fillId="0" borderId="12" xfId="0" applyNumberFormat="1" applyBorder="1" applyAlignment="1">
      <alignment horizontal="center" vertical="center"/>
    </xf>
    <xf numFmtId="2" fontId="0" fillId="0" borderId="80" xfId="0" applyNumberFormat="1" applyBorder="1" applyAlignment="1">
      <alignment horizontal="center" vertical="center"/>
    </xf>
    <xf numFmtId="2" fontId="0" fillId="0" borderId="13" xfId="0" applyNumberFormat="1" applyBorder="1" applyAlignment="1">
      <alignment horizontal="center" vertical="center"/>
    </xf>
    <xf numFmtId="49" fontId="8" fillId="0" borderId="24" xfId="0" applyNumberFormat="1" applyFont="1" applyBorder="1" applyAlignment="1">
      <alignment horizontal="center" vertical="center"/>
    </xf>
    <xf numFmtId="49" fontId="8" fillId="0" borderId="63" xfId="0" applyNumberFormat="1" applyFont="1" applyBorder="1" applyAlignment="1">
      <alignment horizontal="center" vertical="center"/>
    </xf>
    <xf numFmtId="0" fontId="8" fillId="0" borderId="63" xfId="0" applyNumberFormat="1" applyFont="1" applyBorder="1" applyAlignment="1">
      <alignment horizontal="center" vertical="center"/>
    </xf>
    <xf numFmtId="0" fontId="0" fillId="0" borderId="63" xfId="0" applyNumberFormat="1" applyBorder="1" applyAlignment="1">
      <alignment horizontal="center" vertical="center"/>
    </xf>
    <xf numFmtId="2" fontId="0" fillId="0" borderId="81" xfId="0" applyNumberFormat="1" applyBorder="1" applyAlignment="1">
      <alignment horizontal="center" vertical="center"/>
    </xf>
    <xf numFmtId="2" fontId="0" fillId="0" borderId="79" xfId="0" applyNumberFormat="1" applyBorder="1" applyAlignment="1">
      <alignment horizontal="center" vertical="center"/>
    </xf>
    <xf numFmtId="49" fontId="8" fillId="0" borderId="11" xfId="0" applyNumberFormat="1" applyFont="1" applyBorder="1" applyAlignment="1">
      <alignment horizontal="center" vertical="center"/>
    </xf>
    <xf numFmtId="49" fontId="8" fillId="0" borderId="78" xfId="0" applyNumberFormat="1" applyFont="1" applyBorder="1" applyAlignment="1">
      <alignment horizontal="center" vertical="center"/>
    </xf>
    <xf numFmtId="0" fontId="0" fillId="0" borderId="14" xfId="0" applyNumberFormat="1" applyBorder="1" applyAlignment="1">
      <alignment horizontal="center" vertical="center"/>
    </xf>
    <xf numFmtId="0" fontId="0" fillId="0" borderId="16" xfId="0" applyNumberFormat="1" applyBorder="1" applyAlignment="1">
      <alignment horizontal="center" vertical="center"/>
    </xf>
    <xf numFmtId="0" fontId="8" fillId="0" borderId="61" xfId="0" applyNumberFormat="1" applyFont="1" applyBorder="1" applyAlignment="1">
      <alignment horizontal="center" vertical="center"/>
    </xf>
    <xf numFmtId="0" fontId="8" fillId="0" borderId="53" xfId="0" applyFont="1" applyBorder="1" applyAlignment="1">
      <alignment horizontal="center" wrapText="1"/>
    </xf>
    <xf numFmtId="164" fontId="8" fillId="0" borderId="57" xfId="0" applyNumberFormat="1" applyFont="1" applyBorder="1" applyAlignment="1">
      <alignment horizontal="center" wrapText="1"/>
    </xf>
    <xf numFmtId="0" fontId="0" fillId="0" borderId="14" xfId="0" applyBorder="1" applyAlignment="1">
      <alignment horizontal="center"/>
    </xf>
    <xf numFmtId="164" fontId="0" fillId="0" borderId="15" xfId="0" applyNumberFormat="1" applyBorder="1" applyAlignment="1">
      <alignment horizontal="center"/>
    </xf>
    <xf numFmtId="0" fontId="0" fillId="0" borderId="14" xfId="0" applyFill="1" applyBorder="1" applyAlignment="1">
      <alignment horizontal="center"/>
    </xf>
    <xf numFmtId="0" fontId="0" fillId="0" borderId="16" xfId="0" applyFill="1" applyBorder="1" applyAlignment="1">
      <alignment horizontal="center"/>
    </xf>
    <xf numFmtId="164" fontId="0" fillId="0" borderId="18" xfId="0" applyNumberFormat="1" applyBorder="1" applyAlignment="1">
      <alignment horizontal="center"/>
    </xf>
    <xf numFmtId="0" fontId="8" fillId="0" borderId="8" xfId="0" applyFont="1" applyBorder="1" applyAlignment="1">
      <alignment horizontal="center" wrapText="1"/>
    </xf>
    <xf numFmtId="164" fontId="8" fillId="0" borderId="9" xfId="0" applyNumberFormat="1" applyFont="1" applyBorder="1" applyAlignment="1">
      <alignment horizontal="center" vertical="center" wrapText="1"/>
    </xf>
    <xf numFmtId="164" fontId="8" fillId="0" borderId="10" xfId="0" applyNumberFormat="1" applyFont="1" applyBorder="1" applyAlignment="1">
      <alignment horizontal="center" wrapText="1"/>
    </xf>
    <xf numFmtId="0" fontId="8" fillId="0" borderId="9" xfId="0" applyFont="1" applyBorder="1" applyAlignment="1">
      <alignment horizontal="center" wrapText="1"/>
    </xf>
    <xf numFmtId="0" fontId="0" fillId="0" borderId="0" xfId="0" applyFill="1" applyAlignment="1">
      <alignment horizontal="center"/>
    </xf>
    <xf numFmtId="1" fontId="0" fillId="0" borderId="0" xfId="0" applyNumberFormat="1" applyFill="1"/>
    <xf numFmtId="0" fontId="34" fillId="0" borderId="0" xfId="0" applyFont="1" applyFill="1" applyAlignment="1">
      <alignment horizontal="left" vertical="center"/>
    </xf>
    <xf numFmtId="0" fontId="25" fillId="0" borderId="0" xfId="1"/>
    <xf numFmtId="0" fontId="13" fillId="0" borderId="0" xfId="1" applyFont="1"/>
    <xf numFmtId="0" fontId="25" fillId="0" borderId="0" xfId="1" applyBorder="1" applyAlignment="1">
      <alignment horizontal="center"/>
    </xf>
    <xf numFmtId="0" fontId="0" fillId="0" borderId="26" xfId="0" applyBorder="1" applyProtection="1"/>
    <xf numFmtId="0" fontId="32" fillId="0" borderId="8" xfId="1" applyFont="1" applyBorder="1" applyAlignment="1">
      <alignment horizontal="center" wrapText="1"/>
    </xf>
    <xf numFmtId="2" fontId="0" fillId="0" borderId="0" xfId="0" applyNumberFormat="1" applyBorder="1" applyAlignment="1" applyProtection="1">
      <alignment horizontal="center" vertical="center"/>
    </xf>
    <xf numFmtId="2" fontId="0" fillId="0" borderId="0" xfId="0" applyNumberFormat="1" applyBorder="1" applyAlignment="1">
      <alignment horizontal="center" vertical="center"/>
    </xf>
    <xf numFmtId="2" fontId="0" fillId="0" borderId="0" xfId="0" applyNumberFormat="1" applyBorder="1" applyAlignment="1">
      <alignment horizontal="center"/>
    </xf>
    <xf numFmtId="0" fontId="10" fillId="0" borderId="0" xfId="0" applyFont="1" applyAlignment="1">
      <alignment horizontal="center" vertical="center"/>
    </xf>
    <xf numFmtId="0" fontId="10" fillId="0" borderId="0" xfId="0" applyFont="1" applyAlignment="1">
      <alignment vertical="center" wrapText="1"/>
    </xf>
    <xf numFmtId="2" fontId="25" fillId="0" borderId="0" xfId="1" applyNumberFormat="1" applyBorder="1" applyAlignment="1">
      <alignment horizontal="center"/>
    </xf>
    <xf numFmtId="0" fontId="0" fillId="0" borderId="24" xfId="0" applyFill="1" applyBorder="1" applyProtection="1"/>
    <xf numFmtId="0" fontId="0" fillId="5" borderId="19" xfId="0" applyFill="1" applyBorder="1" applyProtection="1"/>
    <xf numFmtId="0" fontId="0" fillId="5" borderId="19" xfId="0" applyFill="1" applyBorder="1" applyAlignment="1" applyProtection="1">
      <alignment horizontal="center"/>
    </xf>
    <xf numFmtId="0" fontId="8" fillId="0" borderId="32" xfId="0" applyFont="1" applyFill="1" applyBorder="1" applyAlignment="1" applyProtection="1">
      <alignment horizontal="center"/>
    </xf>
    <xf numFmtId="0" fontId="8" fillId="0" borderId="37" xfId="0" applyFont="1" applyFill="1" applyBorder="1" applyProtection="1"/>
    <xf numFmtId="0" fontId="0" fillId="0" borderId="32" xfId="0" applyFill="1" applyBorder="1" applyAlignment="1" applyProtection="1">
      <alignment vertical="center"/>
    </xf>
    <xf numFmtId="0" fontId="7" fillId="0" borderId="0" xfId="0" applyFont="1" applyFill="1" applyBorder="1" applyAlignment="1" applyProtection="1">
      <alignment vertical="center"/>
    </xf>
    <xf numFmtId="0" fontId="7" fillId="0" borderId="33" xfId="0" applyFont="1" applyFill="1" applyBorder="1" applyAlignment="1" applyProtection="1">
      <alignment horizontal="center" vertical="center"/>
    </xf>
    <xf numFmtId="0" fontId="0" fillId="0" borderId="23" xfId="0" applyBorder="1" applyProtection="1"/>
    <xf numFmtId="2" fontId="0" fillId="0" borderId="27" xfId="0" applyNumberFormat="1" applyBorder="1" applyAlignment="1" applyProtection="1">
      <alignment horizontal="center" vertical="center"/>
    </xf>
    <xf numFmtId="2" fontId="0" fillId="0" borderId="22" xfId="0" applyNumberFormat="1" applyBorder="1" applyAlignment="1">
      <alignment horizontal="center" vertical="center"/>
    </xf>
    <xf numFmtId="2" fontId="0" fillId="0" borderId="22" xfId="0" applyNumberFormat="1" applyBorder="1" applyAlignment="1" applyProtection="1">
      <alignment horizontal="center" vertical="center"/>
    </xf>
    <xf numFmtId="0" fontId="8" fillId="0" borderId="25" xfId="0" applyFont="1" applyBorder="1" applyProtection="1"/>
    <xf numFmtId="0" fontId="0" fillId="0" borderId="26" xfId="0" applyBorder="1" applyAlignment="1" applyProtection="1">
      <alignment horizontal="center"/>
    </xf>
    <xf numFmtId="0" fontId="0" fillId="0" borderId="25" xfId="0" applyBorder="1" applyAlignment="1" applyProtection="1">
      <alignment horizontal="center"/>
    </xf>
    <xf numFmtId="0" fontId="0" fillId="0" borderId="27" xfId="0" applyBorder="1" applyProtection="1"/>
    <xf numFmtId="49" fontId="9" fillId="0" borderId="21" xfId="0" applyNumberFormat="1" applyFont="1" applyBorder="1" applyProtection="1"/>
    <xf numFmtId="49" fontId="9" fillId="0" borderId="24" xfId="0" applyNumberFormat="1" applyFont="1" applyBorder="1" applyProtection="1"/>
    <xf numFmtId="2" fontId="0" fillId="0" borderId="25" xfId="0" applyNumberFormat="1" applyBorder="1" applyAlignment="1" applyProtection="1">
      <alignment horizontal="center" vertical="center"/>
    </xf>
    <xf numFmtId="0" fontId="10" fillId="0" borderId="0" xfId="0" applyFont="1" applyAlignment="1">
      <alignment wrapText="1"/>
    </xf>
    <xf numFmtId="0" fontId="0" fillId="0" borderId="59" xfId="0" applyNumberFormat="1" applyBorder="1" applyAlignment="1">
      <alignment horizontal="center" vertical="center"/>
    </xf>
    <xf numFmtId="0" fontId="8" fillId="0" borderId="2" xfId="0" applyFont="1" applyBorder="1" applyAlignment="1" applyProtection="1">
      <alignment horizontal="center" vertical="center" wrapText="1"/>
    </xf>
    <xf numFmtId="0" fontId="8" fillId="0" borderId="2" xfId="0" applyFont="1" applyBorder="1" applyAlignment="1" applyProtection="1">
      <alignment horizontal="center" wrapText="1"/>
    </xf>
    <xf numFmtId="0" fontId="0" fillId="0" borderId="33" xfId="0" applyBorder="1"/>
    <xf numFmtId="0" fontId="0" fillId="0" borderId="32" xfId="0" applyBorder="1"/>
    <xf numFmtId="0" fontId="0" fillId="0" borderId="37" xfId="0" applyBorder="1"/>
    <xf numFmtId="0" fontId="0" fillId="0" borderId="1" xfId="0" applyBorder="1"/>
    <xf numFmtId="0" fontId="0" fillId="0" borderId="38" xfId="0" applyBorder="1"/>
    <xf numFmtId="0" fontId="0" fillId="0" borderId="86" xfId="0" applyBorder="1"/>
    <xf numFmtId="164" fontId="0" fillId="0" borderId="1" xfId="0" applyNumberFormat="1" applyBorder="1" applyAlignment="1">
      <alignment horizontal="center"/>
    </xf>
    <xf numFmtId="164" fontId="0" fillId="0" borderId="1" xfId="0" applyNumberFormat="1" applyBorder="1"/>
    <xf numFmtId="0" fontId="0" fillId="0" borderId="87" xfId="0" applyBorder="1"/>
    <xf numFmtId="0" fontId="0" fillId="0" borderId="29" xfId="0" applyBorder="1"/>
    <xf numFmtId="0" fontId="0" fillId="0" borderId="30" xfId="0" applyBorder="1"/>
    <xf numFmtId="164" fontId="0" fillId="0" borderId="30" xfId="0" applyNumberFormat="1" applyBorder="1" applyAlignment="1">
      <alignment horizontal="center"/>
    </xf>
    <xf numFmtId="164" fontId="0" fillId="0" borderId="30" xfId="0" applyNumberFormat="1" applyBorder="1"/>
    <xf numFmtId="0" fontId="0" fillId="0" borderId="31" xfId="0" applyBorder="1"/>
    <xf numFmtId="164" fontId="7" fillId="0" borderId="0" xfId="0" applyNumberFormat="1" applyFont="1" applyFill="1" applyBorder="1" applyAlignment="1" applyProtection="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0" fillId="0" borderId="3" xfId="0" applyFont="1" applyBorder="1"/>
    <xf numFmtId="0" fontId="0" fillId="0" borderId="6" xfId="0" applyBorder="1" applyAlignment="1">
      <alignment horizontal="center"/>
    </xf>
    <xf numFmtId="0" fontId="36" fillId="0" borderId="32" xfId="0" applyFont="1" applyFill="1" applyBorder="1" applyProtection="1"/>
    <xf numFmtId="0" fontId="36" fillId="0" borderId="0" xfId="0" applyFont="1" applyFill="1" applyProtection="1"/>
    <xf numFmtId="0" fontId="0" fillId="0" borderId="90" xfId="0" applyBorder="1"/>
    <xf numFmtId="0" fontId="0" fillId="0" borderId="93" xfId="0" applyBorder="1"/>
    <xf numFmtId="0" fontId="0" fillId="0" borderId="5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56" xfId="0"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55" xfId="0" applyFill="1" applyBorder="1" applyAlignment="1" applyProtection="1">
      <alignment horizontal="center" vertical="center"/>
    </xf>
    <xf numFmtId="0" fontId="7" fillId="0" borderId="8" xfId="0" applyFont="1" applyFill="1" applyBorder="1" applyAlignment="1" applyProtection="1">
      <alignment horizontal="center" vertical="center" wrapText="1"/>
    </xf>
    <xf numFmtId="2" fontId="8" fillId="4" borderId="53" xfId="2" applyNumberFormat="1" applyFill="1" applyBorder="1" applyAlignment="1" applyProtection="1">
      <alignment horizontal="center" vertical="center"/>
      <protection locked="0"/>
    </xf>
    <xf numFmtId="2" fontId="8" fillId="0" borderId="11" xfId="2" applyNumberFormat="1" applyFill="1" applyBorder="1" applyAlignment="1" applyProtection="1">
      <alignment horizontal="center" vertical="center"/>
    </xf>
    <xf numFmtId="2" fontId="8" fillId="0" borderId="15" xfId="2" applyNumberFormat="1" applyFill="1" applyBorder="1" applyAlignment="1" applyProtection="1">
      <alignment horizontal="center" vertical="center"/>
    </xf>
    <xf numFmtId="2" fontId="8" fillId="0" borderId="14" xfId="2" applyNumberFormat="1" applyFill="1" applyBorder="1" applyAlignment="1" applyProtection="1">
      <alignment horizontal="center" vertical="center"/>
    </xf>
    <xf numFmtId="2" fontId="8" fillId="0" borderId="78" xfId="2" applyNumberFormat="1" applyFill="1" applyBorder="1" applyAlignment="1" applyProtection="1">
      <alignment horizontal="center" vertical="center"/>
    </xf>
    <xf numFmtId="2" fontId="8" fillId="4" borderId="16" xfId="2" applyNumberFormat="1" applyFill="1" applyBorder="1" applyAlignment="1" applyProtection="1">
      <alignment horizontal="center" vertical="center"/>
      <protection locked="0"/>
    </xf>
    <xf numFmtId="2" fontId="8" fillId="0" borderId="53" xfId="2" applyNumberFormat="1" applyFill="1" applyBorder="1" applyAlignment="1" applyProtection="1">
      <alignment horizontal="center" vertical="center"/>
    </xf>
    <xf numFmtId="2" fontId="0" fillId="4" borderId="14" xfId="0" applyNumberFormat="1" applyFill="1" applyBorder="1" applyAlignment="1" applyProtection="1">
      <alignment horizontal="center" vertical="center"/>
      <protection locked="0"/>
    </xf>
    <xf numFmtId="2" fontId="8" fillId="0" borderId="16" xfId="2" applyNumberFormat="1" applyFill="1" applyBorder="1" applyAlignment="1" applyProtection="1">
      <alignment horizontal="center" vertical="center"/>
    </xf>
    <xf numFmtId="2" fontId="8" fillId="0" borderId="57" xfId="2" applyNumberFormat="1" applyFill="1" applyBorder="1" applyAlignment="1" applyProtection="1">
      <alignment horizontal="center" vertical="center"/>
    </xf>
    <xf numFmtId="2" fontId="8" fillId="0" borderId="13" xfId="2" applyNumberFormat="1" applyFill="1" applyBorder="1" applyAlignment="1" applyProtection="1">
      <alignment horizontal="center" vertical="center"/>
    </xf>
    <xf numFmtId="2" fontId="8" fillId="0" borderId="79" xfId="2" applyNumberFormat="1" applyFill="1" applyBorder="1" applyAlignment="1" applyProtection="1">
      <alignment horizontal="center" vertical="center"/>
    </xf>
    <xf numFmtId="2" fontId="8" fillId="0" borderId="18" xfId="2" applyNumberFormat="1" applyFill="1" applyBorder="1" applyAlignment="1" applyProtection="1">
      <alignment horizontal="center" vertical="center"/>
    </xf>
    <xf numFmtId="2" fontId="0" fillId="0" borderId="28" xfId="0" applyNumberFormat="1" applyFill="1" applyBorder="1" applyAlignment="1" applyProtection="1">
      <alignment horizontal="center" vertical="center"/>
    </xf>
    <xf numFmtId="2" fontId="0" fillId="0" borderId="61" xfId="0" applyNumberFormat="1" applyFill="1" applyBorder="1" applyAlignment="1" applyProtection="1">
      <alignment horizontal="center" vertical="center"/>
    </xf>
    <xf numFmtId="2" fontId="0" fillId="0" borderId="24" xfId="0" applyNumberFormat="1" applyFill="1" applyBorder="1" applyAlignment="1" applyProtection="1">
      <alignment horizontal="center" vertical="center"/>
    </xf>
    <xf numFmtId="0" fontId="7" fillId="0" borderId="41" xfId="0" applyFont="1" applyBorder="1" applyAlignment="1" applyProtection="1">
      <alignment horizontal="center"/>
    </xf>
    <xf numFmtId="0" fontId="7" fillId="0" borderId="26" xfId="0" applyFont="1" applyBorder="1" applyAlignment="1" applyProtection="1">
      <alignment horizontal="center"/>
    </xf>
    <xf numFmtId="0" fontId="7" fillId="0" borderId="94" xfId="0" applyFont="1" applyBorder="1" applyAlignment="1" applyProtection="1">
      <alignment horizontal="right"/>
    </xf>
    <xf numFmtId="0" fontId="7" fillId="0" borderId="85" xfId="0" applyFont="1" applyFill="1" applyBorder="1" applyAlignment="1" applyProtection="1">
      <alignment horizontal="right"/>
    </xf>
    <xf numFmtId="0" fontId="7" fillId="0" borderId="31" xfId="0" applyFont="1" applyFill="1" applyBorder="1" applyAlignment="1" applyProtection="1">
      <alignment horizontal="center" vertical="center"/>
    </xf>
    <xf numFmtId="0" fontId="7" fillId="0" borderId="30" xfId="0" applyFont="1" applyBorder="1" applyProtection="1"/>
    <xf numFmtId="1" fontId="0" fillId="0" borderId="0" xfId="0" applyNumberFormat="1" applyFill="1" applyAlignment="1">
      <alignment horizontal="center"/>
    </xf>
    <xf numFmtId="0" fontId="8" fillId="0" borderId="0" xfId="0" applyFont="1" applyBorder="1" applyAlignment="1" applyProtection="1">
      <alignment horizontal="center"/>
    </xf>
    <xf numFmtId="0" fontId="0" fillId="0" borderId="0" xfId="0" applyAlignment="1" applyProtection="1">
      <alignment vertical="center"/>
    </xf>
    <xf numFmtId="164" fontId="8" fillId="0" borderId="26" xfId="0" applyNumberFormat="1" applyFont="1" applyBorder="1"/>
    <xf numFmtId="164" fontId="0" fillId="0" borderId="26" xfId="0" applyNumberFormat="1" applyBorder="1"/>
    <xf numFmtId="0" fontId="8" fillId="0" borderId="0" xfId="2" applyFont="1" applyBorder="1" applyAlignment="1">
      <alignment horizontal="right"/>
    </xf>
    <xf numFmtId="0" fontId="0" fillId="0" borderId="22" xfId="0" applyBorder="1" applyAlignment="1" applyProtection="1">
      <alignment horizontal="center"/>
    </xf>
    <xf numFmtId="0" fontId="0" fillId="0" borderId="9" xfId="0" applyNumberFormat="1" applyBorder="1" applyAlignment="1">
      <alignment horizontal="center" vertical="center" wrapText="1"/>
    </xf>
    <xf numFmtId="0" fontId="7" fillId="0" borderId="43" xfId="0" applyFont="1" applyBorder="1" applyAlignment="1" applyProtection="1">
      <alignment horizontal="center" vertical="center" wrapText="1"/>
    </xf>
    <xf numFmtId="0" fontId="0" fillId="0" borderId="0" xfId="0" applyBorder="1" applyProtection="1"/>
    <xf numFmtId="0" fontId="10" fillId="0" borderId="0" xfId="0" applyFont="1" applyBorder="1" applyProtection="1"/>
    <xf numFmtId="0" fontId="8" fillId="0" borderId="0" xfId="0" applyFont="1" applyFill="1" applyBorder="1" applyAlignment="1" applyProtection="1">
      <alignment horizontal="center"/>
    </xf>
    <xf numFmtId="0" fontId="8" fillId="0" borderId="0" xfId="0" applyFont="1" applyFill="1" applyBorder="1" applyProtection="1"/>
    <xf numFmtId="0" fontId="8" fillId="0" borderId="0" xfId="0" applyFont="1" applyBorder="1" applyProtection="1"/>
    <xf numFmtId="49" fontId="0" fillId="0" borderId="0" xfId="0" applyNumberFormat="1" applyFill="1" applyBorder="1" applyAlignment="1" applyProtection="1">
      <alignment horizontal="center"/>
    </xf>
    <xf numFmtId="0" fontId="7" fillId="0" borderId="0" xfId="0" applyFont="1" applyBorder="1" applyProtection="1"/>
    <xf numFmtId="0" fontId="0" fillId="0" borderId="0" xfId="0" applyFill="1" applyBorder="1" applyProtection="1"/>
    <xf numFmtId="0" fontId="7" fillId="0" borderId="0" xfId="0" applyFont="1" applyBorder="1" applyAlignment="1" applyProtection="1">
      <alignment horizontal="center"/>
    </xf>
    <xf numFmtId="0" fontId="0" fillId="0" borderId="2" xfId="0" applyFill="1" applyBorder="1" applyAlignment="1" applyProtection="1">
      <alignment horizontal="center"/>
    </xf>
    <xf numFmtId="0" fontId="7" fillId="0" borderId="0" xfId="0" applyFont="1" applyFill="1" applyBorder="1" applyProtection="1"/>
    <xf numFmtId="0" fontId="0" fillId="0" borderId="0" xfId="0" applyFill="1" applyBorder="1" applyAlignment="1" applyProtection="1">
      <alignment horizontal="center"/>
    </xf>
    <xf numFmtId="2" fontId="0" fillId="0" borderId="39" xfId="0" applyNumberFormat="1" applyBorder="1" applyAlignment="1">
      <alignment horizontal="center" vertical="center"/>
    </xf>
    <xf numFmtId="2" fontId="0" fillId="0" borderId="17" xfId="0" applyNumberFormat="1" applyBorder="1" applyAlignment="1">
      <alignment horizontal="center" vertical="center"/>
    </xf>
    <xf numFmtId="2" fontId="0" fillId="0" borderId="2" xfId="0" applyNumberFormat="1" applyBorder="1" applyAlignment="1">
      <alignment horizontal="center" vertical="center"/>
    </xf>
    <xf numFmtId="49" fontId="7" fillId="0" borderId="0" xfId="0" applyNumberFormat="1" applyFont="1" applyFill="1" applyBorder="1" applyAlignment="1" applyProtection="1">
      <alignment horizontal="left"/>
    </xf>
    <xf numFmtId="0" fontId="7" fillId="0" borderId="0" xfId="0" applyFont="1" applyBorder="1" applyAlignment="1" applyProtection="1">
      <alignment vertical="center"/>
    </xf>
    <xf numFmtId="0" fontId="0" fillId="0" borderId="32" xfId="0" applyFill="1" applyBorder="1" applyProtection="1"/>
    <xf numFmtId="0" fontId="7" fillId="0" borderId="21" xfId="0" applyFont="1" applyBorder="1" applyProtection="1"/>
    <xf numFmtId="0" fontId="10" fillId="0" borderId="0" xfId="0" applyFont="1" applyFill="1" applyBorder="1" applyAlignment="1" applyProtection="1">
      <alignment horizontal="center"/>
    </xf>
    <xf numFmtId="0" fontId="0" fillId="0" borderId="0" xfId="0" applyNumberFormat="1" applyFill="1" applyBorder="1" applyAlignment="1" applyProtection="1"/>
    <xf numFmtId="0" fontId="0" fillId="0" borderId="0" xfId="0" applyNumberFormat="1" applyFill="1" applyBorder="1" applyProtection="1"/>
    <xf numFmtId="2" fontId="0" fillId="0" borderId="12" xfId="0" applyNumberFormat="1" applyBorder="1" applyAlignment="1">
      <alignment horizontal="center" vertical="center"/>
    </xf>
    <xf numFmtId="2" fontId="0" fillId="0" borderId="63" xfId="0" applyNumberFormat="1" applyBorder="1" applyAlignment="1">
      <alignment horizontal="center" vertical="center"/>
    </xf>
    <xf numFmtId="0" fontId="0" fillId="0" borderId="24" xfId="0" applyBorder="1" applyProtection="1"/>
    <xf numFmtId="0" fontId="0" fillId="0" borderId="28" xfId="0" applyBorder="1" applyProtection="1"/>
    <xf numFmtId="0" fontId="0" fillId="0" borderId="21" xfId="0" applyBorder="1" applyProtection="1"/>
    <xf numFmtId="0" fontId="0" fillId="0" borderId="22" xfId="0" applyBorder="1" applyProtection="1"/>
    <xf numFmtId="0" fontId="8" fillId="0" borderId="9" xfId="0" applyNumberFormat="1" applyFont="1" applyBorder="1" applyAlignment="1">
      <alignment horizontal="center" vertical="center" wrapText="1"/>
    </xf>
    <xf numFmtId="0" fontId="7" fillId="0" borderId="0" xfId="0" applyFont="1" applyBorder="1" applyAlignment="1" applyProtection="1">
      <alignment horizontal="right"/>
    </xf>
    <xf numFmtId="166" fontId="0" fillId="0" borderId="9" xfId="0" applyNumberFormat="1" applyBorder="1" applyAlignment="1">
      <alignment horizontal="center" vertical="center"/>
    </xf>
    <xf numFmtId="166" fontId="0" fillId="0" borderId="39" xfId="0" applyNumberFormat="1" applyBorder="1" applyAlignment="1">
      <alignment horizontal="center" vertical="center"/>
    </xf>
    <xf numFmtId="166" fontId="0" fillId="0" borderId="2" xfId="0" applyNumberFormat="1" applyBorder="1" applyAlignment="1">
      <alignment horizontal="center" vertical="center"/>
    </xf>
    <xf numFmtId="166" fontId="0" fillId="0" borderId="17" xfId="0" applyNumberFormat="1" applyBorder="1" applyAlignment="1">
      <alignment horizontal="center" vertical="center"/>
    </xf>
    <xf numFmtId="0" fontId="17" fillId="0" borderId="0" xfId="0" applyFont="1" applyAlignment="1">
      <alignment vertical="center"/>
    </xf>
    <xf numFmtId="0" fontId="43" fillId="0" borderId="0" xfId="2" applyFont="1"/>
    <xf numFmtId="0" fontId="41" fillId="0" borderId="0" xfId="2" applyFont="1"/>
    <xf numFmtId="0" fontId="8" fillId="0" borderId="0" xfId="2" applyFont="1" applyBorder="1" applyAlignment="1">
      <alignment horizontal="left" vertical="center" wrapText="1" indent="1"/>
    </xf>
    <xf numFmtId="0" fontId="8" fillId="0" borderId="0" xfId="2" applyFont="1" applyBorder="1" applyAlignment="1">
      <alignment vertical="top" wrapText="1"/>
    </xf>
    <xf numFmtId="0" fontId="8" fillId="0" borderId="33" xfId="0" applyFont="1" applyBorder="1" applyAlignment="1" applyProtection="1">
      <alignment horizontal="center"/>
    </xf>
    <xf numFmtId="0" fontId="32" fillId="0" borderId="8" xfId="1" applyFont="1" applyBorder="1" applyAlignment="1">
      <alignment horizontal="center" vertical="center" wrapText="1"/>
    </xf>
    <xf numFmtId="0" fontId="8" fillId="0" borderId="10" xfId="0" applyFont="1" applyBorder="1" applyAlignment="1" applyProtection="1">
      <alignment horizontal="center"/>
    </xf>
    <xf numFmtId="0" fontId="8" fillId="0" borderId="10" xfId="0" applyFont="1" applyBorder="1" applyAlignment="1" applyProtection="1">
      <alignment horizontal="center" wrapText="1"/>
    </xf>
    <xf numFmtId="165" fontId="8" fillId="0" borderId="47" xfId="5" applyNumberFormat="1" applyFont="1" applyFill="1" applyBorder="1" applyAlignment="1">
      <alignment horizontal="center"/>
    </xf>
    <xf numFmtId="2" fontId="8" fillId="0" borderId="40" xfId="0" applyNumberFormat="1" applyFont="1" applyBorder="1" applyAlignment="1">
      <alignment horizontal="center"/>
    </xf>
    <xf numFmtId="2" fontId="8" fillId="0" borderId="44" xfId="0" applyNumberFormat="1" applyFont="1" applyBorder="1" applyAlignment="1" applyProtection="1">
      <alignment horizontal="center"/>
    </xf>
    <xf numFmtId="2" fontId="8" fillId="0" borderId="41" xfId="0" applyNumberFormat="1" applyFont="1" applyBorder="1" applyAlignment="1">
      <alignment horizontal="center"/>
    </xf>
    <xf numFmtId="2" fontId="8" fillId="0" borderId="51" xfId="0" applyNumberFormat="1" applyFont="1" applyBorder="1" applyAlignment="1">
      <alignment horizontal="center"/>
    </xf>
    <xf numFmtId="2" fontId="8" fillId="0" borderId="42" xfId="0" applyNumberFormat="1" applyFont="1" applyBorder="1" applyAlignment="1">
      <alignment horizontal="center"/>
    </xf>
    <xf numFmtId="2" fontId="8" fillId="0" borderId="46" xfId="0" applyNumberFormat="1" applyFont="1" applyBorder="1" applyAlignment="1">
      <alignment horizontal="center"/>
    </xf>
    <xf numFmtId="0" fontId="32" fillId="0" borderId="29" xfId="1" applyFont="1" applyBorder="1" applyAlignment="1">
      <alignment horizontal="center"/>
    </xf>
    <xf numFmtId="0" fontId="32" fillId="0" borderId="32" xfId="1" applyFont="1" applyBorder="1" applyAlignment="1">
      <alignment horizontal="center"/>
    </xf>
    <xf numFmtId="0" fontId="32" fillId="0" borderId="8" xfId="1" applyFont="1" applyBorder="1" applyAlignment="1">
      <alignment horizontal="center"/>
    </xf>
    <xf numFmtId="0" fontId="32" fillId="0" borderId="37" xfId="1" applyFont="1" applyBorder="1" applyAlignment="1">
      <alignment horizontal="center" vertical="center"/>
    </xf>
    <xf numFmtId="0" fontId="32" fillId="0" borderId="48" xfId="1" applyFont="1" applyBorder="1" applyAlignment="1">
      <alignment horizontal="center"/>
    </xf>
    <xf numFmtId="0" fontId="32" fillId="0" borderId="48" xfId="1" applyFont="1" applyFill="1" applyBorder="1" applyAlignment="1">
      <alignment horizontal="center"/>
    </xf>
    <xf numFmtId="0" fontId="32" fillId="0" borderId="49" xfId="1" applyFont="1" applyBorder="1" applyAlignment="1">
      <alignment horizontal="center"/>
    </xf>
    <xf numFmtId="0" fontId="8" fillId="0" borderId="9" xfId="0" applyFont="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9"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2" fontId="8" fillId="0" borderId="43" xfId="0" applyNumberFormat="1" applyFont="1" applyBorder="1" applyProtection="1"/>
    <xf numFmtId="2" fontId="8" fillId="0" borderId="44" xfId="0" applyNumberFormat="1" applyFont="1" applyBorder="1" applyProtection="1"/>
    <xf numFmtId="2" fontId="8" fillId="0" borderId="50" xfId="0" applyNumberFormat="1" applyFont="1" applyBorder="1" applyAlignment="1">
      <alignment horizontal="center"/>
    </xf>
    <xf numFmtId="2" fontId="8" fillId="0" borderId="50" xfId="0" applyNumberFormat="1" applyFont="1" applyBorder="1" applyProtection="1"/>
    <xf numFmtId="2" fontId="8" fillId="0" borderId="51" xfId="0" applyNumberFormat="1" applyFont="1" applyBorder="1" applyProtection="1"/>
    <xf numFmtId="2" fontId="8" fillId="0" borderId="45" xfId="0" applyNumberFormat="1" applyFont="1" applyBorder="1" applyAlignment="1">
      <alignment horizontal="center"/>
    </xf>
    <xf numFmtId="0" fontId="32" fillId="0" borderId="8" xfId="1" applyFont="1" applyBorder="1" applyAlignment="1">
      <alignment horizontal="center" vertical="center"/>
    </xf>
    <xf numFmtId="2" fontId="8" fillId="0" borderId="47" xfId="5" applyNumberFormat="1" applyFont="1" applyFill="1" applyBorder="1" applyAlignment="1">
      <alignment horizontal="center" vertical="center"/>
    </xf>
    <xf numFmtId="2" fontId="8" fillId="0" borderId="75" xfId="0" applyNumberFormat="1" applyFont="1" applyBorder="1" applyAlignment="1">
      <alignment horizontal="center" vertical="center"/>
    </xf>
    <xf numFmtId="2" fontId="8" fillId="0" borderId="43" xfId="0" applyNumberFormat="1" applyFont="1" applyBorder="1" applyAlignment="1" applyProtection="1">
      <alignment horizontal="center" vertical="center"/>
    </xf>
    <xf numFmtId="2" fontId="8" fillId="0" borderId="44" xfId="0" applyNumberFormat="1" applyFont="1" applyBorder="1" applyAlignment="1" applyProtection="1">
      <alignment horizontal="center" vertical="center"/>
    </xf>
    <xf numFmtId="2" fontId="8" fillId="0" borderId="50" xfId="0" applyNumberFormat="1" applyFont="1" applyBorder="1" applyAlignment="1">
      <alignment horizontal="center" vertical="center"/>
    </xf>
    <xf numFmtId="2" fontId="8" fillId="0" borderId="50" xfId="0" applyNumberFormat="1" applyFont="1" applyBorder="1" applyAlignment="1" applyProtection="1">
      <alignment horizontal="center" vertical="center"/>
    </xf>
    <xf numFmtId="2" fontId="8" fillId="0" borderId="51" xfId="0" applyNumberFormat="1" applyFont="1" applyBorder="1" applyAlignment="1" applyProtection="1">
      <alignment horizontal="center" vertical="center"/>
    </xf>
    <xf numFmtId="2" fontId="8" fillId="0" borderId="84" xfId="0" applyNumberFormat="1" applyFont="1" applyBorder="1" applyAlignment="1" applyProtection="1">
      <alignment horizontal="center" vertical="center"/>
    </xf>
    <xf numFmtId="2" fontId="8" fillId="0" borderId="45" xfId="0" applyNumberFormat="1" applyFont="1" applyBorder="1" applyAlignment="1">
      <alignment horizontal="center" vertical="center"/>
    </xf>
    <xf numFmtId="2" fontId="8" fillId="0" borderId="45" xfId="0" applyNumberFormat="1" applyFont="1" applyBorder="1" applyAlignment="1" applyProtection="1">
      <alignment horizontal="center" vertical="center"/>
    </xf>
    <xf numFmtId="2" fontId="32" fillId="0" borderId="48" xfId="1" applyNumberFormat="1" applyFont="1" applyBorder="1" applyAlignment="1">
      <alignment horizontal="center" vertical="center"/>
    </xf>
    <xf numFmtId="2" fontId="32" fillId="0" borderId="26" xfId="1" applyNumberFormat="1" applyFont="1" applyBorder="1" applyAlignment="1">
      <alignment horizontal="center" vertical="center"/>
    </xf>
    <xf numFmtId="2" fontId="32" fillId="0" borderId="49" xfId="1" applyNumberFormat="1" applyFont="1" applyFill="1" applyBorder="1" applyAlignment="1">
      <alignment horizontal="center" vertical="center"/>
    </xf>
    <xf numFmtId="1" fontId="8" fillId="0" borderId="11" xfId="1" applyNumberFormat="1" applyFont="1" applyFill="1" applyBorder="1" applyAlignment="1" applyProtection="1">
      <alignment horizontal="center"/>
    </xf>
    <xf numFmtId="2" fontId="8" fillId="0" borderId="12" xfId="1" applyNumberFormat="1" applyFont="1" applyFill="1" applyBorder="1" applyAlignment="1" applyProtection="1">
      <alignment horizontal="center"/>
    </xf>
    <xf numFmtId="2" fontId="8" fillId="0" borderId="13" xfId="1" applyNumberFormat="1" applyFont="1" applyFill="1" applyBorder="1" applyAlignment="1" applyProtection="1">
      <alignment horizontal="center"/>
    </xf>
    <xf numFmtId="1" fontId="8" fillId="0" borderId="14" xfId="1" applyNumberFormat="1" applyFont="1" applyFill="1" applyBorder="1" applyAlignment="1" applyProtection="1">
      <alignment horizontal="center"/>
    </xf>
    <xf numFmtId="2" fontId="8" fillId="0" borderId="2" xfId="1" applyNumberFormat="1" applyFont="1" applyFill="1" applyBorder="1" applyAlignment="1" applyProtection="1">
      <alignment horizontal="center"/>
    </xf>
    <xf numFmtId="2" fontId="8" fillId="0" borderId="15" xfId="1" applyNumberFormat="1" applyFont="1" applyFill="1" applyBorder="1" applyAlignment="1" applyProtection="1">
      <alignment horizontal="center"/>
    </xf>
    <xf numFmtId="1" fontId="8" fillId="0" borderId="16" xfId="1" applyNumberFormat="1" applyFont="1" applyFill="1" applyBorder="1" applyAlignment="1" applyProtection="1">
      <alignment horizontal="center"/>
    </xf>
    <xf numFmtId="2" fontId="8" fillId="0" borderId="17" xfId="1" applyNumberFormat="1" applyFont="1" applyFill="1" applyBorder="1" applyAlignment="1" applyProtection="1">
      <alignment horizontal="center"/>
    </xf>
    <xf numFmtId="2" fontId="8" fillId="0" borderId="18" xfId="1" applyNumberFormat="1" applyFont="1" applyFill="1" applyBorder="1" applyAlignment="1" applyProtection="1">
      <alignment horizontal="center"/>
    </xf>
    <xf numFmtId="0" fontId="8" fillId="0" borderId="8" xfId="1" applyNumberFormat="1" applyFont="1" applyFill="1" applyBorder="1" applyAlignment="1" applyProtection="1">
      <alignment horizontal="center" vertical="center"/>
    </xf>
    <xf numFmtId="0" fontId="8" fillId="0" borderId="9" xfId="1" applyNumberFormat="1" applyFont="1" applyFill="1" applyBorder="1" applyAlignment="1" applyProtection="1">
      <alignment horizontal="center" vertical="center"/>
    </xf>
    <xf numFmtId="0" fontId="8" fillId="0" borderId="10" xfId="1" applyNumberFormat="1" applyFont="1" applyFill="1" applyBorder="1" applyAlignment="1" applyProtection="1">
      <alignment horizontal="center" vertical="center"/>
    </xf>
    <xf numFmtId="0" fontId="0" fillId="0" borderId="40" xfId="0" applyBorder="1" applyAlignment="1" applyProtection="1">
      <alignment horizontal="center" vertical="center"/>
    </xf>
    <xf numFmtId="0" fontId="0" fillId="0" borderId="31" xfId="0" applyBorder="1" applyAlignment="1" applyProtection="1">
      <alignment horizontal="center" vertical="center"/>
    </xf>
    <xf numFmtId="0" fontId="0" fillId="0" borderId="41" xfId="0" applyBorder="1" applyAlignment="1" applyProtection="1">
      <alignment horizontal="center" vertical="center"/>
    </xf>
    <xf numFmtId="0" fontId="8" fillId="0" borderId="33" xfId="0" applyFont="1" applyBorder="1" applyAlignment="1" applyProtection="1">
      <alignment horizontal="center" vertical="center"/>
    </xf>
    <xf numFmtId="0" fontId="0" fillId="0" borderId="33" xfId="0" applyBorder="1" applyAlignment="1" applyProtection="1">
      <alignment horizontal="center" vertical="center"/>
    </xf>
    <xf numFmtId="0" fontId="0" fillId="0" borderId="42" xfId="0" applyBorder="1" applyAlignment="1" applyProtection="1">
      <alignment horizontal="center" vertical="center"/>
    </xf>
    <xf numFmtId="0" fontId="0" fillId="0" borderId="38" xfId="0" applyBorder="1" applyAlignment="1" applyProtection="1">
      <alignment horizontal="center" vertical="center"/>
    </xf>
    <xf numFmtId="0" fontId="40" fillId="0" borderId="0" xfId="1" applyNumberFormat="1" applyFont="1" applyFill="1" applyBorder="1" applyAlignment="1" applyProtection="1"/>
    <xf numFmtId="0" fontId="8" fillId="0" borderId="0" xfId="1" applyNumberFormat="1" applyFont="1" applyFill="1" applyBorder="1" applyAlignment="1" applyProtection="1"/>
    <xf numFmtId="0" fontId="8" fillId="0" borderId="31" xfId="0" applyFont="1" applyBorder="1" applyAlignment="1" applyProtection="1">
      <alignment horizontal="center"/>
    </xf>
    <xf numFmtId="0" fontId="8" fillId="0" borderId="0" xfId="0" applyFont="1" applyAlignment="1" applyProtection="1">
      <alignment horizontal="center"/>
    </xf>
    <xf numFmtId="0" fontId="8" fillId="0" borderId="41" xfId="0" applyFont="1" applyBorder="1" applyAlignment="1" applyProtection="1">
      <alignment horizontal="center"/>
    </xf>
    <xf numFmtId="0" fontId="8" fillId="0" borderId="38" xfId="0" applyFont="1" applyBorder="1" applyAlignment="1" applyProtection="1">
      <alignment horizontal="center"/>
    </xf>
    <xf numFmtId="0" fontId="32" fillId="0" borderId="40" xfId="1" applyFont="1" applyBorder="1" applyAlignment="1">
      <alignment horizontal="center"/>
    </xf>
    <xf numFmtId="0" fontId="32" fillId="0" borderId="44" xfId="1" applyFont="1" applyBorder="1" applyAlignment="1">
      <alignment horizontal="center"/>
    </xf>
    <xf numFmtId="2" fontId="32" fillId="0" borderId="41" xfId="1" applyNumberFormat="1" applyFont="1" applyBorder="1" applyAlignment="1">
      <alignment horizontal="center"/>
    </xf>
    <xf numFmtId="2" fontId="32" fillId="0" borderId="51" xfId="1" applyNumberFormat="1" applyFont="1" applyBorder="1" applyAlignment="1">
      <alignment horizontal="center"/>
    </xf>
    <xf numFmtId="0" fontId="8" fillId="0" borderId="26" xfId="0" applyFont="1" applyBorder="1" applyProtection="1"/>
    <xf numFmtId="0" fontId="8" fillId="0" borderId="44" xfId="0" applyFont="1" applyBorder="1" applyAlignment="1" applyProtection="1">
      <alignment horizontal="center"/>
    </xf>
    <xf numFmtId="0" fontId="8" fillId="0" borderId="49" xfId="0" applyFont="1" applyBorder="1" applyAlignment="1" applyProtection="1">
      <alignment horizontal="center"/>
    </xf>
    <xf numFmtId="164" fontId="8" fillId="0" borderId="33" xfId="0" applyNumberFormat="1" applyFont="1" applyBorder="1" applyAlignment="1" applyProtection="1">
      <alignment horizontal="center"/>
    </xf>
    <xf numFmtId="0" fontId="8" fillId="0" borderId="48" xfId="0" applyFont="1" applyBorder="1" applyAlignment="1" applyProtection="1">
      <alignment horizontal="center" vertical="center"/>
    </xf>
    <xf numFmtId="164" fontId="8" fillId="0" borderId="38" xfId="0" applyNumberFormat="1" applyFont="1" applyBorder="1" applyAlignment="1" applyProtection="1">
      <alignment horizontal="center"/>
    </xf>
    <xf numFmtId="0" fontId="8" fillId="0" borderId="37"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46" xfId="0" applyFont="1" applyBorder="1" applyAlignment="1" applyProtection="1">
      <alignment horizontal="center" vertical="center"/>
    </xf>
    <xf numFmtId="164" fontId="8" fillId="0" borderId="41" xfId="0" applyNumberFormat="1" applyFont="1" applyBorder="1" applyAlignment="1" applyProtection="1">
      <alignment horizontal="center"/>
    </xf>
    <xf numFmtId="164" fontId="8" fillId="0" borderId="42" xfId="0" applyNumberFormat="1" applyFont="1" applyBorder="1" applyAlignment="1" applyProtection="1">
      <alignment horizontal="center"/>
    </xf>
    <xf numFmtId="164" fontId="0" fillId="0" borderId="44" xfId="0" applyNumberFormat="1" applyFill="1" applyBorder="1" applyAlignment="1">
      <alignment horizontal="center"/>
    </xf>
    <xf numFmtId="0" fontId="8" fillId="0" borderId="0" xfId="2" applyFont="1" applyFill="1" applyBorder="1" applyAlignment="1">
      <alignment horizontal="left" vertical="center" wrapText="1" indent="1"/>
    </xf>
    <xf numFmtId="0" fontId="35" fillId="0" borderId="0" xfId="0" applyFont="1" applyFill="1" applyBorder="1" applyProtection="1"/>
    <xf numFmtId="0" fontId="49" fillId="0" borderId="0" xfId="0" applyFont="1" applyFill="1" applyBorder="1" applyAlignment="1" applyProtection="1">
      <alignment vertical="top"/>
    </xf>
    <xf numFmtId="0" fontId="50" fillId="0" borderId="32" xfId="0" applyFont="1" applyFill="1" applyBorder="1" applyProtection="1"/>
    <xf numFmtId="0" fontId="50" fillId="0" borderId="0" xfId="0" applyFont="1" applyFill="1" applyProtection="1"/>
    <xf numFmtId="164" fontId="7" fillId="4" borderId="12" xfId="0" applyNumberFormat="1" applyFont="1" applyFill="1" applyBorder="1" applyAlignment="1" applyProtection="1">
      <alignment horizontal="center"/>
      <protection locked="0"/>
    </xf>
    <xf numFmtId="0" fontId="7" fillId="0" borderId="31" xfId="0" applyFont="1" applyBorder="1" applyAlignment="1" applyProtection="1">
      <alignment horizontal="center"/>
    </xf>
    <xf numFmtId="0" fontId="7" fillId="0" borderId="33" xfId="0" applyFont="1" applyBorder="1" applyAlignment="1" applyProtection="1">
      <alignment vertical="center"/>
    </xf>
    <xf numFmtId="0" fontId="7" fillId="0" borderId="33" xfId="0" applyFont="1" applyBorder="1" applyAlignment="1" applyProtection="1">
      <alignment horizontal="center"/>
    </xf>
    <xf numFmtId="0" fontId="27" fillId="0" borderId="0" xfId="0" applyFont="1" applyFill="1" applyBorder="1" applyAlignment="1" applyProtection="1">
      <alignment wrapText="1"/>
    </xf>
    <xf numFmtId="0" fontId="7" fillId="0" borderId="25" xfId="0" applyFont="1" applyFill="1" applyBorder="1" applyAlignment="1" applyProtection="1"/>
    <xf numFmtId="2" fontId="17" fillId="0" borderId="0" xfId="0" applyNumberFormat="1" applyFont="1" applyFill="1" applyBorder="1" applyAlignment="1" applyProtection="1">
      <alignment horizontal="left" vertical="center"/>
    </xf>
    <xf numFmtId="0" fontId="17" fillId="0" borderId="61" xfId="0" applyFont="1" applyFill="1" applyBorder="1" applyAlignment="1" applyProtection="1">
      <alignment horizontal="left" vertical="center"/>
    </xf>
    <xf numFmtId="0" fontId="7" fillId="0" borderId="29" xfId="0" applyFont="1" applyFill="1" applyBorder="1" applyProtection="1"/>
    <xf numFmtId="0" fontId="12" fillId="0" borderId="30" xfId="0" applyFont="1" applyFill="1" applyBorder="1" applyAlignment="1" applyProtection="1">
      <alignment horizontal="center"/>
    </xf>
    <xf numFmtId="0" fontId="8" fillId="0" borderId="47" xfId="0" applyFont="1" applyFill="1" applyBorder="1" applyAlignment="1" applyProtection="1">
      <alignment horizontal="center"/>
    </xf>
    <xf numFmtId="0" fontId="8" fillId="0" borderId="48" xfId="0" applyFont="1" applyFill="1" applyBorder="1" applyAlignment="1" applyProtection="1">
      <alignment horizontal="center"/>
    </xf>
    <xf numFmtId="0" fontId="8" fillId="0" borderId="49" xfId="0" applyFont="1" applyFill="1" applyBorder="1" applyAlignment="1" applyProtection="1">
      <alignment horizontal="center"/>
    </xf>
    <xf numFmtId="0" fontId="0" fillId="0" borderId="47" xfId="0" applyBorder="1" applyProtection="1"/>
    <xf numFmtId="0" fontId="8" fillId="0" borderId="0" xfId="2" applyFont="1" applyFill="1" applyBorder="1" applyAlignment="1">
      <alignment vertical="center"/>
    </xf>
    <xf numFmtId="0" fontId="8" fillId="0" borderId="0" xfId="0" applyFont="1" applyFill="1" applyBorder="1" applyAlignment="1" applyProtection="1">
      <alignment vertical="center"/>
    </xf>
    <xf numFmtId="0" fontId="17" fillId="0" borderId="61" xfId="0" applyFont="1" applyFill="1" applyBorder="1" applyAlignment="1" applyProtection="1">
      <alignment horizontal="center" vertical="center"/>
    </xf>
    <xf numFmtId="0" fontId="51" fillId="0" borderId="0" xfId="0" applyFont="1" applyFill="1" applyBorder="1" applyProtection="1"/>
    <xf numFmtId="0" fontId="36" fillId="0" borderId="0" xfId="2" applyFont="1" applyFill="1"/>
    <xf numFmtId="0" fontId="0" fillId="0" borderId="0" xfId="0" applyFill="1" applyBorder="1" applyAlignment="1" applyProtection="1">
      <alignment horizontal="center" vertical="center"/>
    </xf>
    <xf numFmtId="0" fontId="12" fillId="0" borderId="0" xfId="0" applyFont="1" applyFill="1" applyBorder="1" applyAlignment="1" applyProtection="1">
      <alignment horizontal="center"/>
    </xf>
    <xf numFmtId="0" fontId="8" fillId="0" borderId="32" xfId="0" applyFont="1" applyBorder="1" applyProtection="1"/>
    <xf numFmtId="0" fontId="0" fillId="0" borderId="37" xfId="0" applyBorder="1" applyAlignment="1" applyProtection="1">
      <alignment horizontal="center"/>
    </xf>
    <xf numFmtId="0" fontId="0" fillId="0" borderId="38" xfId="0" applyBorder="1" applyAlignment="1" applyProtection="1">
      <alignment horizontal="center"/>
    </xf>
    <xf numFmtId="0" fontId="0" fillId="0" borderId="29" xfId="0" applyBorder="1" applyAlignment="1" applyProtection="1">
      <alignment horizontal="center"/>
    </xf>
    <xf numFmtId="0" fontId="0" fillId="0" borderId="31" xfId="0" applyBorder="1" applyAlignment="1" applyProtection="1">
      <alignment horizontal="center"/>
    </xf>
    <xf numFmtId="0" fontId="0" fillId="0" borderId="32" xfId="0" applyBorder="1" applyAlignment="1" applyProtection="1">
      <alignment horizontal="center"/>
    </xf>
    <xf numFmtId="0" fontId="0" fillId="0" borderId="33" xfId="0" applyBorder="1" applyAlignment="1" applyProtection="1">
      <alignment horizontal="center"/>
    </xf>
    <xf numFmtId="164" fontId="0" fillId="0" borderId="33" xfId="0" applyNumberFormat="1" applyBorder="1" applyAlignment="1" applyProtection="1">
      <alignment horizontal="center"/>
    </xf>
    <xf numFmtId="0" fontId="52" fillId="0" borderId="0" xfId="0" applyFont="1" applyFill="1" applyBorder="1" applyProtection="1"/>
    <xf numFmtId="0" fontId="24" fillId="0" borderId="8" xfId="0" applyFont="1" applyFill="1" applyBorder="1" applyAlignment="1" applyProtection="1">
      <alignment horizontal="center" vertical="center"/>
    </xf>
    <xf numFmtId="0" fontId="24" fillId="0" borderId="9"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40" fillId="4" borderId="2" xfId="0" applyFont="1" applyFill="1" applyBorder="1" applyAlignment="1" applyProtection="1">
      <alignment horizontal="center" vertical="center"/>
      <protection locked="0"/>
    </xf>
    <xf numFmtId="0" fontId="40" fillId="4" borderId="15" xfId="0" applyFont="1" applyFill="1" applyBorder="1" applyAlignment="1" applyProtection="1">
      <alignment horizontal="center" vertical="center"/>
      <protection locked="0"/>
    </xf>
    <xf numFmtId="0" fontId="40" fillId="4" borderId="65" xfId="0" applyFont="1" applyFill="1" applyBorder="1" applyAlignment="1" applyProtection="1">
      <alignment horizontal="center" vertical="center"/>
      <protection locked="0"/>
    </xf>
    <xf numFmtId="164" fontId="40" fillId="0" borderId="56" xfId="0" applyNumberFormat="1" applyFont="1" applyFill="1" applyBorder="1" applyAlignment="1" applyProtection="1">
      <alignment horizontal="center" vertical="center"/>
    </xf>
    <xf numFmtId="164" fontId="40" fillId="0" borderId="2" xfId="0" applyNumberFormat="1" applyFont="1" applyFill="1" applyBorder="1" applyAlignment="1" applyProtection="1">
      <alignment horizontal="center" vertical="center"/>
    </xf>
    <xf numFmtId="164" fontId="40" fillId="0" borderId="15" xfId="0" applyNumberFormat="1" applyFont="1" applyFill="1" applyBorder="1" applyAlignment="1" applyProtection="1">
      <alignment horizontal="center" vertical="center"/>
    </xf>
    <xf numFmtId="2" fontId="40" fillId="0" borderId="2" xfId="0" applyNumberFormat="1" applyFont="1" applyFill="1" applyBorder="1" applyAlignment="1" applyProtection="1">
      <alignment horizontal="center" vertical="center"/>
    </xf>
    <xf numFmtId="2" fontId="40" fillId="0" borderId="15" xfId="0" applyNumberFormat="1" applyFont="1" applyFill="1" applyBorder="1" applyAlignment="1" applyProtection="1">
      <alignment horizontal="center" vertical="center"/>
    </xf>
    <xf numFmtId="2" fontId="40" fillId="0" borderId="63" xfId="0" applyNumberFormat="1" applyFont="1" applyFill="1" applyBorder="1" applyAlignment="1" applyProtection="1">
      <alignment horizontal="center" vertical="center"/>
    </xf>
    <xf numFmtId="2" fontId="40" fillId="0" borderId="79" xfId="0" applyNumberFormat="1" applyFont="1" applyFill="1" applyBorder="1" applyAlignment="1" applyProtection="1">
      <alignment horizontal="center" vertical="center"/>
    </xf>
    <xf numFmtId="0" fontId="52" fillId="0" borderId="32" xfId="0" applyFont="1" applyFill="1" applyBorder="1" applyProtection="1"/>
    <xf numFmtId="0" fontId="37" fillId="0" borderId="0" xfId="0" applyFont="1" applyFill="1" applyBorder="1" applyProtection="1"/>
    <xf numFmtId="0" fontId="53" fillId="0" borderId="0" xfId="0" applyFont="1" applyFill="1" applyBorder="1" applyAlignment="1" applyProtection="1">
      <alignment horizontal="center"/>
    </xf>
    <xf numFmtId="0" fontId="52" fillId="0" borderId="0" xfId="0" applyFont="1" applyFill="1" applyProtection="1"/>
    <xf numFmtId="0" fontId="9" fillId="0" borderId="0" xfId="0" applyFont="1" applyFill="1" applyBorder="1" applyAlignment="1" applyProtection="1">
      <alignment horizontal="center"/>
    </xf>
    <xf numFmtId="0" fontId="8" fillId="0" borderId="30" xfId="0" applyFont="1" applyFill="1" applyBorder="1" applyProtection="1"/>
    <xf numFmtId="0" fontId="9" fillId="0" borderId="30" xfId="0" applyFont="1" applyFill="1" applyBorder="1" applyAlignment="1" applyProtection="1">
      <alignment horizontal="center"/>
    </xf>
    <xf numFmtId="0" fontId="10" fillId="0" borderId="33" xfId="0" applyFont="1" applyFill="1" applyBorder="1" applyAlignment="1" applyProtection="1">
      <alignment horizontal="center" vertical="center"/>
    </xf>
    <xf numFmtId="2" fontId="10" fillId="0" borderId="33" xfId="0" applyNumberFormat="1" applyFont="1" applyFill="1" applyBorder="1" applyAlignment="1" applyProtection="1">
      <alignment horizontal="center" vertical="center"/>
    </xf>
    <xf numFmtId="0" fontId="7" fillId="0" borderId="0" xfId="0" applyFont="1" applyFill="1" applyAlignment="1" applyProtection="1">
      <alignment horizontal="center" vertical="center"/>
    </xf>
    <xf numFmtId="0" fontId="7" fillId="0" borderId="38" xfId="0" applyFont="1" applyFill="1" applyBorder="1" applyAlignment="1" applyProtection="1">
      <alignment horizontal="center" vertical="center"/>
    </xf>
    <xf numFmtId="0" fontId="52" fillId="0" borderId="33" xfId="0" applyFont="1" applyFill="1" applyBorder="1" applyAlignment="1" applyProtection="1">
      <alignment horizontal="center" vertical="center"/>
    </xf>
    <xf numFmtId="0" fontId="7" fillId="0" borderId="33" xfId="0" applyFont="1" applyBorder="1" applyAlignment="1" applyProtection="1">
      <alignment horizontal="center" vertical="center"/>
    </xf>
    <xf numFmtId="49" fontId="0" fillId="0" borderId="30" xfId="0" applyNumberFormat="1" applyFill="1" applyBorder="1" applyAlignment="1" applyProtection="1">
      <alignment horizontal="center"/>
    </xf>
    <xf numFmtId="0" fontId="7" fillId="0" borderId="37" xfId="0" applyFont="1" applyFill="1" applyBorder="1" applyProtection="1"/>
    <xf numFmtId="0" fontId="9" fillId="0" borderId="1" xfId="0" applyFont="1" applyFill="1" applyBorder="1" applyAlignment="1" applyProtection="1">
      <alignment horizontal="center"/>
    </xf>
    <xf numFmtId="0" fontId="0" fillId="0" borderId="30" xfId="0" applyFill="1" applyBorder="1" applyAlignment="1" applyProtection="1">
      <alignment wrapText="1"/>
    </xf>
    <xf numFmtId="0" fontId="7" fillId="0" borderId="31" xfId="0" applyFont="1" applyBorder="1" applyAlignment="1" applyProtection="1">
      <alignment horizontal="center" vertical="center"/>
    </xf>
    <xf numFmtId="1" fontId="0" fillId="0" borderId="33" xfId="0" applyNumberFormat="1" applyFill="1" applyBorder="1" applyAlignment="1" applyProtection="1">
      <alignment horizontal="center" vertical="center"/>
    </xf>
    <xf numFmtId="0" fontId="0" fillId="0" borderId="33" xfId="0" applyBorder="1" applyAlignment="1" applyProtection="1">
      <alignment vertical="center"/>
    </xf>
    <xf numFmtId="0" fontId="0" fillId="0" borderId="33" xfId="0"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7" fillId="0" borderId="33" xfId="0" applyFont="1" applyFill="1" applyBorder="1" applyAlignment="1" applyProtection="1">
      <alignment horizontal="left" vertical="center"/>
    </xf>
    <xf numFmtId="0" fontId="27" fillId="0" borderId="33" xfId="0" applyFont="1" applyFill="1" applyBorder="1" applyAlignment="1" applyProtection="1">
      <alignment horizontal="center" vertical="center"/>
    </xf>
    <xf numFmtId="0" fontId="8" fillId="0" borderId="33" xfId="0" applyFont="1" applyBorder="1" applyAlignment="1" applyProtection="1">
      <alignment vertical="center"/>
    </xf>
    <xf numFmtId="0" fontId="8" fillId="0" borderId="0" xfId="0" applyNumberFormat="1" applyFont="1" applyFill="1" applyBorder="1" applyAlignment="1" applyProtection="1"/>
    <xf numFmtId="0" fontId="8" fillId="0" borderId="0" xfId="0" applyFont="1" applyFill="1" applyBorder="1" applyAlignment="1" applyProtection="1">
      <alignment horizontal="right"/>
    </xf>
    <xf numFmtId="0" fontId="50" fillId="0" borderId="0" xfId="0" applyFont="1" applyFill="1" applyBorder="1" applyAlignment="1" applyProtection="1">
      <alignment horizontal="center"/>
    </xf>
    <xf numFmtId="0" fontId="8" fillId="0" borderId="33" xfId="0" applyFont="1" applyFill="1" applyBorder="1" applyAlignment="1" applyProtection="1">
      <alignment horizontal="center" vertical="center"/>
    </xf>
    <xf numFmtId="0" fontId="10" fillId="0" borderId="32" xfId="0" applyFont="1" applyFill="1" applyBorder="1" applyProtection="1"/>
    <xf numFmtId="0" fontId="11" fillId="0" borderId="0" xfId="0" applyFont="1" applyFill="1" applyBorder="1" applyAlignment="1" applyProtection="1">
      <alignment horizontal="center"/>
    </xf>
    <xf numFmtId="0" fontId="8" fillId="0" borderId="0" xfId="0" applyFont="1" applyFill="1" applyBorder="1" applyAlignment="1" applyProtection="1">
      <alignment horizontal="center" vertical="center"/>
    </xf>
    <xf numFmtId="0" fontId="17" fillId="0" borderId="0" xfId="0" applyFont="1" applyProtection="1"/>
    <xf numFmtId="0" fontId="17" fillId="0" borderId="32" xfId="0" applyFont="1" applyBorder="1" applyProtection="1"/>
    <xf numFmtId="0" fontId="17" fillId="0" borderId="0" xfId="0" applyFont="1" applyBorder="1" applyProtection="1"/>
    <xf numFmtId="0" fontId="10" fillId="0" borderId="33" xfId="0" applyFont="1" applyBorder="1" applyAlignment="1" applyProtection="1">
      <alignment horizontal="center" vertical="center"/>
    </xf>
    <xf numFmtId="49" fontId="8" fillId="0" borderId="0" xfId="0" applyNumberFormat="1" applyFont="1" applyFill="1" applyBorder="1" applyAlignment="1" applyProtection="1">
      <alignment horizontal="center"/>
    </xf>
    <xf numFmtId="0" fontId="0" fillId="0" borderId="30" xfId="0" applyBorder="1" applyProtection="1"/>
    <xf numFmtId="0" fontId="0" fillId="0" borderId="1" xfId="0" applyFill="1" applyBorder="1" applyAlignment="1" applyProtection="1">
      <alignment horizontal="center"/>
    </xf>
    <xf numFmtId="0" fontId="0" fillId="0" borderId="38" xfId="0" applyFill="1" applyBorder="1" applyAlignment="1" applyProtection="1">
      <alignment horizontal="center" vertical="center"/>
    </xf>
    <xf numFmtId="0" fontId="10" fillId="0" borderId="30" xfId="0" applyFont="1" applyBorder="1" applyProtection="1"/>
    <xf numFmtId="0" fontId="7" fillId="0" borderId="26" xfId="0" applyFont="1" applyFill="1" applyBorder="1" applyAlignment="1" applyProtection="1">
      <alignment horizontal="right"/>
    </xf>
    <xf numFmtId="0" fontId="7" fillId="0" borderId="26" xfId="0" applyFont="1" applyBorder="1" applyAlignment="1" applyProtection="1">
      <alignment horizontal="right"/>
    </xf>
    <xf numFmtId="0" fontId="8" fillId="0" borderId="29" xfId="0" applyFont="1" applyFill="1" applyBorder="1" applyProtection="1"/>
    <xf numFmtId="0" fontId="8" fillId="0" borderId="31" xfId="0" applyFont="1" applyFill="1" applyBorder="1" applyProtection="1"/>
    <xf numFmtId="0" fontId="8" fillId="0" borderId="33" xfId="0" applyFont="1" applyFill="1" applyBorder="1" applyAlignment="1" applyProtection="1">
      <alignment vertical="center"/>
    </xf>
    <xf numFmtId="0" fontId="8" fillId="0" borderId="38" xfId="0" applyFont="1" applyFill="1" applyBorder="1" applyProtection="1"/>
    <xf numFmtId="49" fontId="8" fillId="0" borderId="1" xfId="0" applyNumberFormat="1" applyFont="1" applyFill="1" applyBorder="1" applyAlignment="1" applyProtection="1">
      <alignment horizontal="center"/>
    </xf>
    <xf numFmtId="0" fontId="30" fillId="0" borderId="1" xfId="0" applyFont="1" applyFill="1" applyBorder="1" applyProtection="1"/>
    <xf numFmtId="0" fontId="30" fillId="0" borderId="30" xfId="0" applyFont="1" applyFill="1" applyBorder="1" applyProtection="1"/>
    <xf numFmtId="0" fontId="11" fillId="0" borderId="0" xfId="0" applyFont="1" applyFill="1" applyBorder="1" applyAlignment="1" applyProtection="1"/>
    <xf numFmtId="0" fontId="28" fillId="0" borderId="0" xfId="0" applyFont="1" applyFill="1" applyBorder="1" applyAlignment="1" applyProtection="1">
      <alignment vertical="top"/>
    </xf>
    <xf numFmtId="0" fontId="7" fillId="0" borderId="2" xfId="0" applyFont="1" applyBorder="1" applyAlignment="1" applyProtection="1">
      <alignment horizontal="center" vertical="center"/>
    </xf>
    <xf numFmtId="0" fontId="17" fillId="0" borderId="32" xfId="0" applyFont="1" applyFill="1" applyBorder="1" applyProtection="1"/>
    <xf numFmtId="0" fontId="17" fillId="0" borderId="0" xfId="0" applyFont="1" applyFill="1" applyProtection="1"/>
    <xf numFmtId="49" fontId="8" fillId="0" borderId="30" xfId="0" applyNumberFormat="1" applyFont="1" applyFill="1" applyBorder="1" applyAlignment="1" applyProtection="1">
      <alignment horizontal="center"/>
    </xf>
    <xf numFmtId="164" fontId="8" fillId="0" borderId="63" xfId="0" applyNumberFormat="1" applyFont="1" applyFill="1" applyBorder="1" applyAlignment="1" applyProtection="1">
      <alignment horizontal="center"/>
    </xf>
    <xf numFmtId="164" fontId="8" fillId="0" borderId="20" xfId="0" applyNumberFormat="1" applyFont="1" applyFill="1" applyBorder="1" applyAlignment="1" applyProtection="1">
      <alignment horizontal="center"/>
    </xf>
    <xf numFmtId="0" fontId="32" fillId="0" borderId="1" xfId="0" applyFont="1" applyFill="1" applyBorder="1" applyProtection="1"/>
    <xf numFmtId="0" fontId="7" fillId="0" borderId="0" xfId="0" applyFont="1" applyAlignment="1">
      <alignment horizontal="center"/>
    </xf>
    <xf numFmtId="0" fontId="8" fillId="0" borderId="0" xfId="2" applyFont="1"/>
    <xf numFmtId="0" fontId="8" fillId="0" borderId="0" xfId="2" applyFont="1" applyFill="1"/>
    <xf numFmtId="0" fontId="8" fillId="0" borderId="0" xfId="2" applyFont="1" applyAlignment="1">
      <alignment horizontal="left"/>
    </xf>
    <xf numFmtId="0" fontId="8" fillId="0" borderId="0" xfId="2" applyFont="1" applyFill="1" applyBorder="1"/>
    <xf numFmtId="0" fontId="42" fillId="0" borderId="0" xfId="129" applyFont="1" applyFill="1"/>
    <xf numFmtId="0" fontId="8" fillId="0" borderId="0" xfId="2" applyFont="1" applyFill="1" applyAlignment="1">
      <alignment vertical="center" wrapText="1"/>
    </xf>
    <xf numFmtId="0" fontId="8" fillId="0" borderId="29" xfId="2" applyFont="1" applyBorder="1"/>
    <xf numFmtId="0" fontId="8" fillId="0" borderId="30" xfId="2" applyFont="1" applyBorder="1"/>
    <xf numFmtId="0" fontId="8" fillId="0" borderId="31" xfId="2" applyFont="1" applyBorder="1"/>
    <xf numFmtId="0" fontId="43" fillId="0" borderId="32" xfId="2" applyFont="1" applyBorder="1"/>
    <xf numFmtId="0" fontId="43" fillId="0" borderId="0" xfId="2" applyFont="1" applyBorder="1"/>
    <xf numFmtId="0" fontId="43" fillId="0" borderId="33" xfId="2" applyFont="1" applyBorder="1"/>
    <xf numFmtId="0" fontId="43" fillId="0" borderId="0" xfId="2" applyFont="1" applyBorder="1" applyAlignment="1"/>
    <xf numFmtId="0" fontId="41" fillId="0" borderId="32" xfId="2" applyFont="1" applyBorder="1"/>
    <xf numFmtId="0" fontId="41" fillId="0" borderId="0" xfId="2" applyFont="1" applyBorder="1"/>
    <xf numFmtId="0" fontId="41" fillId="0" borderId="0" xfId="2" applyFont="1" applyBorder="1" applyAlignment="1"/>
    <xf numFmtId="0" fontId="41" fillId="0" borderId="33" xfId="2" applyFont="1" applyBorder="1"/>
    <xf numFmtId="0" fontId="8" fillId="0" borderId="32" xfId="2" applyFont="1" applyBorder="1"/>
    <xf numFmtId="0" fontId="8" fillId="0" borderId="0" xfId="2" applyFont="1" applyBorder="1"/>
    <xf numFmtId="0" fontId="8" fillId="0" borderId="33" xfId="2" applyFont="1" applyBorder="1"/>
    <xf numFmtId="0" fontId="8" fillId="0" borderId="32" xfId="2" applyFont="1" applyFill="1" applyBorder="1"/>
    <xf numFmtId="0" fontId="8" fillId="0" borderId="33" xfId="2" applyFont="1" applyFill="1" applyBorder="1"/>
    <xf numFmtId="0" fontId="8" fillId="0" borderId="0" xfId="2" applyFont="1" applyFill="1" applyBorder="1" applyAlignment="1">
      <alignment vertical="center" wrapText="1"/>
    </xf>
    <xf numFmtId="0" fontId="8" fillId="0" borderId="33" xfId="0" applyFont="1" applyBorder="1" applyAlignment="1">
      <alignment vertical="center"/>
    </xf>
    <xf numFmtId="0" fontId="42" fillId="0" borderId="0" xfId="129" applyFont="1" applyBorder="1"/>
    <xf numFmtId="0" fontId="42" fillId="0" borderId="0" xfId="129" applyFont="1" applyBorder="1" applyAlignment="1"/>
    <xf numFmtId="0" fontId="59" fillId="0" borderId="0" xfId="2" applyFont="1" applyBorder="1" applyAlignment="1">
      <alignment vertical="center" wrapText="1"/>
    </xf>
    <xf numFmtId="0" fontId="8" fillId="0" borderId="0" xfId="2" applyFont="1" applyBorder="1" applyAlignment="1">
      <alignment vertical="center" wrapText="1"/>
    </xf>
    <xf numFmtId="0" fontId="8" fillId="0" borderId="33" xfId="2" applyFont="1" applyBorder="1" applyAlignment="1">
      <alignment vertical="center" wrapText="1"/>
    </xf>
    <xf numFmtId="0" fontId="8" fillId="0" borderId="32" xfId="2" applyFont="1" applyBorder="1" applyAlignment="1">
      <alignment horizontal="left"/>
    </xf>
    <xf numFmtId="0" fontId="8" fillId="0" borderId="0" xfId="2" applyFont="1" applyBorder="1" applyAlignment="1">
      <alignment horizontal="left"/>
    </xf>
    <xf numFmtId="0" fontId="8" fillId="0" borderId="0" xfId="2" applyFont="1" applyBorder="1" applyAlignment="1">
      <alignment horizontal="left" vertical="center" wrapText="1"/>
    </xf>
    <xf numFmtId="0" fontId="59" fillId="0" borderId="33" xfId="2" applyFont="1" applyBorder="1" applyAlignment="1">
      <alignment horizontal="left" vertical="center"/>
    </xf>
    <xf numFmtId="0" fontId="8" fillId="0" borderId="0" xfId="2" applyFont="1" applyBorder="1" applyAlignment="1"/>
    <xf numFmtId="0" fontId="59" fillId="0" borderId="0" xfId="2" applyFont="1" applyBorder="1" applyAlignment="1">
      <alignment horizontal="left" vertical="center"/>
    </xf>
    <xf numFmtId="0" fontId="8" fillId="0" borderId="33" xfId="2" applyFont="1" applyBorder="1" applyAlignment="1"/>
    <xf numFmtId="0" fontId="8" fillId="0" borderId="37" xfId="2" applyFont="1" applyBorder="1"/>
    <xf numFmtId="0" fontId="8" fillId="0" borderId="1" xfId="2" applyFont="1" applyBorder="1"/>
    <xf numFmtId="0" fontId="8" fillId="0" borderId="38" xfId="2" applyFont="1" applyBorder="1"/>
    <xf numFmtId="0" fontId="8" fillId="0" borderId="30" xfId="2" applyFont="1" applyFill="1" applyBorder="1"/>
    <xf numFmtId="0" fontId="43" fillId="0" borderId="0" xfId="2" applyFont="1" applyFill="1" applyBorder="1"/>
    <xf numFmtId="0" fontId="10" fillId="0" borderId="0" xfId="2" applyFont="1" applyBorder="1" applyAlignment="1"/>
    <xf numFmtId="0" fontId="40" fillId="0" borderId="0" xfId="2" applyFont="1" applyFill="1" applyBorder="1"/>
    <xf numFmtId="0" fontId="40" fillId="0" borderId="0" xfId="2" applyFont="1" applyBorder="1"/>
    <xf numFmtId="0" fontId="8" fillId="0" borderId="32" xfId="0" applyFont="1" applyBorder="1" applyAlignment="1">
      <alignment vertical="center"/>
    </xf>
    <xf numFmtId="0" fontId="8" fillId="0" borderId="0" xfId="0" applyFont="1" applyBorder="1" applyAlignment="1">
      <alignment vertical="center"/>
    </xf>
    <xf numFmtId="0" fontId="40" fillId="0" borderId="0" xfId="2" applyFont="1" applyFill="1" applyBorder="1" applyAlignment="1"/>
    <xf numFmtId="0" fontId="40" fillId="0" borderId="0" xfId="2" applyFont="1" applyBorder="1" applyAlignment="1"/>
    <xf numFmtId="0" fontId="40" fillId="0" borderId="0" xfId="2" applyFont="1" applyFill="1" applyBorder="1" applyAlignment="1">
      <alignment vertical="top"/>
    </xf>
    <xf numFmtId="0" fontId="40" fillId="0" borderId="0" xfId="2" applyFont="1" applyBorder="1" applyAlignment="1">
      <alignment vertical="top"/>
    </xf>
    <xf numFmtId="0" fontId="10" fillId="0" borderId="0" xfId="0" applyFont="1" applyBorder="1" applyAlignment="1">
      <alignment vertical="center"/>
    </xf>
    <xf numFmtId="0" fontId="8" fillId="0" borderId="33" xfId="2" applyFont="1" applyBorder="1" applyAlignment="1">
      <alignment horizontal="left"/>
    </xf>
    <xf numFmtId="0" fontId="8" fillId="0" borderId="32" xfId="2" applyFont="1" applyBorder="1" applyAlignment="1">
      <alignment vertical="center" wrapText="1"/>
    </xf>
    <xf numFmtId="0" fontId="59" fillId="0" borderId="32" xfId="2" applyFont="1" applyBorder="1" applyAlignment="1">
      <alignment horizontal="left" vertical="center"/>
    </xf>
    <xf numFmtId="0" fontId="8" fillId="0" borderId="32" xfId="2" applyFont="1" applyBorder="1" applyAlignment="1"/>
    <xf numFmtId="0" fontId="8" fillId="0" borderId="0" xfId="2" applyFont="1" applyFill="1" applyBorder="1" applyAlignment="1">
      <alignment horizontal="left" vertical="center"/>
    </xf>
    <xf numFmtId="0" fontId="36" fillId="0" borderId="2" xfId="0" applyFont="1" applyBorder="1" applyAlignment="1" applyProtection="1">
      <alignment vertical="center"/>
    </xf>
    <xf numFmtId="0" fontId="8" fillId="0" borderId="0" xfId="2" applyFont="1" applyBorder="1"/>
    <xf numFmtId="0" fontId="8" fillId="0" borderId="0" xfId="2" applyFont="1" applyFill="1" applyBorder="1"/>
    <xf numFmtId="0" fontId="8" fillId="0" borderId="2" xfId="2" applyFill="1" applyBorder="1" applyAlignment="1" applyProtection="1">
      <alignment horizontal="center"/>
    </xf>
    <xf numFmtId="0" fontId="8" fillId="0" borderId="0" xfId="2" applyFont="1" applyFill="1" applyProtection="1"/>
    <xf numFmtId="0" fontId="28"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left" wrapText="1"/>
    </xf>
    <xf numFmtId="0" fontId="25" fillId="0" borderId="0" xfId="1" applyBorder="1" applyProtection="1"/>
    <xf numFmtId="0" fontId="32" fillId="0" borderId="0" xfId="1" applyFont="1" applyBorder="1" applyAlignment="1" applyProtection="1">
      <alignment horizontal="center" vertical="center" wrapText="1"/>
    </xf>
    <xf numFmtId="0" fontId="32" fillId="0" borderId="0" xfId="1" applyFont="1" applyBorder="1" applyAlignment="1" applyProtection="1">
      <alignment horizontal="center"/>
    </xf>
    <xf numFmtId="0" fontId="11" fillId="0" borderId="0" xfId="0" applyFont="1" applyProtection="1"/>
    <xf numFmtId="0" fontId="17" fillId="0" borderId="0" xfId="0" applyFont="1" applyAlignment="1" applyProtection="1">
      <alignment horizontal="center"/>
    </xf>
    <xf numFmtId="0" fontId="17" fillId="0" borderId="0" xfId="0" applyFont="1" applyFill="1" applyBorder="1" applyAlignment="1" applyProtection="1">
      <alignment horizontal="center"/>
    </xf>
    <xf numFmtId="0" fontId="17" fillId="0" borderId="26" xfId="0" applyFont="1" applyBorder="1" applyProtection="1"/>
    <xf numFmtId="0" fontId="17" fillId="0" borderId="24" xfId="0" applyFont="1" applyBorder="1" applyProtection="1"/>
    <xf numFmtId="0" fontId="60" fillId="0" borderId="0" xfId="1" applyFont="1" applyProtection="1"/>
    <xf numFmtId="0" fontId="61" fillId="0" borderId="0" xfId="1" applyFont="1" applyProtection="1"/>
    <xf numFmtId="0" fontId="36" fillId="0" borderId="0" xfId="2" applyFont="1" applyFill="1" applyBorder="1"/>
    <xf numFmtId="0" fontId="8" fillId="0" borderId="24" xfId="0" applyFont="1" applyFill="1" applyBorder="1" applyAlignment="1" applyProtection="1">
      <alignment horizontal="center"/>
    </xf>
    <xf numFmtId="0" fontId="8" fillId="0" borderId="61" xfId="0" applyFont="1" applyFill="1" applyBorder="1" applyAlignment="1" applyProtection="1">
      <alignment horizontal="center" vertical="center"/>
    </xf>
    <xf numFmtId="0" fontId="8" fillId="4" borderId="2" xfId="2" applyFont="1" applyFill="1" applyBorder="1" applyAlignment="1" applyProtection="1">
      <alignment horizontal="center"/>
      <protection locked="0"/>
    </xf>
    <xf numFmtId="49" fontId="8" fillId="2" borderId="2" xfId="0" applyNumberFormat="1" applyFont="1" applyFill="1" applyBorder="1" applyAlignment="1" applyProtection="1">
      <alignment horizontal="center"/>
      <protection locked="0"/>
    </xf>
    <xf numFmtId="0" fontId="8" fillId="2" borderId="2" xfId="2" applyFont="1" applyFill="1" applyBorder="1" applyAlignment="1" applyProtection="1">
      <alignment horizontal="center" vertical="center"/>
      <protection locked="0"/>
    </xf>
    <xf numFmtId="0" fontId="8" fillId="4" borderId="2" xfId="2" applyFont="1" applyFill="1" applyBorder="1" applyAlignment="1" applyProtection="1">
      <alignment horizontal="center" vertical="center"/>
      <protection locked="0"/>
    </xf>
    <xf numFmtId="0" fontId="8" fillId="2" borderId="2" xfId="2" applyFill="1" applyBorder="1" applyAlignment="1" applyProtection="1">
      <alignment horizontal="center" vertical="center"/>
      <protection locked="0"/>
    </xf>
    <xf numFmtId="1" fontId="8" fillId="2" borderId="2" xfId="2" applyNumberFormat="1" applyFill="1" applyBorder="1" applyAlignment="1" applyProtection="1">
      <alignment horizontal="center" vertical="center"/>
      <protection locked="0"/>
    </xf>
    <xf numFmtId="0" fontId="8" fillId="4" borderId="27" xfId="0" applyFont="1" applyFill="1" applyBorder="1" applyAlignment="1" applyProtection="1">
      <protection locked="0"/>
    </xf>
    <xf numFmtId="0" fontId="8" fillId="4" borderId="20" xfId="0" applyFont="1" applyFill="1" applyBorder="1" applyAlignment="1" applyProtection="1">
      <protection locked="0"/>
    </xf>
    <xf numFmtId="0" fontId="8" fillId="4" borderId="61" xfId="0" applyFont="1" applyFill="1" applyBorder="1" applyAlignment="1" applyProtection="1">
      <protection locked="0"/>
    </xf>
    <xf numFmtId="2" fontId="8" fillId="2" borderId="2" xfId="0" applyNumberFormat="1" applyFont="1" applyFill="1" applyBorder="1" applyAlignment="1" applyProtection="1">
      <alignment horizontal="center" vertical="center"/>
      <protection locked="0"/>
    </xf>
    <xf numFmtId="1" fontId="0" fillId="2" borderId="2" xfId="0" applyNumberForma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7" fillId="0" borderId="0" xfId="0" applyFont="1" applyBorder="1" applyAlignment="1" applyProtection="1">
      <alignment horizontal="center" vertical="center" wrapText="1"/>
    </xf>
    <xf numFmtId="0" fontId="7" fillId="4" borderId="2" xfId="0" applyFont="1" applyFill="1" applyBorder="1" applyAlignment="1" applyProtection="1">
      <alignment horizontal="center" vertical="center"/>
      <protection locked="0"/>
    </xf>
    <xf numFmtId="2" fontId="40" fillId="0" borderId="61" xfId="0" applyNumberFormat="1" applyFont="1" applyFill="1" applyBorder="1" applyAlignment="1" applyProtection="1">
      <alignment horizontal="center" vertical="center" wrapText="1"/>
    </xf>
    <xf numFmtId="2" fontId="40" fillId="0" borderId="61" xfId="0" applyNumberFormat="1" applyFont="1" applyFill="1" applyBorder="1" applyAlignment="1" applyProtection="1">
      <alignment horizontal="center" vertical="center"/>
    </xf>
    <xf numFmtId="0" fontId="8" fillId="0" borderId="1" xfId="0" applyFont="1" applyBorder="1" applyAlignment="1">
      <alignment vertical="top"/>
    </xf>
    <xf numFmtId="0" fontId="7" fillId="0" borderId="0" xfId="0" applyFont="1" applyAlignment="1" applyProtection="1">
      <alignment horizontal="center" vertical="center"/>
    </xf>
    <xf numFmtId="0" fontId="7" fillId="0" borderId="0" xfId="0" applyFont="1" applyBorder="1" applyAlignment="1" applyProtection="1">
      <alignment horizontal="left"/>
    </xf>
    <xf numFmtId="0" fontId="7" fillId="0" borderId="38" xfId="0" applyFont="1" applyBorder="1" applyAlignment="1" applyProtection="1">
      <alignment horizontal="center" vertical="center"/>
    </xf>
    <xf numFmtId="0" fontId="7" fillId="0" borderId="32" xfId="0" applyFont="1" applyBorder="1" applyProtection="1"/>
    <xf numFmtId="0" fontId="11" fillId="0" borderId="0" xfId="0" applyFont="1" applyBorder="1" applyAlignment="1" applyProtection="1">
      <alignment horizontal="left"/>
    </xf>
    <xf numFmtId="0" fontId="7" fillId="0" borderId="26" xfId="0" applyFont="1" applyBorder="1" applyAlignment="1" applyProtection="1">
      <alignment vertical="center"/>
    </xf>
    <xf numFmtId="0" fontId="7" fillId="0" borderId="32" xfId="0" applyFont="1" applyBorder="1" applyAlignment="1" applyProtection="1">
      <alignment vertical="center"/>
    </xf>
    <xf numFmtId="0" fontId="10" fillId="0" borderId="0" xfId="0" applyFont="1" applyAlignment="1" applyProtection="1">
      <alignment vertical="center"/>
    </xf>
    <xf numFmtId="0" fontId="7" fillId="0" borderId="0" xfId="0" applyFont="1" applyAlignment="1" applyProtection="1">
      <alignment vertical="center"/>
    </xf>
    <xf numFmtId="1" fontId="8" fillId="0" borderId="2" xfId="0" applyNumberFormat="1" applyFont="1" applyFill="1" applyBorder="1" applyAlignment="1" applyProtection="1">
      <alignment horizontal="center" vertical="center"/>
    </xf>
    <xf numFmtId="1" fontId="8" fillId="0" borderId="0" xfId="0" applyNumberFormat="1" applyFont="1" applyFill="1" applyBorder="1" applyAlignment="1" applyProtection="1">
      <alignment horizontal="center" vertical="center"/>
    </xf>
    <xf numFmtId="0" fontId="7" fillId="0" borderId="23" xfId="0" applyFont="1" applyBorder="1" applyProtection="1"/>
    <xf numFmtId="0" fontId="7" fillId="0" borderId="27" xfId="0" applyFont="1" applyBorder="1" applyProtection="1"/>
    <xf numFmtId="0" fontId="7" fillId="0" borderId="22" xfId="0" applyFont="1" applyBorder="1" applyProtection="1"/>
    <xf numFmtId="0" fontId="7" fillId="0" borderId="0" xfId="0" applyFont="1" applyBorder="1" applyAlignment="1" applyProtection="1">
      <alignment horizontal="center" vertical="center"/>
    </xf>
    <xf numFmtId="1" fontId="8" fillId="0" borderId="2" xfId="0" applyNumberFormat="1" applyFont="1" applyBorder="1" applyAlignment="1" applyProtection="1">
      <alignment horizontal="center" vertical="center"/>
    </xf>
    <xf numFmtId="0" fontId="7" fillId="0" borderId="23" xfId="0" applyFont="1" applyBorder="1" applyAlignment="1" applyProtection="1">
      <alignment horizontal="left"/>
    </xf>
    <xf numFmtId="0" fontId="7" fillId="0" borderId="24" xfId="0" applyFont="1" applyBorder="1" applyProtection="1"/>
    <xf numFmtId="0" fontId="7" fillId="0" borderId="27" xfId="0" applyFont="1" applyBorder="1" applyAlignment="1" applyProtection="1">
      <alignment horizontal="left"/>
    </xf>
    <xf numFmtId="0" fontId="7" fillId="0" borderId="28" xfId="0" applyFont="1" applyBorder="1" applyProtection="1"/>
    <xf numFmtId="2" fontId="8" fillId="0" borderId="2" xfId="0" applyNumberFormat="1" applyFont="1" applyBorder="1" applyAlignment="1" applyProtection="1">
      <alignment horizontal="center" vertical="center"/>
    </xf>
    <xf numFmtId="0" fontId="7" fillId="0" borderId="37" xfId="0" applyFont="1" applyBorder="1" applyProtection="1"/>
    <xf numFmtId="0" fontId="9" fillId="0" borderId="0" xfId="0" applyFont="1" applyBorder="1" applyAlignment="1" applyProtection="1">
      <alignment horizontal="center"/>
    </xf>
    <xf numFmtId="0" fontId="0" fillId="0" borderId="33" xfId="0" applyBorder="1" applyProtection="1"/>
    <xf numFmtId="0" fontId="7" fillId="0" borderId="25" xfId="0" applyFont="1" applyBorder="1" applyProtection="1"/>
    <xf numFmtId="0" fontId="7" fillId="0" borderId="36" xfId="0" applyFont="1" applyBorder="1" applyProtection="1"/>
    <xf numFmtId="2" fontId="0" fillId="0" borderId="0" xfId="0" applyNumberFormat="1" applyFill="1" applyBorder="1" applyAlignment="1" applyProtection="1">
      <alignment horizontal="center"/>
    </xf>
    <xf numFmtId="0" fontId="0" fillId="0" borderId="1" xfId="0" applyFill="1" applyBorder="1" applyAlignment="1" applyProtection="1">
      <alignment horizontal="right"/>
    </xf>
    <xf numFmtId="0" fontId="7" fillId="0" borderId="29" xfId="0" applyFont="1" applyBorder="1" applyProtection="1"/>
    <xf numFmtId="0" fontId="11" fillId="0" borderId="0" xfId="0" applyFont="1" applyBorder="1" applyAlignment="1" applyProtection="1">
      <alignment horizontal="center"/>
    </xf>
    <xf numFmtId="2" fontId="0" fillId="0" borderId="56" xfId="0" applyNumberFormat="1" applyBorder="1" applyAlignment="1" applyProtection="1">
      <alignment horizontal="center" vertical="center"/>
    </xf>
    <xf numFmtId="0" fontId="0" fillId="0" borderId="0" xfId="0" applyBorder="1" applyAlignment="1" applyProtection="1">
      <alignment vertical="center"/>
    </xf>
    <xf numFmtId="0" fontId="27" fillId="0" borderId="0" xfId="0" applyFont="1" applyFill="1" applyBorder="1" applyAlignment="1" applyProtection="1"/>
    <xf numFmtId="1" fontId="0" fillId="0" borderId="2" xfId="0" applyNumberFormat="1" applyFill="1" applyBorder="1" applyAlignment="1" applyProtection="1">
      <alignment horizontal="center" vertical="center"/>
    </xf>
    <xf numFmtId="0" fontId="8" fillId="0" borderId="2" xfId="0" applyFont="1" applyBorder="1" applyAlignment="1" applyProtection="1">
      <alignment horizontal="center" vertical="center"/>
    </xf>
    <xf numFmtId="1" fontId="0" fillId="0" borderId="2" xfId="0" applyNumberFormat="1" applyBorder="1" applyAlignment="1" applyProtection="1">
      <alignment horizontal="center" vertical="center"/>
    </xf>
    <xf numFmtId="0" fontId="0" fillId="0" borderId="0" xfId="0" applyBorder="1" applyAlignment="1" applyProtection="1">
      <alignment horizontal="center" vertical="center"/>
    </xf>
    <xf numFmtId="0" fontId="33" fillId="0" borderId="2" xfId="0" applyFont="1" applyFill="1" applyBorder="1" applyProtection="1"/>
    <xf numFmtId="0" fontId="0" fillId="0" borderId="2" xfId="0" applyFill="1" applyBorder="1" applyProtection="1"/>
    <xf numFmtId="0" fontId="0" fillId="0" borderId="2" xfId="0" applyBorder="1" applyProtection="1"/>
    <xf numFmtId="0" fontId="10" fillId="0" borderId="0" xfId="0" applyFont="1" applyBorder="1" applyAlignment="1" applyProtection="1">
      <alignment horizontal="center"/>
    </xf>
    <xf numFmtId="164" fontId="0" fillId="0" borderId="0" xfId="0" applyNumberFormat="1" applyBorder="1" applyProtection="1"/>
    <xf numFmtId="164" fontId="7" fillId="0" borderId="2" xfId="0" applyNumberFormat="1" applyFont="1" applyBorder="1" applyAlignment="1" applyProtection="1">
      <alignment horizontal="center"/>
    </xf>
    <xf numFmtId="0" fontId="0" fillId="0" borderId="33" xfId="0" applyFill="1" applyBorder="1" applyAlignment="1" applyProtection="1">
      <alignment vertical="center"/>
    </xf>
    <xf numFmtId="164" fontId="0" fillId="0" borderId="0" xfId="0" applyNumberFormat="1" applyFill="1" applyBorder="1" applyAlignment="1" applyProtection="1">
      <alignment horizontal="center"/>
    </xf>
    <xf numFmtId="164" fontId="0" fillId="0" borderId="0" xfId="0" applyNumberFormat="1" applyFill="1" applyBorder="1" applyProtection="1"/>
    <xf numFmtId="164" fontId="8" fillId="0" borderId="0" xfId="0" applyNumberFormat="1" applyFont="1" applyFill="1" applyBorder="1" applyAlignment="1" applyProtection="1">
      <alignment horizontal="center"/>
    </xf>
    <xf numFmtId="0" fontId="8" fillId="0" borderId="0" xfId="0" applyFont="1" applyFill="1" applyBorder="1" applyAlignment="1" applyProtection="1"/>
    <xf numFmtId="0" fontId="8" fillId="0" borderId="0" xfId="0" applyFont="1" applyBorder="1" applyAlignment="1" applyProtection="1">
      <alignment horizontal="left" vertical="top" wrapText="1"/>
    </xf>
    <xf numFmtId="49" fontId="8" fillId="0" borderId="12" xfId="0" applyNumberFormat="1" applyFont="1" applyFill="1" applyBorder="1" applyAlignment="1" applyProtection="1">
      <alignment horizontal="center"/>
    </xf>
    <xf numFmtId="0" fontId="42" fillId="0" borderId="0" xfId="129" applyFill="1" applyBorder="1" applyAlignment="1"/>
    <xf numFmtId="0" fontId="8" fillId="0" borderId="0" xfId="2" applyFont="1" applyFill="1" applyBorder="1" applyAlignment="1"/>
    <xf numFmtId="0" fontId="36" fillId="0" borderId="0" xfId="2" applyFont="1" applyFill="1" applyBorder="1" applyAlignment="1"/>
    <xf numFmtId="0" fontId="7" fillId="0" borderId="1" xfId="0" applyFont="1" applyBorder="1" applyAlignment="1" applyProtection="1">
      <alignment horizontal="center" vertical="top"/>
    </xf>
    <xf numFmtId="0" fontId="7" fillId="0" borderId="41" xfId="0" applyFont="1" applyBorder="1" applyAlignment="1" applyProtection="1">
      <alignment horizontal="center" vertical="top"/>
    </xf>
    <xf numFmtId="0" fontId="0" fillId="0" borderId="41" xfId="0" applyFill="1" applyBorder="1" applyProtection="1"/>
    <xf numFmtId="0" fontId="7" fillId="0" borderId="26" xfId="0" applyFont="1" applyBorder="1" applyAlignment="1" applyProtection="1">
      <alignment horizontal="center" vertical="top"/>
    </xf>
    <xf numFmtId="0" fontId="0" fillId="0" borderId="26" xfId="0" applyFill="1" applyBorder="1" applyProtection="1"/>
    <xf numFmtId="0" fontId="0" fillId="0" borderId="33" xfId="0" applyBorder="1" applyAlignment="1"/>
    <xf numFmtId="2" fontId="8" fillId="0" borderId="56" xfId="0" applyNumberFormat="1" applyFont="1" applyBorder="1" applyAlignment="1" applyProtection="1">
      <alignment horizontal="center" vertical="center"/>
    </xf>
    <xf numFmtId="0" fontId="8" fillId="0" borderId="98" xfId="0" applyFont="1" applyBorder="1" applyAlignment="1" applyProtection="1">
      <alignment horizontal="center"/>
    </xf>
    <xf numFmtId="0" fontId="0" fillId="0" borderId="2" xfId="0" applyBorder="1" applyAlignment="1" applyProtection="1">
      <alignment horizontal="center"/>
    </xf>
    <xf numFmtId="0" fontId="8" fillId="0" borderId="2" xfId="0" applyFont="1" applyBorder="1" applyAlignment="1" applyProtection="1">
      <alignment horizontal="center"/>
    </xf>
    <xf numFmtId="0" fontId="8" fillId="0" borderId="12" xfId="0" applyFont="1" applyBorder="1" applyAlignment="1" applyProtection="1">
      <alignment horizontal="center"/>
    </xf>
    <xf numFmtId="0" fontId="8" fillId="4" borderId="2" xfId="0" applyFont="1" applyFill="1" applyBorder="1" applyAlignment="1" applyProtection="1">
      <alignment horizontal="center" vertical="center"/>
      <protection locked="0"/>
    </xf>
    <xf numFmtId="0" fontId="0" fillId="0" borderId="2" xfId="0" applyBorder="1" applyAlignment="1" applyProtection="1">
      <alignment horizontal="center" vertical="center"/>
    </xf>
    <xf numFmtId="0" fontId="8" fillId="4" borderId="2" xfId="0" applyFont="1" applyFill="1" applyBorder="1" applyAlignment="1" applyProtection="1">
      <alignment horizontal="center"/>
      <protection locked="0"/>
    </xf>
    <xf numFmtId="0" fontId="7" fillId="0" borderId="19" xfId="0" applyFont="1" applyFill="1" applyBorder="1" applyAlignment="1" applyProtection="1">
      <alignment horizontal="center" vertical="center" wrapText="1"/>
    </xf>
    <xf numFmtId="0" fontId="7" fillId="0" borderId="0" xfId="0" applyFont="1" applyFill="1" applyBorder="1" applyAlignment="1" applyProtection="1">
      <alignment horizontal="left"/>
    </xf>
    <xf numFmtId="0" fontId="7" fillId="0" borderId="0" xfId="0" applyFont="1" applyBorder="1" applyAlignment="1" applyProtection="1">
      <alignment horizontal="right" wrapText="1"/>
    </xf>
    <xf numFmtId="0" fontId="55" fillId="0" borderId="0" xfId="0" applyFont="1" applyFill="1" applyBorder="1" applyAlignment="1" applyProtection="1">
      <alignment horizontal="center"/>
    </xf>
    <xf numFmtId="0" fontId="8" fillId="0" borderId="0" xfId="0" applyFont="1" applyFill="1" applyBorder="1" applyAlignment="1" applyProtection="1">
      <alignment wrapText="1"/>
    </xf>
    <xf numFmtId="0" fontId="32" fillId="0" borderId="0" xfId="0" applyFont="1" applyFill="1" applyBorder="1" applyAlignment="1" applyProtection="1">
      <alignment wrapText="1"/>
    </xf>
    <xf numFmtId="164" fontId="7" fillId="0" borderId="2" xfId="0" applyNumberFormat="1" applyFont="1" applyFill="1" applyBorder="1" applyAlignment="1" applyProtection="1">
      <alignment horizontal="center"/>
    </xf>
    <xf numFmtId="0" fontId="7" fillId="0" borderId="26" xfId="0" applyFont="1" applyBorder="1" applyAlignment="1" applyProtection="1">
      <alignment horizontal="right" wrapText="1"/>
    </xf>
    <xf numFmtId="0" fontId="8" fillId="0" borderId="61" xfId="0" applyNumberFormat="1" applyFont="1" applyFill="1" applyBorder="1" applyAlignment="1" applyProtection="1">
      <alignment horizontal="center"/>
    </xf>
    <xf numFmtId="2" fontId="8" fillId="0" borderId="2" xfId="0" applyNumberFormat="1" applyFont="1" applyFill="1" applyBorder="1" applyAlignment="1" applyProtection="1">
      <alignment horizontal="center"/>
    </xf>
    <xf numFmtId="0" fontId="9" fillId="0" borderId="0" xfId="0" applyFont="1" applyFill="1" applyBorder="1" applyAlignment="1" applyProtection="1">
      <alignment horizontal="left" vertical="center" wrapText="1"/>
    </xf>
    <xf numFmtId="0" fontId="8" fillId="0" borderId="61" xfId="0" applyFont="1" applyFill="1" applyBorder="1" applyAlignment="1" applyProtection="1">
      <alignment horizontal="center"/>
    </xf>
    <xf numFmtId="0" fontId="7" fillId="0" borderId="0" xfId="0" applyFont="1" applyFill="1" applyBorder="1" applyAlignment="1" applyProtection="1">
      <alignment horizontal="center"/>
    </xf>
    <xf numFmtId="0" fontId="8" fillId="0" borderId="2" xfId="0" applyFont="1" applyFill="1" applyBorder="1" applyAlignment="1" applyProtection="1">
      <alignment horizontal="center" vertical="center"/>
    </xf>
    <xf numFmtId="49" fontId="8" fillId="0" borderId="2" xfId="0" applyNumberFormat="1" applyFont="1" applyFill="1" applyBorder="1" applyAlignment="1" applyProtection="1">
      <alignment horizontal="center"/>
    </xf>
    <xf numFmtId="0" fontId="7" fillId="0" borderId="0" xfId="0" applyFont="1" applyFill="1" applyBorder="1" applyAlignment="1" applyProtection="1">
      <alignment horizontal="left" wrapText="1"/>
    </xf>
    <xf numFmtId="0" fontId="36" fillId="0" borderId="0" xfId="0" applyFont="1" applyFill="1" applyBorder="1" applyAlignment="1" applyProtection="1">
      <alignment horizontal="left"/>
    </xf>
    <xf numFmtId="1" fontId="7" fillId="0" borderId="2" xfId="0" applyNumberFormat="1" applyFont="1" applyFill="1" applyBorder="1" applyAlignment="1" applyProtection="1">
      <alignment horizontal="center"/>
    </xf>
    <xf numFmtId="0" fontId="8" fillId="0" borderId="0" xfId="0" applyFont="1" applyBorder="1" applyAlignment="1" applyProtection="1">
      <alignment vertical="top" wrapText="1"/>
    </xf>
    <xf numFmtId="0" fontId="8" fillId="0" borderId="1" xfId="0" applyFont="1" applyBorder="1" applyAlignment="1" applyProtection="1">
      <alignment vertical="top" wrapText="1"/>
    </xf>
    <xf numFmtId="0" fontId="7" fillId="0" borderId="19" xfId="0" applyFont="1" applyFill="1" applyBorder="1" applyAlignment="1" applyProtection="1">
      <alignment horizontal="center" vertical="center" wrapText="1"/>
    </xf>
    <xf numFmtId="0" fontId="7" fillId="0" borderId="0" xfId="0" applyFont="1" applyFill="1" applyBorder="1" applyAlignment="1" applyProtection="1">
      <alignment horizontal="left"/>
    </xf>
    <xf numFmtId="0" fontId="55" fillId="0" borderId="0" xfId="0" applyFont="1" applyFill="1" applyBorder="1" applyAlignment="1" applyProtection="1">
      <alignment horizontal="center"/>
    </xf>
    <xf numFmtId="0" fontId="8" fillId="0" borderId="61" xfId="0" applyNumberFormat="1" applyFont="1" applyFill="1" applyBorder="1" applyAlignment="1" applyProtection="1">
      <alignment horizontal="center"/>
    </xf>
    <xf numFmtId="0" fontId="7" fillId="0" borderId="0" xfId="0" applyFont="1" applyFill="1" applyBorder="1" applyAlignment="1" applyProtection="1">
      <alignment horizontal="center"/>
    </xf>
    <xf numFmtId="49" fontId="8" fillId="0" borderId="2" xfId="0" applyNumberFormat="1" applyFont="1" applyFill="1" applyBorder="1" applyAlignment="1" applyProtection="1">
      <alignment horizontal="center"/>
    </xf>
    <xf numFmtId="2" fontId="8" fillId="0" borderId="76" xfId="0" applyNumberFormat="1" applyFont="1" applyFill="1" applyBorder="1" applyAlignment="1" applyProtection="1">
      <alignment horizontal="center" vertical="center"/>
    </xf>
    <xf numFmtId="0" fontId="8" fillId="4" borderId="2" xfId="0" applyFont="1" applyFill="1" applyBorder="1" applyAlignment="1" applyProtection="1">
      <alignment horizontal="center" vertical="center"/>
      <protection locked="0"/>
    </xf>
    <xf numFmtId="0" fontId="7" fillId="0" borderId="30" xfId="0" quotePrefix="1" applyFont="1" applyFill="1" applyBorder="1" applyProtection="1"/>
    <xf numFmtId="2" fontId="8" fillId="0" borderId="16" xfId="0" applyNumberFormat="1" applyFont="1" applyFill="1" applyBorder="1" applyAlignment="1" applyProtection="1">
      <alignment horizontal="center" vertical="center"/>
    </xf>
    <xf numFmtId="164" fontId="7" fillId="0" borderId="2" xfId="0" applyNumberFormat="1" applyFont="1" applyFill="1" applyBorder="1" applyAlignment="1" applyProtection="1">
      <alignment horizontal="center"/>
    </xf>
    <xf numFmtId="49" fontId="8" fillId="0" borderId="2" xfId="0" applyNumberFormat="1" applyFont="1" applyFill="1" applyBorder="1" applyAlignment="1" applyProtection="1">
      <alignment horizontal="center"/>
    </xf>
    <xf numFmtId="164" fontId="40" fillId="0" borderId="63" xfId="0" applyNumberFormat="1" applyFont="1" applyFill="1" applyBorder="1" applyAlignment="1" applyProtection="1">
      <alignment horizontal="center" vertical="center"/>
    </xf>
    <xf numFmtId="164" fontId="40" fillId="0" borderId="79" xfId="0" applyNumberFormat="1" applyFont="1" applyFill="1" applyBorder="1" applyAlignment="1" applyProtection="1">
      <alignment horizontal="center" vertical="center"/>
    </xf>
    <xf numFmtId="164" fontId="24" fillId="0" borderId="2" xfId="0" applyNumberFormat="1" applyFont="1" applyFill="1" applyBorder="1" applyAlignment="1" applyProtection="1">
      <alignment horizontal="center" vertical="center"/>
    </xf>
    <xf numFmtId="164" fontId="24" fillId="0" borderId="15" xfId="0" applyNumberFormat="1" applyFont="1" applyFill="1" applyBorder="1" applyAlignment="1" applyProtection="1">
      <alignment horizontal="center" vertical="center"/>
    </xf>
    <xf numFmtId="164" fontId="24" fillId="0" borderId="17" xfId="0" applyNumberFormat="1" applyFont="1" applyFill="1" applyBorder="1" applyAlignment="1" applyProtection="1">
      <alignment horizontal="center" vertical="center"/>
    </xf>
    <xf numFmtId="164" fontId="24" fillId="0" borderId="18" xfId="0" applyNumberFormat="1" applyFont="1" applyFill="1" applyBorder="1" applyAlignment="1" applyProtection="1">
      <alignment horizontal="center" vertical="center"/>
    </xf>
    <xf numFmtId="0" fontId="8" fillId="0" borderId="0" xfId="0" applyFont="1" applyBorder="1" applyAlignment="1">
      <alignment horizontal="left" vertical="top" wrapText="1"/>
    </xf>
    <xf numFmtId="164" fontId="0" fillId="0" borderId="63" xfId="0" applyNumberFormat="1" applyBorder="1" applyAlignment="1">
      <alignment horizontal="center" vertical="center"/>
    </xf>
    <xf numFmtId="164" fontId="0" fillId="0" borderId="12" xfId="0" applyNumberFormat="1" applyBorder="1" applyAlignment="1">
      <alignment horizontal="center" vertical="center"/>
    </xf>
    <xf numFmtId="0" fontId="40" fillId="0" borderId="75" xfId="0" applyFont="1" applyFill="1" applyBorder="1" applyAlignment="1" applyProtection="1">
      <alignment horizontal="center" vertical="center"/>
    </xf>
    <xf numFmtId="0" fontId="40" fillId="0" borderId="43" xfId="0" applyFont="1" applyFill="1" applyBorder="1" applyAlignment="1" applyProtection="1">
      <alignment horizontal="center" vertical="center"/>
    </xf>
    <xf numFmtId="0" fontId="40" fillId="0" borderId="44" xfId="0" applyFont="1" applyFill="1" applyBorder="1" applyAlignment="1" applyProtection="1">
      <alignment horizontal="center" vertical="center"/>
    </xf>
    <xf numFmtId="0" fontId="40" fillId="4" borderId="53" xfId="0" applyFont="1" applyFill="1" applyBorder="1" applyAlignment="1" applyProtection="1">
      <alignment horizontal="center" vertical="center"/>
      <protection locked="0"/>
    </xf>
    <xf numFmtId="0" fontId="40" fillId="4" borderId="39" xfId="0" applyFont="1" applyFill="1" applyBorder="1" applyAlignment="1" applyProtection="1">
      <alignment horizontal="center" vertical="center"/>
      <protection locked="0"/>
    </xf>
    <xf numFmtId="0" fontId="40" fillId="4" borderId="57" xfId="0" applyFont="1" applyFill="1" applyBorder="1" applyAlignment="1" applyProtection="1">
      <alignment horizontal="center" vertical="center"/>
      <protection locked="0"/>
    </xf>
    <xf numFmtId="0" fontId="40" fillId="4" borderId="64" xfId="0" applyFont="1" applyFill="1" applyBorder="1" applyAlignment="1" applyProtection="1">
      <alignment horizontal="center" vertical="center"/>
      <protection locked="0"/>
    </xf>
    <xf numFmtId="0" fontId="40" fillId="4" borderId="14" xfId="0" applyFont="1" applyFill="1" applyBorder="1" applyAlignment="1" applyProtection="1">
      <alignment horizontal="center" vertical="center"/>
      <protection locked="0"/>
    </xf>
    <xf numFmtId="2" fontId="40" fillId="0" borderId="64" xfId="0" applyNumberFormat="1" applyFont="1" applyFill="1" applyBorder="1" applyAlignment="1" applyProtection="1">
      <alignment horizontal="center" vertical="center"/>
    </xf>
    <xf numFmtId="2" fontId="40" fillId="0" borderId="14" xfId="0" applyNumberFormat="1" applyFont="1" applyFill="1" applyBorder="1" applyAlignment="1" applyProtection="1">
      <alignment horizontal="center" vertical="center" wrapText="1"/>
    </xf>
    <xf numFmtId="2" fontId="40" fillId="0" borderId="15" xfId="0" applyNumberFormat="1" applyFont="1" applyFill="1" applyBorder="1" applyAlignment="1" applyProtection="1">
      <alignment horizontal="center" vertical="center" wrapText="1"/>
    </xf>
    <xf numFmtId="2" fontId="40" fillId="0" borderId="14" xfId="0" applyNumberFormat="1" applyFont="1" applyFill="1" applyBorder="1" applyAlignment="1" applyProtection="1">
      <alignment horizontal="center" vertical="center"/>
    </xf>
    <xf numFmtId="2" fontId="40" fillId="0" borderId="65" xfId="0" applyNumberFormat="1" applyFont="1" applyFill="1" applyBorder="1" applyAlignment="1" applyProtection="1">
      <alignment horizontal="center" vertical="center"/>
    </xf>
    <xf numFmtId="164" fontId="40" fillId="0" borderId="14" xfId="0" applyNumberFormat="1" applyFont="1" applyFill="1" applyBorder="1" applyAlignment="1" applyProtection="1">
      <alignment horizontal="center" vertical="center"/>
    </xf>
    <xf numFmtId="164" fontId="40" fillId="0" borderId="78" xfId="0" applyNumberFormat="1" applyFont="1" applyFill="1" applyBorder="1" applyAlignment="1" applyProtection="1">
      <alignment horizontal="center" vertical="center"/>
    </xf>
    <xf numFmtId="164" fontId="24" fillId="0" borderId="14" xfId="0" applyNumberFormat="1" applyFont="1" applyFill="1" applyBorder="1" applyAlignment="1" applyProtection="1">
      <alignment horizontal="center" vertical="center"/>
    </xf>
    <xf numFmtId="2" fontId="40" fillId="0" borderId="78" xfId="0" applyNumberFormat="1" applyFont="1" applyFill="1" applyBorder="1" applyAlignment="1" applyProtection="1">
      <alignment horizontal="center" vertical="center"/>
    </xf>
    <xf numFmtId="164" fontId="24" fillId="0" borderId="16" xfId="0" applyNumberFormat="1" applyFont="1" applyFill="1" applyBorder="1" applyAlignment="1" applyProtection="1">
      <alignment horizontal="center" vertical="center"/>
    </xf>
    <xf numFmtId="0" fontId="8" fillId="0" borderId="0" xfId="2" applyFont="1" applyFill="1" applyAlignment="1">
      <alignment horizontal="left"/>
    </xf>
    <xf numFmtId="0" fontId="8" fillId="0" borderId="0" xfId="0" applyFont="1" applyFill="1" applyBorder="1" applyAlignment="1">
      <alignment vertical="top" wrapText="1"/>
    </xf>
    <xf numFmtId="0" fontId="40" fillId="0" borderId="0" xfId="2" applyFont="1" applyFill="1"/>
    <xf numFmtId="0" fontId="40" fillId="0" borderId="0" xfId="2" applyFont="1"/>
    <xf numFmtId="164" fontId="0" fillId="0" borderId="9" xfId="0" applyNumberFormat="1" applyBorder="1" applyAlignment="1">
      <alignment horizontal="center" vertical="center"/>
    </xf>
    <xf numFmtId="164" fontId="0" fillId="0" borderId="47" xfId="0" applyNumberFormat="1" applyBorder="1" applyAlignment="1" applyProtection="1">
      <alignment horizontal="center"/>
    </xf>
    <xf numFmtId="164" fontId="0" fillId="0" borderId="10" xfId="0" applyNumberFormat="1" applyBorder="1" applyAlignment="1">
      <alignment horizontal="center" vertical="center"/>
    </xf>
    <xf numFmtId="164" fontId="0" fillId="0" borderId="59" xfId="0" applyNumberFormat="1" applyBorder="1" applyAlignment="1">
      <alignment horizontal="center" vertical="center"/>
    </xf>
    <xf numFmtId="164" fontId="0" fillId="0" borderId="60" xfId="0" applyNumberFormat="1" applyBorder="1" applyAlignment="1">
      <alignment horizontal="center" vertical="center"/>
    </xf>
    <xf numFmtId="164" fontId="0" fillId="0" borderId="83" xfId="0" applyNumberFormat="1" applyBorder="1" applyAlignment="1">
      <alignment horizontal="center" vertical="center"/>
    </xf>
    <xf numFmtId="164" fontId="0" fillId="0" borderId="39" xfId="0" applyNumberFormat="1" applyBorder="1" applyAlignment="1">
      <alignment horizontal="center" vertical="center"/>
    </xf>
    <xf numFmtId="164" fontId="0" fillId="0" borderId="54" xfId="0" applyNumberFormat="1" applyBorder="1" applyAlignment="1">
      <alignment horizontal="center" vertical="center"/>
    </xf>
    <xf numFmtId="164" fontId="0" fillId="0" borderId="27" xfId="0" applyNumberFormat="1" applyBorder="1" applyAlignment="1">
      <alignment horizontal="center" vertical="center"/>
    </xf>
    <xf numFmtId="164" fontId="0" fillId="0" borderId="2" xfId="0" applyNumberFormat="1" applyBorder="1" applyAlignment="1">
      <alignment horizontal="center" vertical="center"/>
    </xf>
    <xf numFmtId="164" fontId="0" fillId="0" borderId="56" xfId="0" applyNumberFormat="1" applyBorder="1" applyAlignment="1">
      <alignment horizontal="center" vertical="center"/>
    </xf>
    <xf numFmtId="164" fontId="0" fillId="0" borderId="23"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55" xfId="0" applyNumberFormat="1" applyBorder="1" applyAlignment="1">
      <alignment horizontal="center" vertical="center"/>
    </xf>
    <xf numFmtId="2" fontId="0" fillId="0" borderId="39" xfId="0" quotePrefix="1" applyNumberFormat="1" applyBorder="1" applyAlignment="1">
      <alignment horizontal="center" vertical="center"/>
    </xf>
    <xf numFmtId="2" fontId="8" fillId="0" borderId="39" xfId="0" applyNumberFormat="1" applyFont="1" applyBorder="1" applyAlignment="1">
      <alignment horizontal="center" vertical="center" wrapText="1"/>
    </xf>
    <xf numFmtId="2" fontId="0" fillId="0" borderId="17" xfId="0" applyNumberFormat="1" applyBorder="1" applyAlignment="1">
      <alignment horizontal="center"/>
    </xf>
    <xf numFmtId="2" fontId="0" fillId="0" borderId="39" xfId="0" applyNumberFormat="1" applyBorder="1" applyAlignment="1">
      <alignment horizontal="center"/>
    </xf>
    <xf numFmtId="0" fontId="16" fillId="0" borderId="0" xfId="2" applyFont="1" applyBorder="1" applyAlignment="1">
      <alignment horizontal="center"/>
    </xf>
    <xf numFmtId="49" fontId="15" fillId="0" borderId="0" xfId="2" applyNumberFormat="1" applyFont="1" applyBorder="1" applyAlignment="1">
      <alignment horizontal="center"/>
    </xf>
    <xf numFmtId="0" fontId="8" fillId="0" borderId="0" xfId="0" applyFont="1" applyBorder="1" applyAlignment="1">
      <alignment horizontal="left" vertical="top" wrapText="1"/>
    </xf>
    <xf numFmtId="0" fontId="8" fillId="0" borderId="0" xfId="0" applyFont="1" applyBorder="1" applyAlignment="1">
      <alignment horizontal="left" vertical="center" wrapText="1"/>
    </xf>
    <xf numFmtId="0" fontId="8" fillId="0" borderId="0" xfId="2" applyFont="1" applyFill="1" applyBorder="1" applyAlignment="1">
      <alignment horizontal="left" vertical="center" wrapText="1"/>
    </xf>
    <xf numFmtId="0" fontId="8" fillId="6" borderId="23" xfId="2" applyFont="1" applyFill="1" applyBorder="1" applyAlignment="1">
      <alignment horizontal="left" vertical="center" wrapText="1"/>
    </xf>
    <xf numFmtId="0" fontId="8" fillId="6" borderId="21" xfId="2" applyFont="1" applyFill="1" applyBorder="1" applyAlignment="1">
      <alignment horizontal="left" vertical="center" wrapText="1"/>
    </xf>
    <xf numFmtId="0" fontId="8" fillId="6" borderId="24" xfId="2" applyFont="1" applyFill="1" applyBorder="1" applyAlignment="1">
      <alignment horizontal="left" vertical="center" wrapText="1"/>
    </xf>
    <xf numFmtId="0" fontId="8" fillId="6" borderId="25" xfId="2" applyFont="1" applyFill="1" applyBorder="1" applyAlignment="1">
      <alignment horizontal="left" vertical="center" wrapText="1"/>
    </xf>
    <xf numFmtId="0" fontId="8" fillId="6" borderId="0" xfId="2" applyFont="1" applyFill="1" applyBorder="1" applyAlignment="1">
      <alignment horizontal="left" vertical="center" wrapText="1"/>
    </xf>
    <xf numFmtId="0" fontId="8" fillId="6" borderId="26" xfId="2" applyFont="1" applyFill="1" applyBorder="1" applyAlignment="1">
      <alignment horizontal="left" vertical="center" wrapText="1"/>
    </xf>
    <xf numFmtId="0" fontId="8" fillId="6" borderId="27" xfId="2" applyFont="1" applyFill="1" applyBorder="1" applyAlignment="1">
      <alignment horizontal="left" vertical="center" wrapText="1"/>
    </xf>
    <xf numFmtId="0" fontId="8" fillId="6" borderId="22" xfId="2" applyFont="1" applyFill="1" applyBorder="1" applyAlignment="1">
      <alignment horizontal="left" vertical="center" wrapText="1"/>
    </xf>
    <xf numFmtId="0" fontId="8" fillId="6" borderId="28" xfId="2" applyFont="1" applyFill="1"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0"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2" xfId="0" applyBorder="1" applyAlignment="1">
      <alignment horizontal="left" vertical="center" wrapText="1"/>
    </xf>
    <xf numFmtId="0" fontId="0" fillId="0" borderId="28" xfId="0" applyBorder="1" applyAlignment="1">
      <alignment horizontal="left" vertical="center" wrapText="1"/>
    </xf>
    <xf numFmtId="0" fontId="8" fillId="0" borderId="0" xfId="0" applyFont="1" applyFill="1" applyBorder="1" applyAlignment="1">
      <alignment horizontal="left" vertical="top" wrapText="1"/>
    </xf>
    <xf numFmtId="0" fontId="59" fillId="0" borderId="0" xfId="2" applyFont="1" applyBorder="1" applyAlignment="1">
      <alignment horizontal="left" vertical="center" wrapText="1"/>
    </xf>
    <xf numFmtId="0" fontId="8" fillId="0" borderId="0" xfId="2" applyFont="1" applyFill="1" applyBorder="1" applyAlignment="1">
      <alignment horizontal="left" wrapText="1"/>
    </xf>
    <xf numFmtId="0" fontId="8" fillId="0" borderId="0" xfId="2" applyFont="1" applyBorder="1" applyAlignment="1">
      <alignment horizontal="left" vertical="center" wrapText="1"/>
    </xf>
    <xf numFmtId="0" fontId="7" fillId="0" borderId="0" xfId="0" applyFont="1" applyBorder="1" applyAlignment="1" applyProtection="1">
      <alignment horizontal="left" wrapText="1"/>
    </xf>
    <xf numFmtId="0" fontId="7" fillId="0" borderId="0" xfId="0" applyFont="1" applyBorder="1" applyAlignment="1" applyProtection="1">
      <alignment horizontal="left" vertical="center"/>
    </xf>
    <xf numFmtId="0" fontId="8" fillId="4" borderId="63" xfId="2" applyFont="1" applyFill="1" applyBorder="1" applyAlignment="1" applyProtection="1">
      <alignment horizontal="center" vertical="center"/>
      <protection locked="0"/>
    </xf>
    <xf numFmtId="0" fontId="8" fillId="4" borderId="50" xfId="2" applyFont="1" applyFill="1" applyBorder="1" applyAlignment="1" applyProtection="1">
      <alignment horizontal="center" vertical="center"/>
      <protection locked="0"/>
    </xf>
    <xf numFmtId="0" fontId="8" fillId="4" borderId="12" xfId="2" applyFont="1" applyFill="1" applyBorder="1" applyAlignment="1" applyProtection="1">
      <alignment horizontal="center" vertical="center"/>
      <protection locked="0"/>
    </xf>
    <xf numFmtId="0" fontId="27" fillId="0" borderId="2" xfId="0" applyFont="1" applyFill="1" applyBorder="1" applyAlignment="1" applyProtection="1">
      <alignment horizontal="left" vertical="center"/>
    </xf>
    <xf numFmtId="0" fontId="7" fillId="0" borderId="63"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2" xfId="0" applyFont="1" applyBorder="1" applyAlignment="1" applyProtection="1">
      <alignment horizontal="center" vertical="center" wrapText="1"/>
    </xf>
    <xf numFmtId="0" fontId="0" fillId="0" borderId="2" xfId="0" applyBorder="1" applyAlignment="1" applyProtection="1">
      <alignment horizontal="center" vertical="center"/>
    </xf>
    <xf numFmtId="0" fontId="13" fillId="0" borderId="30" xfId="0" applyFont="1" applyBorder="1" applyAlignment="1" applyProtection="1">
      <alignment horizontal="center"/>
    </xf>
    <xf numFmtId="0" fontId="56" fillId="0" borderId="0" xfId="0" applyFont="1" applyBorder="1" applyAlignment="1" applyProtection="1">
      <alignment horizontal="center"/>
    </xf>
    <xf numFmtId="0" fontId="7" fillId="0" borderId="26" xfId="0" applyFont="1" applyBorder="1" applyAlignment="1" applyProtection="1">
      <alignment horizontal="left" wrapText="1"/>
    </xf>
    <xf numFmtId="0" fontId="7" fillId="0" borderId="0" xfId="0" applyFont="1" applyBorder="1" applyAlignment="1" applyProtection="1">
      <alignment horizontal="left" vertical="center" wrapText="1"/>
    </xf>
    <xf numFmtId="0" fontId="7" fillId="0" borderId="26" xfId="0" applyFont="1" applyBorder="1" applyAlignment="1" applyProtection="1">
      <alignment horizontal="left" vertical="center" wrapText="1"/>
    </xf>
    <xf numFmtId="0" fontId="8" fillId="4" borderId="63"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49" fontId="8" fillId="2" borderId="56" xfId="0" applyNumberFormat="1" applyFont="1" applyFill="1" applyBorder="1" applyAlignment="1" applyProtection="1">
      <alignment horizontal="center"/>
      <protection locked="0"/>
    </xf>
    <xf numFmtId="49" fontId="8" fillId="2" borderId="61" xfId="0" applyNumberFormat="1" applyFont="1" applyFill="1" applyBorder="1" applyAlignment="1" applyProtection="1">
      <alignment horizontal="center"/>
      <protection locked="0"/>
    </xf>
    <xf numFmtId="0" fontId="7" fillId="0" borderId="25" xfId="0" applyFont="1" applyBorder="1" applyAlignment="1" applyProtection="1">
      <alignment horizontal="left" vertical="center"/>
    </xf>
    <xf numFmtId="0" fontId="8" fillId="0" borderId="0" xfId="0" applyFont="1" applyBorder="1" applyAlignment="1" applyProtection="1">
      <alignment horizontal="left" wrapText="1"/>
    </xf>
    <xf numFmtId="0" fontId="8" fillId="0" borderId="56" xfId="0" applyFont="1" applyBorder="1" applyAlignment="1" applyProtection="1">
      <alignment horizontal="center" vertical="center" wrapText="1"/>
    </xf>
    <xf numFmtId="0" fontId="8" fillId="0" borderId="61" xfId="0" applyFont="1" applyBorder="1" applyAlignment="1" applyProtection="1">
      <alignment horizontal="center" vertical="center" wrapText="1"/>
    </xf>
    <xf numFmtId="0" fontId="7" fillId="0" borderId="56" xfId="0" applyFont="1" applyBorder="1" applyAlignment="1" applyProtection="1">
      <alignment horizontal="center" vertical="center"/>
    </xf>
    <xf numFmtId="0" fontId="7" fillId="0" borderId="61" xfId="0" applyFont="1" applyBorder="1" applyAlignment="1" applyProtection="1">
      <alignment horizontal="center" vertical="center"/>
    </xf>
    <xf numFmtId="0" fontId="7" fillId="0" borderId="0" xfId="2" applyFont="1" applyBorder="1" applyAlignment="1" applyProtection="1">
      <alignment horizontal="left" vertical="top" wrapText="1"/>
    </xf>
    <xf numFmtId="0" fontId="55" fillId="0" borderId="0" xfId="0" applyFont="1" applyBorder="1" applyAlignment="1" applyProtection="1">
      <alignment horizontal="center"/>
    </xf>
    <xf numFmtId="0" fontId="7" fillId="0" borderId="26" xfId="2" applyFont="1" applyBorder="1" applyAlignment="1" applyProtection="1">
      <alignment horizontal="left" vertical="top" wrapText="1"/>
    </xf>
    <xf numFmtId="0" fontId="0" fillId="0" borderId="2" xfId="0" applyBorder="1" applyAlignment="1" applyProtection="1">
      <alignment horizontal="left" wrapText="1"/>
      <protection locked="0"/>
    </xf>
    <xf numFmtId="0" fontId="10" fillId="0" borderId="63" xfId="0" applyFont="1" applyBorder="1" applyAlignment="1" applyProtection="1">
      <alignment horizontal="center" vertical="center"/>
    </xf>
    <xf numFmtId="0" fontId="10" fillId="0" borderId="12" xfId="0" applyFont="1" applyBorder="1" applyAlignment="1" applyProtection="1">
      <alignment horizontal="center" vertical="center"/>
    </xf>
    <xf numFmtId="0" fontId="15" fillId="0" borderId="2" xfId="0" applyFont="1" applyFill="1" applyBorder="1" applyAlignment="1" applyProtection="1">
      <alignment horizontal="center" vertical="center"/>
    </xf>
    <xf numFmtId="0" fontId="8" fillId="0" borderId="2" xfId="0" applyFont="1" applyBorder="1" applyAlignment="1" applyProtection="1">
      <alignment horizontal="left" vertical="top" wrapText="1"/>
    </xf>
    <xf numFmtId="0" fontId="7" fillId="0" borderId="2" xfId="0" applyFont="1" applyBorder="1" applyAlignment="1" applyProtection="1">
      <alignment horizontal="left" wrapText="1"/>
      <protection locked="0"/>
    </xf>
    <xf numFmtId="0" fontId="8" fillId="4" borderId="2" xfId="0" applyFont="1" applyFill="1" applyBorder="1" applyAlignment="1" applyProtection="1">
      <alignment horizontal="center"/>
      <protection locked="0"/>
    </xf>
    <xf numFmtId="0" fontId="8" fillId="4" borderId="2" xfId="0" applyFont="1" applyFill="1" applyBorder="1" applyAlignment="1" applyProtection="1">
      <alignment horizontal="center" vertical="center"/>
      <protection locked="0"/>
    </xf>
    <xf numFmtId="0" fontId="7" fillId="0" borderId="2" xfId="0" applyFont="1" applyBorder="1" applyAlignment="1" applyProtection="1">
      <alignment horizontal="left" vertical="center" wrapText="1"/>
    </xf>
    <xf numFmtId="0" fontId="27" fillId="0" borderId="0" xfId="0" applyFont="1" applyFill="1" applyBorder="1" applyAlignment="1" applyProtection="1">
      <alignment horizontal="left" wrapText="1"/>
    </xf>
    <xf numFmtId="0" fontId="8" fillId="0" borderId="0" xfId="0" applyFont="1" applyBorder="1" applyAlignment="1" applyProtection="1">
      <alignment wrapText="1"/>
    </xf>
    <xf numFmtId="0" fontId="0" fillId="0" borderId="0" xfId="0" applyAlignment="1" applyProtection="1">
      <alignment wrapText="1"/>
    </xf>
    <xf numFmtId="0" fontId="8" fillId="2" borderId="63" xfId="2"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protection locked="0"/>
    </xf>
    <xf numFmtId="0" fontId="10" fillId="0" borderId="27" xfId="0" applyFont="1" applyBorder="1" applyAlignment="1" applyProtection="1">
      <alignment horizontal="center" vertical="center"/>
    </xf>
    <xf numFmtId="0" fontId="7" fillId="0" borderId="23" xfId="0" applyFont="1" applyBorder="1" applyAlignment="1" applyProtection="1">
      <alignment horizontal="left" wrapText="1"/>
    </xf>
    <xf numFmtId="0" fontId="7" fillId="0" borderId="21" xfId="0" applyFont="1" applyBorder="1" applyAlignment="1" applyProtection="1">
      <alignment horizontal="left" wrapText="1"/>
    </xf>
    <xf numFmtId="0" fontId="7" fillId="0" borderId="24" xfId="0" applyFont="1" applyBorder="1" applyAlignment="1" applyProtection="1">
      <alignment horizontal="left" wrapText="1"/>
    </xf>
    <xf numFmtId="0" fontId="7" fillId="0" borderId="25" xfId="0" applyFont="1" applyBorder="1" applyAlignment="1" applyProtection="1">
      <alignment horizontal="left" wrapText="1"/>
    </xf>
    <xf numFmtId="0" fontId="7" fillId="0" borderId="27" xfId="0" applyFont="1" applyBorder="1" applyAlignment="1" applyProtection="1">
      <alignment horizontal="left" wrapText="1"/>
    </xf>
    <xf numFmtId="0" fontId="7" fillId="0" borderId="22" xfId="0" applyFont="1" applyBorder="1" applyAlignment="1" applyProtection="1">
      <alignment horizontal="left" wrapText="1"/>
    </xf>
    <xf numFmtId="0" fontId="7" fillId="0" borderId="28" xfId="0" applyFont="1" applyBorder="1" applyAlignment="1" applyProtection="1">
      <alignment horizontal="left" wrapText="1"/>
    </xf>
    <xf numFmtId="1" fontId="8" fillId="0" borderId="63" xfId="0" applyNumberFormat="1" applyFont="1" applyFill="1" applyBorder="1" applyAlignment="1" applyProtection="1">
      <alignment horizontal="center" vertical="center"/>
    </xf>
    <xf numFmtId="1" fontId="8" fillId="0" borderId="12" xfId="0" applyNumberFormat="1" applyFont="1" applyFill="1" applyBorder="1" applyAlignment="1" applyProtection="1">
      <alignment horizontal="center" vertical="center"/>
    </xf>
    <xf numFmtId="0" fontId="8" fillId="2" borderId="50" xfId="2" applyFont="1" applyFill="1" applyBorder="1" applyAlignment="1" applyProtection="1">
      <alignment horizontal="center" vertical="center"/>
      <protection locked="0"/>
    </xf>
    <xf numFmtId="0" fontId="7" fillId="0" borderId="50" xfId="0" applyFont="1" applyBorder="1" applyAlignment="1" applyProtection="1">
      <alignment horizontal="center" vertical="center"/>
    </xf>
    <xf numFmtId="0" fontId="7" fillId="0" borderId="2" xfId="0" applyFont="1" applyFill="1" applyBorder="1" applyAlignment="1" applyProtection="1">
      <alignment horizontal="center"/>
    </xf>
    <xf numFmtId="0" fontId="8" fillId="0" borderId="0" xfId="0" applyFont="1" applyFill="1" applyBorder="1" applyAlignment="1" applyProtection="1">
      <alignment horizontal="left"/>
    </xf>
    <xf numFmtId="0" fontId="8" fillId="0" borderId="26" xfId="0" applyFont="1" applyFill="1" applyBorder="1" applyAlignment="1" applyProtection="1">
      <alignment horizontal="left"/>
    </xf>
    <xf numFmtId="0" fontId="7" fillId="0" borderId="0" xfId="0" applyFont="1" applyFill="1" applyBorder="1" applyAlignment="1" applyProtection="1">
      <alignment horizontal="left"/>
    </xf>
    <xf numFmtId="0" fontId="7" fillId="0" borderId="26" xfId="0" applyFont="1" applyFill="1" applyBorder="1" applyAlignment="1" applyProtection="1">
      <alignment horizontal="left"/>
    </xf>
    <xf numFmtId="1" fontId="0" fillId="0" borderId="56" xfId="0" applyNumberFormat="1" applyFill="1" applyBorder="1" applyAlignment="1" applyProtection="1">
      <alignment horizontal="center"/>
    </xf>
    <xf numFmtId="1" fontId="0" fillId="0" borderId="61" xfId="0" applyNumberFormat="1" applyFill="1" applyBorder="1" applyAlignment="1" applyProtection="1">
      <alignment horizontal="center"/>
    </xf>
    <xf numFmtId="0" fontId="7" fillId="4" borderId="2" xfId="0" applyFont="1" applyFill="1" applyBorder="1" applyAlignment="1" applyProtection="1">
      <alignment horizontal="center"/>
      <protection locked="0"/>
    </xf>
    <xf numFmtId="164" fontId="8" fillId="0" borderId="2" xfId="0" applyNumberFormat="1" applyFont="1" applyFill="1" applyBorder="1" applyAlignment="1" applyProtection="1">
      <alignment horizontal="center"/>
    </xf>
    <xf numFmtId="0" fontId="7" fillId="0" borderId="0" xfId="0" applyFont="1" applyFill="1" applyBorder="1" applyAlignment="1" applyProtection="1">
      <alignment horizontal="center"/>
    </xf>
    <xf numFmtId="0" fontId="7" fillId="0" borderId="23" xfId="0" applyFont="1" applyBorder="1" applyAlignment="1" applyProtection="1">
      <alignment horizontal="left" vertical="center" wrapText="1"/>
    </xf>
    <xf numFmtId="0" fontId="7" fillId="0" borderId="21"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0" fontId="7" fillId="0" borderId="27" xfId="0" applyFont="1" applyBorder="1" applyAlignment="1" applyProtection="1">
      <alignment horizontal="left" vertical="center" wrapText="1"/>
    </xf>
    <xf numFmtId="0" fontId="7" fillId="0" borderId="22" xfId="0" applyFont="1" applyBorder="1" applyAlignment="1" applyProtection="1">
      <alignment horizontal="left" vertical="center" wrapText="1"/>
    </xf>
    <xf numFmtId="0" fontId="7" fillId="0" borderId="28" xfId="0" applyFont="1" applyBorder="1" applyAlignment="1" applyProtection="1">
      <alignment horizontal="left" vertical="center" wrapText="1"/>
    </xf>
    <xf numFmtId="0" fontId="7" fillId="0" borderId="56" xfId="0" applyFont="1" applyFill="1" applyBorder="1" applyAlignment="1" applyProtection="1">
      <alignment horizontal="center"/>
    </xf>
    <xf numFmtId="0" fontId="7" fillId="0" borderId="61" xfId="0" applyFont="1" applyFill="1" applyBorder="1" applyAlignment="1" applyProtection="1">
      <alignment horizontal="center"/>
    </xf>
    <xf numFmtId="164" fontId="7" fillId="4" borderId="56" xfId="0" applyNumberFormat="1" applyFont="1" applyFill="1" applyBorder="1" applyAlignment="1" applyProtection="1">
      <alignment horizontal="center" vertical="center"/>
      <protection locked="0"/>
    </xf>
    <xf numFmtId="164" fontId="7" fillId="4" borderId="61" xfId="0" applyNumberFormat="1" applyFont="1" applyFill="1" applyBorder="1" applyAlignment="1" applyProtection="1">
      <alignment horizontal="center" vertical="center"/>
      <protection locked="0"/>
    </xf>
    <xf numFmtId="0" fontId="8" fillId="0" borderId="56" xfId="0" applyFont="1" applyFill="1" applyBorder="1" applyAlignment="1" applyProtection="1">
      <alignment horizontal="center"/>
    </xf>
    <xf numFmtId="0" fontId="8" fillId="0" borderId="61" xfId="0" applyFont="1" applyFill="1" applyBorder="1" applyAlignment="1" applyProtection="1">
      <alignment horizontal="center"/>
    </xf>
    <xf numFmtId="164" fontId="7" fillId="0" borderId="56" xfId="0" applyNumberFormat="1" applyFont="1" applyFill="1" applyBorder="1" applyAlignment="1" applyProtection="1">
      <alignment horizontal="center" vertical="center"/>
    </xf>
    <xf numFmtId="164" fontId="7" fillId="0" borderId="61" xfId="0" applyNumberFormat="1" applyFont="1" applyFill="1" applyBorder="1" applyAlignment="1" applyProtection="1">
      <alignment horizontal="center" vertical="center"/>
    </xf>
    <xf numFmtId="2" fontId="8" fillId="0" borderId="2" xfId="0" applyNumberFormat="1" applyFont="1" applyFill="1" applyBorder="1" applyAlignment="1" applyProtection="1">
      <alignment horizontal="center"/>
    </xf>
    <xf numFmtId="0" fontId="13" fillId="0" borderId="30" xfId="0" applyFont="1" applyFill="1" applyBorder="1" applyAlignment="1" applyProtection="1">
      <alignment horizontal="center"/>
    </xf>
    <xf numFmtId="0" fontId="15" fillId="0" borderId="0" xfId="0" applyFont="1" applyFill="1" applyBorder="1" applyAlignment="1" applyProtection="1">
      <alignment horizontal="center"/>
    </xf>
    <xf numFmtId="0" fontId="55" fillId="0" borderId="0" xfId="0" applyFont="1" applyFill="1" applyBorder="1" applyAlignment="1" applyProtection="1">
      <alignment horizontal="center"/>
    </xf>
    <xf numFmtId="49" fontId="8" fillId="0" borderId="56" xfId="0" applyNumberFormat="1" applyFont="1" applyFill="1" applyBorder="1" applyAlignment="1" applyProtection="1">
      <alignment horizontal="center"/>
    </xf>
    <xf numFmtId="0" fontId="8" fillId="0" borderId="61" xfId="0" applyNumberFormat="1" applyFont="1" applyFill="1" applyBorder="1" applyAlignment="1" applyProtection="1">
      <alignment horizontal="center"/>
    </xf>
    <xf numFmtId="0" fontId="8" fillId="0" borderId="24"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7" fillId="0" borderId="26" xfId="0" applyFont="1" applyBorder="1" applyAlignment="1" applyProtection="1">
      <alignment horizontal="right" wrapText="1"/>
    </xf>
    <xf numFmtId="49" fontId="8" fillId="0" borderId="61" xfId="0" applyNumberFormat="1" applyFont="1" applyFill="1" applyBorder="1" applyAlignment="1" applyProtection="1">
      <alignment horizontal="center"/>
    </xf>
    <xf numFmtId="0" fontId="7" fillId="0" borderId="2" xfId="0" applyFont="1" applyBorder="1" applyAlignment="1" applyProtection="1">
      <alignment wrapText="1"/>
      <protection locked="0"/>
    </xf>
    <xf numFmtId="0" fontId="8" fillId="0" borderId="2" xfId="0" applyFont="1" applyBorder="1" applyAlignment="1" applyProtection="1">
      <alignment vertical="top" wrapText="1"/>
    </xf>
    <xf numFmtId="164" fontId="7" fillId="0" borderId="2" xfId="0" applyNumberFormat="1" applyFont="1" applyFill="1" applyBorder="1" applyAlignment="1" applyProtection="1">
      <alignment horizontal="center"/>
    </xf>
    <xf numFmtId="164" fontId="7" fillId="4" borderId="2" xfId="0" applyNumberFormat="1" applyFont="1" applyFill="1" applyBorder="1" applyAlignment="1" applyProtection="1">
      <alignment horizontal="center"/>
      <protection locked="0"/>
    </xf>
    <xf numFmtId="0" fontId="10" fillId="0" borderId="56" xfId="0" applyFont="1" applyBorder="1" applyAlignment="1" applyProtection="1">
      <alignment horizontal="center"/>
    </xf>
    <xf numFmtId="0" fontId="10" fillId="0" borderId="61" xfId="0" applyFont="1" applyBorder="1" applyAlignment="1" applyProtection="1">
      <alignment horizontal="center"/>
    </xf>
    <xf numFmtId="164" fontId="7" fillId="0" borderId="63" xfId="0" applyNumberFormat="1" applyFont="1" applyFill="1" applyBorder="1" applyAlignment="1" applyProtection="1">
      <alignment horizontal="center" vertical="center"/>
    </xf>
    <xf numFmtId="164" fontId="7" fillId="0" borderId="12" xfId="0" applyNumberFormat="1" applyFont="1" applyFill="1" applyBorder="1" applyAlignment="1" applyProtection="1">
      <alignment horizontal="center" vertical="center"/>
    </xf>
    <xf numFmtId="0" fontId="36" fillId="0" borderId="0" xfId="0" applyFont="1" applyFill="1" applyBorder="1" applyAlignment="1" applyProtection="1">
      <alignment horizontal="left" wrapText="1"/>
    </xf>
    <xf numFmtId="0" fontId="10" fillId="0" borderId="20" xfId="0" applyFont="1" applyBorder="1" applyAlignment="1" applyProtection="1">
      <alignment horizontal="center"/>
    </xf>
    <xf numFmtId="0" fontId="7" fillId="0" borderId="0" xfId="0" applyFont="1" applyFill="1" applyBorder="1" applyAlignment="1" applyProtection="1">
      <alignment horizontal="left" vertical="center" wrapText="1"/>
    </xf>
    <xf numFmtId="164" fontId="7" fillId="0" borderId="2" xfId="0" applyNumberFormat="1" applyFont="1" applyFill="1" applyBorder="1" applyAlignment="1" applyProtection="1">
      <alignment horizontal="center" vertical="center"/>
    </xf>
    <xf numFmtId="0" fontId="37" fillId="0" borderId="23" xfId="0" applyFont="1" applyFill="1" applyBorder="1" applyAlignment="1" applyProtection="1">
      <alignment horizontal="left" vertical="center" wrapText="1"/>
    </xf>
    <xf numFmtId="0" fontId="37" fillId="0" borderId="21" xfId="0" applyFont="1" applyFill="1" applyBorder="1" applyAlignment="1" applyProtection="1">
      <alignment horizontal="left" vertical="center" wrapText="1"/>
    </xf>
    <xf numFmtId="0" fontId="37" fillId="0" borderId="24" xfId="0" applyFont="1" applyFill="1" applyBorder="1" applyAlignment="1" applyProtection="1">
      <alignment horizontal="left" vertical="center" wrapText="1"/>
    </xf>
    <xf numFmtId="0" fontId="37" fillId="0" borderId="27" xfId="0" applyFont="1" applyFill="1" applyBorder="1" applyAlignment="1" applyProtection="1">
      <alignment horizontal="left" vertical="center" wrapText="1"/>
    </xf>
    <xf numFmtId="0" fontId="37" fillId="0" borderId="22" xfId="0" applyFont="1" applyFill="1" applyBorder="1" applyAlignment="1" applyProtection="1">
      <alignment horizontal="left" vertical="center" wrapText="1"/>
    </xf>
    <xf numFmtId="0" fontId="37" fillId="0" borderId="28" xfId="0" applyFont="1" applyFill="1" applyBorder="1" applyAlignment="1" applyProtection="1">
      <alignment horizontal="left" vertical="center" wrapText="1"/>
    </xf>
    <xf numFmtId="0" fontId="8" fillId="0" borderId="0" xfId="0" applyFont="1" applyFill="1" applyBorder="1" applyAlignment="1" applyProtection="1">
      <alignment horizontal="left" wrapText="1"/>
    </xf>
    <xf numFmtId="0" fontId="32" fillId="0" borderId="0" xfId="0" applyFont="1" applyFill="1" applyBorder="1" applyAlignment="1" applyProtection="1">
      <alignment horizontal="left" wrapText="1"/>
    </xf>
    <xf numFmtId="0" fontId="32" fillId="0" borderId="0" xfId="0" applyFont="1" applyFill="1" applyBorder="1" applyAlignment="1" applyProtection="1">
      <alignment wrapText="1"/>
    </xf>
    <xf numFmtId="0" fontId="7" fillId="0" borderId="26"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8" fillId="0" borderId="23" xfId="0" applyFont="1" applyBorder="1" applyAlignment="1" applyProtection="1">
      <alignment vertical="top" wrapText="1"/>
    </xf>
    <xf numFmtId="0" fontId="0" fillId="0" borderId="21" xfId="0" applyBorder="1" applyAlignment="1" applyProtection="1">
      <alignment vertical="top" wrapText="1"/>
    </xf>
    <xf numFmtId="0" fontId="0" fillId="0" borderId="24" xfId="0" applyBorder="1" applyAlignment="1" applyProtection="1">
      <alignment vertical="top" wrapText="1"/>
    </xf>
    <xf numFmtId="0" fontId="0" fillId="0" borderId="25" xfId="0" applyBorder="1" applyAlignment="1" applyProtection="1">
      <alignment vertical="top" wrapText="1"/>
    </xf>
    <xf numFmtId="0" fontId="0" fillId="0" borderId="0" xfId="0" applyAlignment="1" applyProtection="1">
      <alignment vertical="top" wrapText="1"/>
    </xf>
    <xf numFmtId="0" fontId="0" fillId="0" borderId="26" xfId="0" applyBorder="1" applyAlignment="1" applyProtection="1">
      <alignment vertical="top" wrapText="1"/>
    </xf>
    <xf numFmtId="0" fontId="0" fillId="0" borderId="27" xfId="0" applyBorder="1" applyAlignment="1" applyProtection="1">
      <alignment vertical="top" wrapText="1"/>
    </xf>
    <xf numFmtId="0" fontId="0" fillId="0" borderId="22" xfId="0" applyBorder="1" applyAlignment="1" applyProtection="1">
      <alignment vertical="top" wrapText="1"/>
    </xf>
    <xf numFmtId="0" fontId="0" fillId="0" borderId="28" xfId="0" applyBorder="1" applyAlignment="1" applyProtection="1">
      <alignment vertical="top" wrapText="1"/>
    </xf>
    <xf numFmtId="0" fontId="8" fillId="0" borderId="2" xfId="0" applyFont="1" applyFill="1" applyBorder="1" applyAlignment="1" applyProtection="1">
      <alignment horizontal="center" vertical="center"/>
    </xf>
    <xf numFmtId="0" fontId="7" fillId="0" borderId="85" xfId="0" applyFont="1" applyBorder="1" applyAlignment="1" applyProtection="1">
      <alignment horizontal="right" wrapText="1"/>
    </xf>
    <xf numFmtId="0" fontId="28" fillId="0" borderId="0" xfId="0" applyFont="1" applyFill="1" applyBorder="1" applyAlignment="1" applyProtection="1">
      <alignment wrapText="1"/>
    </xf>
    <xf numFmtId="0" fontId="28" fillId="0" borderId="0" xfId="0" applyFont="1" applyFill="1" applyBorder="1" applyAlignment="1" applyProtection="1">
      <alignment vertical="top" wrapText="1"/>
    </xf>
    <xf numFmtId="164" fontId="8" fillId="0" borderId="56" xfId="0" applyNumberFormat="1" applyFont="1" applyFill="1" applyBorder="1" applyAlignment="1" applyProtection="1">
      <alignment horizontal="center"/>
    </xf>
    <xf numFmtId="164" fontId="8" fillId="0" borderId="61" xfId="0" applyNumberFormat="1" applyFont="1" applyFill="1" applyBorder="1" applyAlignment="1" applyProtection="1">
      <alignment horizontal="center"/>
    </xf>
    <xf numFmtId="0" fontId="36" fillId="0" borderId="0" xfId="0" applyFont="1" applyFill="1" applyBorder="1" applyAlignment="1" applyProtection="1">
      <alignment horizontal="left"/>
    </xf>
    <xf numFmtId="0" fontId="0" fillId="0" borderId="0" xfId="0" applyAlignment="1" applyProtection="1">
      <alignment horizontal="left"/>
    </xf>
    <xf numFmtId="49" fontId="8" fillId="0" borderId="2" xfId="0" applyNumberFormat="1" applyFont="1" applyFill="1" applyBorder="1" applyAlignment="1" applyProtection="1">
      <alignment horizontal="center"/>
    </xf>
    <xf numFmtId="0" fontId="0" fillId="0" borderId="2" xfId="0" applyNumberFormat="1" applyFill="1" applyBorder="1" applyAlignment="1" applyProtection="1">
      <alignment horizontal="center"/>
    </xf>
    <xf numFmtId="0" fontId="7" fillId="0" borderId="0" xfId="0" applyFont="1" applyFill="1" applyBorder="1" applyAlignment="1" applyProtection="1">
      <alignment horizontal="left" wrapText="1"/>
    </xf>
    <xf numFmtId="0" fontId="7" fillId="0" borderId="0" xfId="0" applyFont="1" applyFill="1" applyBorder="1" applyAlignment="1" applyProtection="1">
      <alignment wrapText="1"/>
    </xf>
    <xf numFmtId="0" fontId="0" fillId="0" borderId="96" xfId="0" applyBorder="1" applyAlignment="1" applyProtection="1">
      <alignment vertical="top" wrapText="1"/>
    </xf>
    <xf numFmtId="0" fontId="0" fillId="0" borderId="0" xfId="0" applyBorder="1" applyAlignment="1" applyProtection="1">
      <alignment vertical="top" wrapText="1"/>
    </xf>
    <xf numFmtId="0" fontId="0" fillId="0" borderId="33" xfId="0" applyBorder="1" applyAlignment="1" applyProtection="1">
      <alignment vertical="top" wrapText="1"/>
    </xf>
    <xf numFmtId="0" fontId="0" fillId="0" borderId="97" xfId="0" applyBorder="1" applyAlignment="1" applyProtection="1">
      <alignment vertical="top" wrapText="1"/>
    </xf>
    <xf numFmtId="0" fontId="40" fillId="0" borderId="64" xfId="0" applyFont="1" applyFill="1" applyBorder="1" applyAlignment="1" applyProtection="1">
      <alignment horizontal="left"/>
    </xf>
    <xf numFmtId="0" fontId="40" fillId="0" borderId="20" xfId="0" applyFont="1" applyFill="1" applyBorder="1" applyAlignment="1" applyProtection="1">
      <alignment horizontal="left"/>
    </xf>
    <xf numFmtId="0" fontId="40" fillId="0" borderId="65" xfId="0" applyFont="1" applyFill="1" applyBorder="1" applyAlignment="1" applyProtection="1">
      <alignment horizontal="left"/>
    </xf>
    <xf numFmtId="0" fontId="8" fillId="0" borderId="19" xfId="0" applyFont="1" applyFill="1" applyBorder="1" applyAlignment="1" applyProtection="1">
      <alignment horizontal="left" wrapText="1"/>
    </xf>
    <xf numFmtId="0" fontId="0" fillId="0" borderId="19" xfId="0" applyBorder="1" applyAlignment="1" applyProtection="1">
      <alignment horizontal="left" wrapText="1"/>
    </xf>
    <xf numFmtId="0" fontId="8" fillId="0" borderId="15" xfId="0" applyFont="1" applyBorder="1" applyAlignment="1" applyProtection="1">
      <alignment horizontal="left" vertical="top" wrapText="1"/>
    </xf>
    <xf numFmtId="0" fontId="40" fillId="0" borderId="64" xfId="0" applyFont="1" applyFill="1" applyBorder="1" applyAlignment="1" applyProtection="1">
      <alignment horizontal="left" vertical="center" wrapText="1"/>
    </xf>
    <xf numFmtId="0" fontId="40" fillId="0" borderId="20" xfId="0" applyFont="1" applyFill="1" applyBorder="1" applyAlignment="1" applyProtection="1">
      <alignment horizontal="left" vertical="center" wrapText="1"/>
    </xf>
    <xf numFmtId="0" fontId="40" fillId="0" borderId="65" xfId="0" applyFont="1" applyFill="1" applyBorder="1" applyAlignment="1" applyProtection="1">
      <alignment horizontal="left" vertical="center" wrapText="1"/>
    </xf>
    <xf numFmtId="2" fontId="40" fillId="0" borderId="64" xfId="0" applyNumberFormat="1" applyFont="1" applyFill="1" applyBorder="1" applyAlignment="1" applyProtection="1">
      <alignment horizontal="left" vertical="center" wrapText="1"/>
    </xf>
    <xf numFmtId="2" fontId="40" fillId="0" borderId="20" xfId="0" applyNumberFormat="1" applyFont="1" applyFill="1" applyBorder="1" applyAlignment="1" applyProtection="1">
      <alignment horizontal="left" vertical="center" wrapText="1"/>
    </xf>
    <xf numFmtId="2" fontId="40" fillId="0" borderId="65" xfId="0" applyNumberFormat="1" applyFont="1" applyFill="1" applyBorder="1" applyAlignment="1" applyProtection="1">
      <alignment horizontal="left" vertical="center" wrapText="1"/>
    </xf>
    <xf numFmtId="2" fontId="24" fillId="0" borderId="64" xfId="0" applyNumberFormat="1" applyFont="1" applyFill="1" applyBorder="1" applyAlignment="1" applyProtection="1">
      <alignment horizontal="left" vertical="center"/>
    </xf>
    <xf numFmtId="2" fontId="24" fillId="0" borderId="20" xfId="0" applyNumberFormat="1" applyFont="1" applyFill="1" applyBorder="1" applyAlignment="1" applyProtection="1">
      <alignment horizontal="left" vertical="center"/>
    </xf>
    <xf numFmtId="2" fontId="24" fillId="0" borderId="65" xfId="0" applyNumberFormat="1" applyFont="1" applyFill="1" applyBorder="1" applyAlignment="1" applyProtection="1">
      <alignment horizontal="left" vertical="center"/>
    </xf>
    <xf numFmtId="0" fontId="13" fillId="0" borderId="29" xfId="0" applyFont="1" applyFill="1" applyBorder="1" applyAlignment="1" applyProtection="1">
      <alignment horizontal="center"/>
    </xf>
    <xf numFmtId="0" fontId="55" fillId="0" borderId="32" xfId="0" applyFont="1" applyFill="1" applyBorder="1" applyAlignment="1" applyProtection="1">
      <alignment horizontal="center"/>
    </xf>
    <xf numFmtId="2" fontId="24" fillId="0" borderId="37" xfId="0" applyNumberFormat="1" applyFont="1" applyFill="1" applyBorder="1" applyAlignment="1" applyProtection="1">
      <alignment horizontal="left" vertical="center" wrapText="1"/>
    </xf>
    <xf numFmtId="2" fontId="24" fillId="0" borderId="1" xfId="0" applyNumberFormat="1" applyFont="1" applyFill="1" applyBorder="1" applyAlignment="1" applyProtection="1">
      <alignment horizontal="left" vertical="center" wrapText="1"/>
    </xf>
    <xf numFmtId="2" fontId="24" fillId="0" borderId="38" xfId="0" applyNumberFormat="1" applyFont="1" applyFill="1" applyBorder="1" applyAlignment="1" applyProtection="1">
      <alignment horizontal="left" vertical="center" wrapText="1"/>
    </xf>
    <xf numFmtId="0" fontId="40" fillId="0" borderId="66" xfId="0" applyFont="1" applyFill="1" applyBorder="1" applyAlignment="1" applyProtection="1">
      <alignment horizontal="left" vertical="center" wrapText="1"/>
    </xf>
    <xf numFmtId="0" fontId="40" fillId="0" borderId="67" xfId="0" applyFont="1" applyFill="1" applyBorder="1" applyAlignment="1" applyProtection="1">
      <alignment horizontal="left" vertical="center" wrapText="1"/>
    </xf>
    <xf numFmtId="0" fontId="40" fillId="0" borderId="95" xfId="0" applyFont="1" applyFill="1" applyBorder="1" applyAlignment="1" applyProtection="1">
      <alignment horizontal="left" vertical="center" wrapText="1"/>
    </xf>
    <xf numFmtId="0" fontId="7" fillId="0" borderId="0" xfId="0" applyFont="1" applyBorder="1" applyAlignment="1" applyProtection="1">
      <alignment horizontal="right" wrapText="1"/>
    </xf>
    <xf numFmtId="0" fontId="8" fillId="0" borderId="63"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32" fillId="0" borderId="0" xfId="0" applyFont="1" applyFill="1" applyBorder="1" applyAlignment="1" applyProtection="1">
      <alignment horizontal="left" vertical="center" wrapText="1"/>
    </xf>
    <xf numFmtId="0" fontId="0" fillId="0" borderId="61" xfId="0" applyNumberFormat="1" applyFill="1" applyBorder="1" applyAlignment="1" applyProtection="1">
      <alignment horizontal="center"/>
    </xf>
    <xf numFmtId="0" fontId="8" fillId="0" borderId="0" xfId="0" applyFont="1" applyFill="1" applyBorder="1" applyAlignment="1" applyProtection="1">
      <alignment horizontal="left" vertical="center" wrapText="1"/>
    </xf>
    <xf numFmtId="0" fontId="8" fillId="0" borderId="61" xfId="0" applyNumberFormat="1" applyFont="1" applyFill="1" applyBorder="1" applyAlignment="1" applyProtection="1">
      <alignment horizontal="center" vertical="center"/>
    </xf>
    <xf numFmtId="0" fontId="10" fillId="0" borderId="68" xfId="0" applyFont="1" applyBorder="1" applyAlignment="1">
      <alignment horizontal="center" wrapText="1"/>
    </xf>
    <xf numFmtId="0" fontId="10" fillId="0" borderId="69" xfId="0" applyFont="1" applyBorder="1" applyAlignment="1">
      <alignment horizontal="center" wrapText="1"/>
    </xf>
    <xf numFmtId="0" fontId="10" fillId="0" borderId="70" xfId="0" applyFont="1" applyBorder="1" applyAlignment="1">
      <alignment horizontal="center" wrapText="1"/>
    </xf>
    <xf numFmtId="0" fontId="8" fillId="0" borderId="88" xfId="0" applyFont="1" applyFill="1" applyBorder="1" applyAlignment="1" applyProtection="1">
      <alignment horizontal="left" vertical="center" wrapText="1"/>
    </xf>
    <xf numFmtId="0" fontId="8" fillId="0" borderId="89" xfId="0" applyFont="1" applyFill="1" applyBorder="1" applyAlignment="1" applyProtection="1">
      <alignment horizontal="left" vertical="center" wrapText="1"/>
    </xf>
    <xf numFmtId="0" fontId="8" fillId="0" borderId="91" xfId="0" applyFont="1" applyFill="1" applyBorder="1" applyAlignment="1" applyProtection="1">
      <alignment horizontal="left" vertical="center" wrapText="1"/>
    </xf>
    <xf numFmtId="0" fontId="8" fillId="0" borderId="92" xfId="0" applyFont="1" applyFill="1" applyBorder="1" applyAlignment="1" applyProtection="1">
      <alignment horizontal="left" vertical="center" wrapText="1"/>
    </xf>
    <xf numFmtId="164" fontId="0" fillId="0" borderId="24" xfId="0" applyNumberFormat="1" applyBorder="1" applyAlignment="1">
      <alignment horizontal="center" vertical="center"/>
    </xf>
    <xf numFmtId="164" fontId="0" fillId="0" borderId="28" xfId="0" applyNumberFormat="1" applyBorder="1" applyAlignment="1">
      <alignment horizontal="center" vertical="center"/>
    </xf>
    <xf numFmtId="164" fontId="0" fillId="0" borderId="63" xfId="0" applyNumberFormat="1" applyBorder="1" applyAlignment="1">
      <alignment horizontal="center" vertical="center"/>
    </xf>
    <xf numFmtId="164" fontId="0" fillId="0" borderId="12" xfId="0" applyNumberFormat="1" applyBorder="1" applyAlignment="1">
      <alignment horizontal="center" vertical="center"/>
    </xf>
    <xf numFmtId="0" fontId="8" fillId="0" borderId="0" xfId="0" applyFont="1" applyAlignment="1">
      <alignment horizontal="left" wrapText="1"/>
    </xf>
    <xf numFmtId="0" fontId="14" fillId="0" borderId="0" xfId="0" applyFont="1" applyAlignment="1">
      <alignment horizontal="center"/>
    </xf>
    <xf numFmtId="0" fontId="11" fillId="0" borderId="32" xfId="0" applyFont="1" applyBorder="1" applyAlignment="1">
      <alignment horizontal="left" wrapText="1"/>
    </xf>
    <xf numFmtId="0" fontId="11" fillId="0" borderId="0" xfId="0" applyFont="1" applyBorder="1" applyAlignment="1">
      <alignment horizontal="left" wrapText="1"/>
    </xf>
    <xf numFmtId="0" fontId="11" fillId="0" borderId="33" xfId="0" applyFont="1" applyBorder="1" applyAlignment="1">
      <alignment horizontal="left" wrapText="1"/>
    </xf>
    <xf numFmtId="0" fontId="11" fillId="0" borderId="3" xfId="0" applyFont="1" applyBorder="1" applyAlignment="1">
      <alignment horizontal="left" wrapText="1"/>
    </xf>
    <xf numFmtId="0" fontId="11" fillId="0" borderId="4" xfId="0" applyFont="1" applyBorder="1" applyAlignment="1">
      <alignment horizontal="left" wrapText="1"/>
    </xf>
    <xf numFmtId="0" fontId="15" fillId="0" borderId="68" xfId="0" applyFont="1" applyBorder="1" applyAlignment="1">
      <alignment horizontal="center"/>
    </xf>
    <xf numFmtId="0" fontId="15" fillId="0" borderId="69" xfId="0" applyFont="1" applyBorder="1" applyAlignment="1">
      <alignment horizontal="center"/>
    </xf>
    <xf numFmtId="0" fontId="15" fillId="0" borderId="70" xfId="0" applyFont="1" applyBorder="1" applyAlignment="1">
      <alignment horizontal="center"/>
    </xf>
    <xf numFmtId="0" fontId="10" fillId="0" borderId="0" xfId="0" applyFont="1" applyAlignment="1">
      <alignment horizontal="center" vertical="center" wrapText="1"/>
    </xf>
    <xf numFmtId="0" fontId="24" fillId="0" borderId="0" xfId="0" applyFont="1" applyAlignment="1">
      <alignment horizontal="center" vertical="center" wrapText="1"/>
    </xf>
    <xf numFmtId="0" fontId="10" fillId="0" borderId="0" xfId="0" applyFont="1" applyAlignment="1">
      <alignment horizontal="center" wrapText="1"/>
    </xf>
    <xf numFmtId="0" fontId="32" fillId="0" borderId="82" xfId="1" applyFont="1" applyBorder="1" applyAlignment="1">
      <alignment horizontal="center" vertical="center" wrapText="1"/>
    </xf>
    <xf numFmtId="0" fontId="32" fillId="0" borderId="19" xfId="1" applyFont="1" applyBorder="1" applyAlignment="1">
      <alignment horizontal="center" vertical="center" wrapText="1"/>
    </xf>
    <xf numFmtId="0" fontId="32" fillId="0" borderId="83" xfId="1" applyFont="1" applyBorder="1" applyAlignment="1">
      <alignment horizontal="center" vertical="center" wrapText="1"/>
    </xf>
    <xf numFmtId="0" fontId="0" fillId="0" borderId="37" xfId="0" applyBorder="1" applyAlignment="1" applyProtection="1">
      <alignment horizontal="center"/>
    </xf>
    <xf numFmtId="0" fontId="0" fillId="0" borderId="38" xfId="0" applyBorder="1" applyAlignment="1" applyProtection="1">
      <alignment horizontal="center"/>
    </xf>
    <xf numFmtId="0" fontId="0" fillId="0" borderId="29" xfId="0" applyBorder="1" applyAlignment="1" applyProtection="1">
      <alignment horizontal="center"/>
    </xf>
    <xf numFmtId="0" fontId="0" fillId="0" borderId="31" xfId="0" applyBorder="1" applyAlignment="1" applyProtection="1">
      <alignment horizontal="center"/>
    </xf>
    <xf numFmtId="0" fontId="0" fillId="0" borderId="32" xfId="0" applyBorder="1" applyAlignment="1" applyProtection="1">
      <alignment horizontal="center"/>
    </xf>
    <xf numFmtId="0" fontId="0" fillId="0" borderId="33" xfId="0" applyBorder="1" applyAlignment="1" applyProtection="1">
      <alignment horizontal="center"/>
    </xf>
    <xf numFmtId="0" fontId="10" fillId="0" borderId="0" xfId="0" applyFont="1" applyAlignment="1" applyProtection="1">
      <alignment horizontal="left" wrapText="1"/>
    </xf>
    <xf numFmtId="164" fontId="0" fillId="0" borderId="29" xfId="0" applyNumberFormat="1" applyBorder="1" applyAlignment="1" applyProtection="1">
      <alignment horizontal="center"/>
    </xf>
    <xf numFmtId="164" fontId="0" fillId="0" borderId="31" xfId="0" applyNumberFormat="1" applyBorder="1" applyAlignment="1" applyProtection="1">
      <alignment horizontal="center"/>
    </xf>
    <xf numFmtId="164" fontId="0" fillId="0" borderId="32" xfId="0" applyNumberFormat="1" applyBorder="1" applyAlignment="1" applyProtection="1">
      <alignment horizontal="center"/>
    </xf>
    <xf numFmtId="164" fontId="0" fillId="0" borderId="33" xfId="0" applyNumberFormat="1" applyBorder="1" applyAlignment="1" applyProtection="1">
      <alignment horizontal="center"/>
    </xf>
  </cellXfs>
  <cellStyles count="256">
    <cellStyle name="Hyperlink" xfId="129" builtinId="8"/>
    <cellStyle name="Normal" xfId="0" builtinId="0"/>
    <cellStyle name="Normal 2" xfId="1"/>
    <cellStyle name="Normal 2 10" xfId="51"/>
    <cellStyle name="Normal 2 10 2" xfId="178"/>
    <cellStyle name="Normal 2 11" xfId="130"/>
    <cellStyle name="Normal 2 2" xfId="4"/>
    <cellStyle name="Normal 2 2 2" xfId="8"/>
    <cellStyle name="Normal 2 2 2 2" xfId="20"/>
    <cellStyle name="Normal 2 2 2 2 2" xfId="50"/>
    <cellStyle name="Normal 2 2 2 2 2 2" xfId="128"/>
    <cellStyle name="Normal 2 2 2 2 2 2 2" xfId="255"/>
    <cellStyle name="Normal 2 2 2 2 2 3" xfId="80"/>
    <cellStyle name="Normal 2 2 2 2 2 3 2" xfId="207"/>
    <cellStyle name="Normal 2 2 2 2 2 4" xfId="177"/>
    <cellStyle name="Normal 2 2 2 2 3" xfId="32"/>
    <cellStyle name="Normal 2 2 2 2 3 2" xfId="110"/>
    <cellStyle name="Normal 2 2 2 2 3 2 2" xfId="237"/>
    <cellStyle name="Normal 2 2 2 2 3 3" xfId="159"/>
    <cellStyle name="Normal 2 2 2 2 4" xfId="98"/>
    <cellStyle name="Normal 2 2 2 2 4 2" xfId="225"/>
    <cellStyle name="Normal 2 2 2 2 5" xfId="62"/>
    <cellStyle name="Normal 2 2 2 2 5 2" xfId="189"/>
    <cellStyle name="Normal 2 2 2 2 6" xfId="147"/>
    <cellStyle name="Normal 2 2 2 3" xfId="14"/>
    <cellStyle name="Normal 2 2 2 3 2" xfId="44"/>
    <cellStyle name="Normal 2 2 2 3 2 2" xfId="122"/>
    <cellStyle name="Normal 2 2 2 3 2 2 2" xfId="249"/>
    <cellStyle name="Normal 2 2 2 3 2 3" xfId="171"/>
    <cellStyle name="Normal 2 2 2 3 3" xfId="92"/>
    <cellStyle name="Normal 2 2 2 3 3 2" xfId="219"/>
    <cellStyle name="Normal 2 2 2 3 4" xfId="74"/>
    <cellStyle name="Normal 2 2 2 3 4 2" xfId="201"/>
    <cellStyle name="Normal 2 2 2 3 5" xfId="141"/>
    <cellStyle name="Normal 2 2 2 4" xfId="38"/>
    <cellStyle name="Normal 2 2 2 4 2" xfId="116"/>
    <cellStyle name="Normal 2 2 2 4 2 2" xfId="243"/>
    <cellStyle name="Normal 2 2 2 4 3" xfId="68"/>
    <cellStyle name="Normal 2 2 2 4 3 2" xfId="195"/>
    <cellStyle name="Normal 2 2 2 4 4" xfId="165"/>
    <cellStyle name="Normal 2 2 2 5" xfId="26"/>
    <cellStyle name="Normal 2 2 2 5 2" xfId="104"/>
    <cellStyle name="Normal 2 2 2 5 2 2" xfId="231"/>
    <cellStyle name="Normal 2 2 2 5 3" xfId="153"/>
    <cellStyle name="Normal 2 2 2 6" xfId="86"/>
    <cellStyle name="Normal 2 2 2 6 2" xfId="213"/>
    <cellStyle name="Normal 2 2 2 7" xfId="56"/>
    <cellStyle name="Normal 2 2 2 7 2" xfId="183"/>
    <cellStyle name="Normal 2 2 2 8" xfId="135"/>
    <cellStyle name="Normal 2 2 3" xfId="17"/>
    <cellStyle name="Normal 2 2 3 2" xfId="47"/>
    <cellStyle name="Normal 2 2 3 2 2" xfId="125"/>
    <cellStyle name="Normal 2 2 3 2 2 2" xfId="252"/>
    <cellStyle name="Normal 2 2 3 2 3" xfId="77"/>
    <cellStyle name="Normal 2 2 3 2 3 2" xfId="204"/>
    <cellStyle name="Normal 2 2 3 2 4" xfId="174"/>
    <cellStyle name="Normal 2 2 3 3" xfId="29"/>
    <cellStyle name="Normal 2 2 3 3 2" xfId="107"/>
    <cellStyle name="Normal 2 2 3 3 2 2" xfId="234"/>
    <cellStyle name="Normal 2 2 3 3 3" xfId="156"/>
    <cellStyle name="Normal 2 2 3 4" xfId="95"/>
    <cellStyle name="Normal 2 2 3 4 2" xfId="222"/>
    <cellStyle name="Normal 2 2 3 5" xfId="59"/>
    <cellStyle name="Normal 2 2 3 5 2" xfId="186"/>
    <cellStyle name="Normal 2 2 3 6" xfId="144"/>
    <cellStyle name="Normal 2 2 4" xfId="11"/>
    <cellStyle name="Normal 2 2 4 2" xfId="41"/>
    <cellStyle name="Normal 2 2 4 2 2" xfId="119"/>
    <cellStyle name="Normal 2 2 4 2 2 2" xfId="246"/>
    <cellStyle name="Normal 2 2 4 2 3" xfId="168"/>
    <cellStyle name="Normal 2 2 4 3" xfId="89"/>
    <cellStyle name="Normal 2 2 4 3 2" xfId="216"/>
    <cellStyle name="Normal 2 2 4 4" xfId="71"/>
    <cellStyle name="Normal 2 2 4 4 2" xfId="198"/>
    <cellStyle name="Normal 2 2 4 5" xfId="138"/>
    <cellStyle name="Normal 2 2 5" xfId="35"/>
    <cellStyle name="Normal 2 2 5 2" xfId="113"/>
    <cellStyle name="Normal 2 2 5 2 2" xfId="240"/>
    <cellStyle name="Normal 2 2 5 3" xfId="65"/>
    <cellStyle name="Normal 2 2 5 3 2" xfId="192"/>
    <cellStyle name="Normal 2 2 5 4" xfId="162"/>
    <cellStyle name="Normal 2 2 6" xfId="23"/>
    <cellStyle name="Normal 2 2 6 2" xfId="101"/>
    <cellStyle name="Normal 2 2 6 2 2" xfId="228"/>
    <cellStyle name="Normal 2 2 6 3" xfId="150"/>
    <cellStyle name="Normal 2 2 7" xfId="83"/>
    <cellStyle name="Normal 2 2 7 2" xfId="210"/>
    <cellStyle name="Normal 2 2 8" xfId="53"/>
    <cellStyle name="Normal 2 2 8 2" xfId="180"/>
    <cellStyle name="Normal 2 2 9" xfId="132"/>
    <cellStyle name="Normal 2 3" xfId="3"/>
    <cellStyle name="Normal 2 3 2" xfId="7"/>
    <cellStyle name="Normal 2 3 2 2" xfId="19"/>
    <cellStyle name="Normal 2 3 2 2 2" xfId="49"/>
    <cellStyle name="Normal 2 3 2 2 2 2" xfId="127"/>
    <cellStyle name="Normal 2 3 2 2 2 2 2" xfId="254"/>
    <cellStyle name="Normal 2 3 2 2 2 3" xfId="79"/>
    <cellStyle name="Normal 2 3 2 2 2 3 2" xfId="206"/>
    <cellStyle name="Normal 2 3 2 2 2 4" xfId="176"/>
    <cellStyle name="Normal 2 3 2 2 3" xfId="31"/>
    <cellStyle name="Normal 2 3 2 2 3 2" xfId="109"/>
    <cellStyle name="Normal 2 3 2 2 3 2 2" xfId="236"/>
    <cellStyle name="Normal 2 3 2 2 3 3" xfId="158"/>
    <cellStyle name="Normal 2 3 2 2 4" xfId="97"/>
    <cellStyle name="Normal 2 3 2 2 4 2" xfId="224"/>
    <cellStyle name="Normal 2 3 2 2 5" xfId="61"/>
    <cellStyle name="Normal 2 3 2 2 5 2" xfId="188"/>
    <cellStyle name="Normal 2 3 2 2 6" xfId="146"/>
    <cellStyle name="Normal 2 3 2 3" xfId="13"/>
    <cellStyle name="Normal 2 3 2 3 2" xfId="43"/>
    <cellStyle name="Normal 2 3 2 3 2 2" xfId="121"/>
    <cellStyle name="Normal 2 3 2 3 2 2 2" xfId="248"/>
    <cellStyle name="Normal 2 3 2 3 2 3" xfId="170"/>
    <cellStyle name="Normal 2 3 2 3 3" xfId="91"/>
    <cellStyle name="Normal 2 3 2 3 3 2" xfId="218"/>
    <cellStyle name="Normal 2 3 2 3 4" xfId="73"/>
    <cellStyle name="Normal 2 3 2 3 4 2" xfId="200"/>
    <cellStyle name="Normal 2 3 2 3 5" xfId="140"/>
    <cellStyle name="Normal 2 3 2 4" xfId="37"/>
    <cellStyle name="Normal 2 3 2 4 2" xfId="115"/>
    <cellStyle name="Normal 2 3 2 4 2 2" xfId="242"/>
    <cellStyle name="Normal 2 3 2 4 3" xfId="67"/>
    <cellStyle name="Normal 2 3 2 4 3 2" xfId="194"/>
    <cellStyle name="Normal 2 3 2 4 4" xfId="164"/>
    <cellStyle name="Normal 2 3 2 5" xfId="25"/>
    <cellStyle name="Normal 2 3 2 5 2" xfId="103"/>
    <cellStyle name="Normal 2 3 2 5 2 2" xfId="230"/>
    <cellStyle name="Normal 2 3 2 5 3" xfId="152"/>
    <cellStyle name="Normal 2 3 2 6" xfId="85"/>
    <cellStyle name="Normal 2 3 2 6 2" xfId="212"/>
    <cellStyle name="Normal 2 3 2 7" xfId="55"/>
    <cellStyle name="Normal 2 3 2 7 2" xfId="182"/>
    <cellStyle name="Normal 2 3 2 8" xfId="134"/>
    <cellStyle name="Normal 2 3 3" xfId="16"/>
    <cellStyle name="Normal 2 3 3 2" xfId="46"/>
    <cellStyle name="Normal 2 3 3 2 2" xfId="124"/>
    <cellStyle name="Normal 2 3 3 2 2 2" xfId="251"/>
    <cellStyle name="Normal 2 3 3 2 3" xfId="76"/>
    <cellStyle name="Normal 2 3 3 2 3 2" xfId="203"/>
    <cellStyle name="Normal 2 3 3 2 4" xfId="173"/>
    <cellStyle name="Normal 2 3 3 3" xfId="28"/>
    <cellStyle name="Normal 2 3 3 3 2" xfId="106"/>
    <cellStyle name="Normal 2 3 3 3 2 2" xfId="233"/>
    <cellStyle name="Normal 2 3 3 3 3" xfId="155"/>
    <cellStyle name="Normal 2 3 3 4" xfId="94"/>
    <cellStyle name="Normal 2 3 3 4 2" xfId="221"/>
    <cellStyle name="Normal 2 3 3 5" xfId="58"/>
    <cellStyle name="Normal 2 3 3 5 2" xfId="185"/>
    <cellStyle name="Normal 2 3 3 6" xfId="143"/>
    <cellStyle name="Normal 2 3 4" xfId="10"/>
    <cellStyle name="Normal 2 3 4 2" xfId="40"/>
    <cellStyle name="Normal 2 3 4 2 2" xfId="118"/>
    <cellStyle name="Normal 2 3 4 2 2 2" xfId="245"/>
    <cellStyle name="Normal 2 3 4 2 3" xfId="167"/>
    <cellStyle name="Normal 2 3 4 3" xfId="88"/>
    <cellStyle name="Normal 2 3 4 3 2" xfId="215"/>
    <cellStyle name="Normal 2 3 4 4" xfId="70"/>
    <cellStyle name="Normal 2 3 4 4 2" xfId="197"/>
    <cellStyle name="Normal 2 3 4 5" xfId="137"/>
    <cellStyle name="Normal 2 3 5" xfId="34"/>
    <cellStyle name="Normal 2 3 5 2" xfId="112"/>
    <cellStyle name="Normal 2 3 5 2 2" xfId="239"/>
    <cellStyle name="Normal 2 3 5 3" xfId="64"/>
    <cellStyle name="Normal 2 3 5 3 2" xfId="191"/>
    <cellStyle name="Normal 2 3 5 4" xfId="161"/>
    <cellStyle name="Normal 2 3 6" xfId="22"/>
    <cellStyle name="Normal 2 3 6 2" xfId="100"/>
    <cellStyle name="Normal 2 3 6 2 2" xfId="227"/>
    <cellStyle name="Normal 2 3 6 3" xfId="149"/>
    <cellStyle name="Normal 2 3 7" xfId="82"/>
    <cellStyle name="Normal 2 3 7 2" xfId="209"/>
    <cellStyle name="Normal 2 3 8" xfId="52"/>
    <cellStyle name="Normal 2 3 8 2" xfId="179"/>
    <cellStyle name="Normal 2 3 9" xfId="131"/>
    <cellStyle name="Normal 2 4" xfId="6"/>
    <cellStyle name="Normal 2 4 2" xfId="18"/>
    <cellStyle name="Normal 2 4 2 2" xfId="48"/>
    <cellStyle name="Normal 2 4 2 2 2" xfId="126"/>
    <cellStyle name="Normal 2 4 2 2 2 2" xfId="253"/>
    <cellStyle name="Normal 2 4 2 2 3" xfId="78"/>
    <cellStyle name="Normal 2 4 2 2 3 2" xfId="205"/>
    <cellStyle name="Normal 2 4 2 2 4" xfId="175"/>
    <cellStyle name="Normal 2 4 2 3" xfId="30"/>
    <cellStyle name="Normal 2 4 2 3 2" xfId="108"/>
    <cellStyle name="Normal 2 4 2 3 2 2" xfId="235"/>
    <cellStyle name="Normal 2 4 2 3 3" xfId="157"/>
    <cellStyle name="Normal 2 4 2 4" xfId="96"/>
    <cellStyle name="Normal 2 4 2 4 2" xfId="223"/>
    <cellStyle name="Normal 2 4 2 5" xfId="60"/>
    <cellStyle name="Normal 2 4 2 5 2" xfId="187"/>
    <cellStyle name="Normal 2 4 2 6" xfId="145"/>
    <cellStyle name="Normal 2 4 3" xfId="12"/>
    <cellStyle name="Normal 2 4 3 2" xfId="42"/>
    <cellStyle name="Normal 2 4 3 2 2" xfId="120"/>
    <cellStyle name="Normal 2 4 3 2 2 2" xfId="247"/>
    <cellStyle name="Normal 2 4 3 2 3" xfId="169"/>
    <cellStyle name="Normal 2 4 3 3" xfId="90"/>
    <cellStyle name="Normal 2 4 3 3 2" xfId="217"/>
    <cellStyle name="Normal 2 4 3 4" xfId="72"/>
    <cellStyle name="Normal 2 4 3 4 2" xfId="199"/>
    <cellStyle name="Normal 2 4 3 5" xfId="139"/>
    <cellStyle name="Normal 2 4 4" xfId="36"/>
    <cellStyle name="Normal 2 4 4 2" xfId="114"/>
    <cellStyle name="Normal 2 4 4 2 2" xfId="241"/>
    <cellStyle name="Normal 2 4 4 3" xfId="66"/>
    <cellStyle name="Normal 2 4 4 3 2" xfId="193"/>
    <cellStyle name="Normal 2 4 4 4" xfId="163"/>
    <cellStyle name="Normal 2 4 5" xfId="24"/>
    <cellStyle name="Normal 2 4 5 2" xfId="102"/>
    <cellStyle name="Normal 2 4 5 2 2" xfId="229"/>
    <cellStyle name="Normal 2 4 5 3" xfId="151"/>
    <cellStyle name="Normal 2 4 6" xfId="84"/>
    <cellStyle name="Normal 2 4 6 2" xfId="211"/>
    <cellStyle name="Normal 2 4 7" xfId="54"/>
    <cellStyle name="Normal 2 4 7 2" xfId="181"/>
    <cellStyle name="Normal 2 4 8" xfId="133"/>
    <cellStyle name="Normal 2 5" xfId="15"/>
    <cellStyle name="Normal 2 5 2" xfId="45"/>
    <cellStyle name="Normal 2 5 2 2" xfId="123"/>
    <cellStyle name="Normal 2 5 2 2 2" xfId="250"/>
    <cellStyle name="Normal 2 5 2 3" xfId="75"/>
    <cellStyle name="Normal 2 5 2 3 2" xfId="202"/>
    <cellStyle name="Normal 2 5 2 4" xfId="172"/>
    <cellStyle name="Normal 2 5 3" xfId="27"/>
    <cellStyle name="Normal 2 5 3 2" xfId="105"/>
    <cellStyle name="Normal 2 5 3 2 2" xfId="232"/>
    <cellStyle name="Normal 2 5 3 3" xfId="154"/>
    <cellStyle name="Normal 2 5 4" xfId="93"/>
    <cellStyle name="Normal 2 5 4 2" xfId="220"/>
    <cellStyle name="Normal 2 5 5" xfId="57"/>
    <cellStyle name="Normal 2 5 5 2" xfId="184"/>
    <cellStyle name="Normal 2 5 6" xfId="142"/>
    <cellStyle name="Normal 2 6" xfId="9"/>
    <cellStyle name="Normal 2 6 2" xfId="39"/>
    <cellStyle name="Normal 2 6 2 2" xfId="117"/>
    <cellStyle name="Normal 2 6 2 2 2" xfId="244"/>
    <cellStyle name="Normal 2 6 2 3" xfId="166"/>
    <cellStyle name="Normal 2 6 3" xfId="87"/>
    <cellStyle name="Normal 2 6 3 2" xfId="214"/>
    <cellStyle name="Normal 2 6 4" xfId="69"/>
    <cellStyle name="Normal 2 6 4 2" xfId="196"/>
    <cellStyle name="Normal 2 6 5" xfId="136"/>
    <cellStyle name="Normal 2 7" xfId="33"/>
    <cellStyle name="Normal 2 7 2" xfId="111"/>
    <cellStyle name="Normal 2 7 2 2" xfId="238"/>
    <cellStyle name="Normal 2 7 3" xfId="63"/>
    <cellStyle name="Normal 2 7 3 2" xfId="190"/>
    <cellStyle name="Normal 2 7 4" xfId="160"/>
    <cellStyle name="Normal 2 8" xfId="21"/>
    <cellStyle name="Normal 2 8 2" xfId="99"/>
    <cellStyle name="Normal 2 8 2 2" xfId="226"/>
    <cellStyle name="Normal 2 8 3" xfId="148"/>
    <cellStyle name="Normal 2 9" xfId="81"/>
    <cellStyle name="Normal 2 9 2" xfId="208"/>
    <cellStyle name="Normal 3" xfId="2"/>
    <cellStyle name="Normal 5 2" xfId="5"/>
  </cellStyles>
  <dxfs count="1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ill>
        <patternFill patternType="none">
          <bgColor indexed="65"/>
        </patternFill>
      </fill>
    </dxf>
    <dxf>
      <fill>
        <patternFill patternType="none">
          <bgColor indexed="65"/>
        </patternFill>
      </fill>
    </dxf>
    <dxf>
      <font>
        <condense val="0"/>
        <extend val="0"/>
        <color rgb="FF9C0006"/>
      </font>
      <fill>
        <patternFill>
          <bgColor rgb="FFFFC7CE"/>
        </patternFill>
      </fill>
    </dxf>
    <dxf>
      <fill>
        <patternFill patternType="none">
          <bgColor indexed="65"/>
        </patternFill>
      </fill>
    </dxf>
    <dxf>
      <font>
        <condense val="0"/>
        <extend val="0"/>
        <color rgb="FF9C0006"/>
      </font>
      <fill>
        <patternFill>
          <bgColor rgb="FFFFC7CE"/>
        </patternFill>
      </fill>
    </dxf>
    <dxf>
      <fill>
        <patternFill patternType="none">
          <bgColor indexed="65"/>
        </patternFill>
      </fill>
    </dxf>
    <dxf>
      <font>
        <b val="0"/>
        <i val="0"/>
        <color rgb="FFC00000"/>
      </font>
      <fill>
        <patternFill>
          <bgColor rgb="FFE9C2C1"/>
        </patternFill>
      </fill>
    </dxf>
    <dxf>
      <fill>
        <patternFill patternType="none">
          <bgColor indexed="65"/>
        </patternFill>
      </fill>
    </dxf>
    <dxf>
      <font>
        <b val="0"/>
        <i val="0"/>
        <color rgb="FFC00000"/>
      </font>
      <fill>
        <patternFill>
          <bgColor rgb="FFE9C2C1"/>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color rgb="FFC00000"/>
      </font>
      <fill>
        <patternFill>
          <bgColor theme="5" tint="0.59996337778862885"/>
        </patternFill>
      </fill>
    </dxf>
    <dxf>
      <font>
        <condense val="0"/>
        <extend val="0"/>
        <color rgb="FF9C0006"/>
      </font>
      <fill>
        <patternFill>
          <bgColor rgb="FFFFC7CE"/>
        </patternFill>
      </fill>
    </dxf>
    <dxf>
      <font>
        <color rgb="FFC00000"/>
      </font>
      <fill>
        <patternFill>
          <bgColor theme="5" tint="0.59996337778862885"/>
        </patternFill>
      </fill>
    </dxf>
    <dxf>
      <font>
        <condense val="0"/>
        <extend val="0"/>
        <color rgb="FF9C0006"/>
      </font>
      <fill>
        <patternFill>
          <bgColor rgb="FFFFC7CE"/>
        </patternFill>
      </fill>
    </dxf>
    <dxf>
      <font>
        <color rgb="FFC00000"/>
      </font>
      <fill>
        <patternFill>
          <bgColor theme="5" tint="0.59996337778862885"/>
        </patternFill>
      </fill>
    </dxf>
    <dxf>
      <font>
        <condense val="0"/>
        <extend val="0"/>
        <color rgb="FF9C0006"/>
      </font>
      <fill>
        <patternFill>
          <bgColor rgb="FFFFC7CE"/>
        </patternFill>
      </fill>
    </dxf>
    <dxf>
      <font>
        <color rgb="FFC00000"/>
      </font>
      <fill>
        <patternFill>
          <bgColor theme="5" tint="0.59996337778862885"/>
        </patternFill>
      </fill>
    </dxf>
    <dxf>
      <font>
        <condense val="0"/>
        <extend val="0"/>
        <color rgb="FF9C0006"/>
      </font>
      <fill>
        <patternFill>
          <bgColor rgb="FFFFC7CE"/>
        </patternFill>
      </fill>
    </dxf>
    <dxf>
      <fill>
        <patternFill patternType="none">
          <bgColor indexed="65"/>
        </patternFill>
      </fill>
    </dxf>
    <dxf>
      <font>
        <b val="0"/>
        <i val="0"/>
        <color rgb="FFC00000"/>
      </font>
      <fill>
        <patternFill>
          <bgColor rgb="FFE9C2C1"/>
        </patternFill>
      </fill>
    </dxf>
    <dxf>
      <font>
        <color theme="5"/>
      </font>
      <fill>
        <patternFill>
          <bgColor theme="5" tint="0.79998168889431442"/>
        </patternFill>
      </fill>
    </dxf>
    <dxf>
      <font>
        <strike val="0"/>
        <color theme="5"/>
      </font>
      <fill>
        <patternFill>
          <bgColor theme="5" tint="0.79998168889431442"/>
        </patternFill>
      </fill>
    </dxf>
    <dxf>
      <fill>
        <patternFill patternType="none">
          <bgColor indexed="65"/>
        </patternFill>
      </fill>
    </dxf>
    <dxf>
      <font>
        <b val="0"/>
        <i val="0"/>
        <color rgb="FFC00000"/>
      </font>
      <fill>
        <patternFill>
          <bgColor rgb="FFE9C2C1"/>
        </patternFill>
      </fill>
    </dxf>
    <dxf>
      <fill>
        <patternFill patternType="none">
          <bgColor indexed="65"/>
        </patternFill>
      </fill>
    </dxf>
    <dxf>
      <font>
        <b val="0"/>
        <i val="0"/>
        <color rgb="FFC00000"/>
      </font>
      <fill>
        <patternFill>
          <bgColor rgb="FFE9C2C1"/>
        </patternFill>
      </fill>
    </dxf>
    <dxf>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ill>
        <patternFill patternType="none">
          <bgColor indexed="65"/>
        </patternFill>
      </fill>
    </dxf>
    <dxf>
      <font>
        <color rgb="FFC00000"/>
      </font>
      <fill>
        <patternFill>
          <bgColor theme="5" tint="0.59996337778862885"/>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b/>
        <i val="0"/>
        <color theme="5" tint="-0.24994659260841701"/>
      </font>
      <fill>
        <patternFill>
          <bgColor theme="5" tint="0.59996337778862885"/>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b/>
        <i val="0"/>
        <color theme="5" tint="-0.24994659260841701"/>
      </font>
      <fill>
        <patternFill>
          <bgColor theme="5"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b/>
        <i val="0"/>
        <color theme="5" tint="-0.24994659260841701"/>
      </font>
      <fill>
        <patternFill>
          <bgColor theme="5" tint="0.59996337778862885"/>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b/>
        <i val="0"/>
        <color theme="5" tint="-0.24994659260841701"/>
      </font>
      <fill>
        <patternFill>
          <bgColor theme="5" tint="0.59996337778862885"/>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b/>
        <i val="0"/>
        <color theme="5" tint="-0.24994659260841701"/>
      </font>
      <fill>
        <patternFill>
          <bgColor theme="5"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006100"/>
      </font>
      <fill>
        <patternFill>
          <fgColor rgb="FFC6E6CE"/>
          <bgColor rgb="FFCCFF99"/>
        </patternFill>
      </fill>
    </dxf>
    <dxf>
      <font>
        <b/>
        <i val="0"/>
        <color rgb="FF9C0006"/>
      </font>
      <fill>
        <patternFill>
          <fgColor rgb="FFFFC7CE"/>
          <bgColor rgb="FFFF99CC"/>
        </patternFill>
      </fill>
    </dxf>
    <dxf>
      <font>
        <b/>
        <i val="0"/>
        <color rgb="FF006100"/>
      </font>
      <fill>
        <patternFill>
          <fgColor rgb="FFC6EFCE"/>
          <bgColor rgb="FFCCFF99"/>
        </patternFill>
      </fill>
    </dxf>
    <dxf>
      <font>
        <b/>
        <i val="0"/>
        <color rgb="FF9C0006"/>
      </font>
      <fill>
        <patternFill>
          <fgColor rgb="FFFFC7CE"/>
          <bgColor rgb="FFFF99CC"/>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FFC7CE"/>
      <color rgb="FF9C0006"/>
      <color rgb="FFC6E6CE"/>
      <color rgb="FF006100"/>
      <color rgb="FFC6EFCE"/>
      <color rgb="FFCCFF99"/>
      <color rgb="FFFF99CC"/>
      <color rgb="FF8E0000"/>
      <color rgb="FFFF66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200" b="0" i="0" u="none" strike="noStrike" baseline="0">
                <a:effectLst/>
              </a:rPr>
              <a:t>Original </a:t>
            </a:r>
            <a:r>
              <a:rPr lang="en-US"/>
              <a:t>Envelope Curves for 
Abutment Scour by Contraction Ratio</a:t>
            </a:r>
          </a:p>
        </c:rich>
      </c:tx>
      <c:layout>
        <c:manualLayout>
          <c:xMode val="edge"/>
          <c:yMode val="edge"/>
          <c:x val="4.0733197556008439E-2"/>
          <c:y val="3.9565535789507791E-2"/>
        </c:manualLayout>
      </c:layout>
      <c:overlay val="0"/>
      <c:spPr>
        <a:noFill/>
        <a:ln w="25400">
          <a:noFill/>
        </a:ln>
      </c:spPr>
    </c:title>
    <c:autoTitleDeleted val="0"/>
    <c:plotArea>
      <c:layout>
        <c:manualLayout>
          <c:layoutTarget val="inner"/>
          <c:xMode val="edge"/>
          <c:yMode val="edge"/>
          <c:x val="0.1452817379497624"/>
          <c:y val="0.22111631151001232"/>
          <c:w val="0.81873727087576376"/>
          <c:h val="0.62839505611644553"/>
        </c:manualLayout>
      </c:layout>
      <c:scatterChart>
        <c:scatterStyle val="lineMarker"/>
        <c:varyColors val="0"/>
        <c:ser>
          <c:idx val="0"/>
          <c:order val="0"/>
          <c:tx>
            <c:v>Coatal Plain Sands Envelope</c:v>
          </c:tx>
          <c:spPr>
            <a:ln w="28575">
              <a:noFill/>
            </a:ln>
          </c:spPr>
          <c:marker>
            <c:symbol val="none"/>
          </c:marker>
          <c:trendline>
            <c:name>Coastal Plain  Envelope</c:name>
            <c:spPr>
              <a:ln w="25400">
                <a:solidFill>
                  <a:srgbClr val="969696"/>
                </a:solidFill>
                <a:prstDash val="solid"/>
              </a:ln>
            </c:spPr>
            <c:trendlineType val="poly"/>
            <c:order val="3"/>
            <c:intercept val="0"/>
            <c:dispRSqr val="0"/>
            <c:dispEq val="0"/>
          </c:trendline>
          <c:xVal>
            <c:numRef>
              <c:f>'Graph Data'!$F$121:$F$129</c:f>
              <c:numCache>
                <c:formatCode>0.00</c:formatCode>
                <c:ptCount val="9"/>
                <c:pt idx="0" formatCode="General">
                  <c:v>0</c:v>
                </c:pt>
                <c:pt idx="1">
                  <c:v>0.31900000000000001</c:v>
                </c:pt>
                <c:pt idx="2">
                  <c:v>0.67400000000000004</c:v>
                </c:pt>
                <c:pt idx="3">
                  <c:v>0.77</c:v>
                </c:pt>
                <c:pt idx="4">
                  <c:v>0.81</c:v>
                </c:pt>
                <c:pt idx="5">
                  <c:v>0.82</c:v>
                </c:pt>
                <c:pt idx="6" formatCode="General">
                  <c:v>0.98</c:v>
                </c:pt>
              </c:numCache>
            </c:numRef>
          </c:xVal>
          <c:yVal>
            <c:numRef>
              <c:f>'Graph Data'!$G$121:$G$129</c:f>
              <c:numCache>
                <c:formatCode>0.00</c:formatCode>
                <c:ptCount val="9"/>
                <c:pt idx="0" formatCode="General">
                  <c:v>0</c:v>
                </c:pt>
                <c:pt idx="1">
                  <c:v>1.6920087995800002</c:v>
                </c:pt>
                <c:pt idx="2">
                  <c:v>8.1762853188800015</c:v>
                </c:pt>
                <c:pt idx="3">
                  <c:v>11.749859660000002</c:v>
                </c:pt>
                <c:pt idx="4">
                  <c:v>13.546652220000004</c:v>
                </c:pt>
                <c:pt idx="5">
                  <c:v>14.026303359999998</c:v>
                </c:pt>
                <c:pt idx="6" formatCode="General">
                  <c:v>23.53</c:v>
                </c:pt>
              </c:numCache>
            </c:numRef>
          </c:yVal>
          <c:smooth val="0"/>
        </c:ser>
        <c:ser>
          <c:idx val="1"/>
          <c:order val="1"/>
          <c:tx>
            <c:v>Piedmont</c:v>
          </c:tx>
          <c:spPr>
            <a:ln w="28575">
              <a:noFill/>
            </a:ln>
          </c:spPr>
          <c:marker>
            <c:symbol val="none"/>
          </c:marker>
          <c:trendline>
            <c:name>Piedmont Envelope</c:name>
            <c:spPr>
              <a:ln w="25400">
                <a:solidFill>
                  <a:srgbClr val="000000"/>
                </a:solidFill>
                <a:prstDash val="solid"/>
              </a:ln>
            </c:spPr>
            <c:trendlineType val="poly"/>
            <c:order val="2"/>
            <c:intercept val="0"/>
            <c:dispRSqr val="0"/>
            <c:dispEq val="0"/>
          </c:trendline>
          <c:xVal>
            <c:numRef>
              <c:f>'Graph Data'!$I$121:$I$127</c:f>
              <c:numCache>
                <c:formatCode>General</c:formatCode>
                <c:ptCount val="7"/>
                <c:pt idx="0">
                  <c:v>0</c:v>
                </c:pt>
                <c:pt idx="1">
                  <c:v>2.1999999999999999E-2</c:v>
                </c:pt>
                <c:pt idx="2">
                  <c:v>0.372</c:v>
                </c:pt>
                <c:pt idx="3">
                  <c:v>0.66800000000000004</c:v>
                </c:pt>
                <c:pt idx="6">
                  <c:v>0.81699999999999995</c:v>
                </c:pt>
              </c:numCache>
            </c:numRef>
          </c:xVal>
          <c:yVal>
            <c:numRef>
              <c:f>'Graph Data'!$J$121:$J$127</c:f>
              <c:numCache>
                <c:formatCode>General</c:formatCode>
                <c:ptCount val="7"/>
                <c:pt idx="0">
                  <c:v>0</c:v>
                </c:pt>
                <c:pt idx="1">
                  <c:v>0.6</c:v>
                </c:pt>
                <c:pt idx="2">
                  <c:v>4.5999999999999996</c:v>
                </c:pt>
                <c:pt idx="3">
                  <c:v>13.7</c:v>
                </c:pt>
                <c:pt idx="6">
                  <c:v>18</c:v>
                </c:pt>
              </c:numCache>
            </c:numRef>
          </c:yVal>
          <c:smooth val="0"/>
        </c:ser>
        <c:ser>
          <c:idx val="3"/>
          <c:order val="2"/>
          <c:tx>
            <c:v>Left Abutment</c:v>
          </c:tx>
          <c:spPr>
            <a:ln w="12700">
              <a:solidFill>
                <a:srgbClr val="FF0000"/>
              </a:solidFill>
              <a:prstDash val="lgDashDotDot"/>
            </a:ln>
          </c:spPr>
          <c:marker>
            <c:symbol val="none"/>
          </c:marker>
          <c:xVal>
            <c:strRef>
              <c:f>'Graph Data'!$F$21:$F$23</c:f>
              <c:strCache>
                <c:ptCount val="3"/>
                <c:pt idx="0">
                  <c:v>0</c:v>
                </c:pt>
                <c:pt idx="1">
                  <c:v>No Data</c:v>
                </c:pt>
                <c:pt idx="2">
                  <c:v>No Data</c:v>
                </c:pt>
              </c:strCache>
            </c:strRef>
          </c:xVal>
          <c:yVal>
            <c:numRef>
              <c:f>'Graph Data'!$G$21:$G$23</c:f>
              <c:numCache>
                <c:formatCode>0.0</c:formatCode>
                <c:ptCount val="3"/>
                <c:pt idx="0">
                  <c:v>0</c:v>
                </c:pt>
                <c:pt idx="1">
                  <c:v>0</c:v>
                </c:pt>
                <c:pt idx="2" formatCode="General">
                  <c:v>0</c:v>
                </c:pt>
              </c:numCache>
            </c:numRef>
          </c:yVal>
          <c:smooth val="0"/>
        </c:ser>
        <c:ser>
          <c:idx val="4"/>
          <c:order val="3"/>
          <c:tx>
            <c:v>Right Abutment</c:v>
          </c:tx>
          <c:spPr>
            <a:ln w="12700">
              <a:solidFill>
                <a:srgbClr val="3366FF"/>
              </a:solidFill>
              <a:prstDash val="lgDashDot"/>
            </a:ln>
          </c:spPr>
          <c:marker>
            <c:symbol val="none"/>
          </c:marker>
          <c:xVal>
            <c:strRef>
              <c:f>'Graph Data'!$J$21:$J$23</c:f>
              <c:strCache>
                <c:ptCount val="3"/>
                <c:pt idx="0">
                  <c:v>0</c:v>
                </c:pt>
                <c:pt idx="1">
                  <c:v>No Data</c:v>
                </c:pt>
                <c:pt idx="2">
                  <c:v>No Data</c:v>
                </c:pt>
              </c:strCache>
            </c:strRef>
          </c:xVal>
          <c:yVal>
            <c:numRef>
              <c:f>'Graph Data'!$K$21:$K$23</c:f>
              <c:numCache>
                <c:formatCode>0.0</c:formatCode>
                <c:ptCount val="3"/>
                <c:pt idx="0">
                  <c:v>0</c:v>
                </c:pt>
                <c:pt idx="1">
                  <c:v>0</c:v>
                </c:pt>
                <c:pt idx="2" formatCode="General">
                  <c:v>0</c:v>
                </c:pt>
              </c:numCache>
            </c:numRef>
          </c:yVal>
          <c:smooth val="0"/>
        </c:ser>
        <c:ser>
          <c:idx val="2"/>
          <c:order val="4"/>
          <c:tx>
            <c:v>5 ft breakline</c:v>
          </c:tx>
          <c:spPr>
            <a:ln w="25400">
              <a:solidFill>
                <a:srgbClr val="000000"/>
              </a:solidFill>
              <a:prstDash val="lgDash"/>
            </a:ln>
          </c:spPr>
          <c:marker>
            <c:symbol val="none"/>
          </c:marker>
          <c:xVal>
            <c:numRef>
              <c:f>'Graph Data'!$M$21:$M$22</c:f>
              <c:numCache>
                <c:formatCode>General</c:formatCode>
                <c:ptCount val="2"/>
                <c:pt idx="0">
                  <c:v>0</c:v>
                </c:pt>
                <c:pt idx="1">
                  <c:v>0.37</c:v>
                </c:pt>
              </c:numCache>
            </c:numRef>
          </c:xVal>
          <c:yVal>
            <c:numRef>
              <c:f>'Graph Data'!$N$21:$N$22</c:f>
              <c:numCache>
                <c:formatCode>General</c:formatCode>
                <c:ptCount val="2"/>
                <c:pt idx="0">
                  <c:v>5</c:v>
                </c:pt>
                <c:pt idx="1">
                  <c:v>5</c:v>
                </c:pt>
              </c:numCache>
            </c:numRef>
          </c:yVal>
          <c:smooth val="0"/>
        </c:ser>
        <c:dLbls>
          <c:showLegendKey val="0"/>
          <c:showVal val="0"/>
          <c:showCatName val="0"/>
          <c:showSerName val="0"/>
          <c:showPercent val="0"/>
          <c:showBubbleSize val="0"/>
        </c:dLbls>
        <c:axId val="188092920"/>
        <c:axId val="188093312"/>
      </c:scatterChart>
      <c:valAx>
        <c:axId val="188092920"/>
        <c:scaling>
          <c:orientation val="minMax"/>
          <c:max val="1"/>
        </c:scaling>
        <c:delete val="0"/>
        <c:axPos val="b"/>
        <c:title>
          <c:tx>
            <c:rich>
              <a:bodyPr/>
              <a:lstStyle/>
              <a:p>
                <a:pPr>
                  <a:defRPr sz="800" b="0" i="0" u="none" strike="noStrike" baseline="0">
                    <a:solidFill>
                      <a:srgbClr val="000000"/>
                    </a:solidFill>
                    <a:latin typeface="Arial"/>
                    <a:ea typeface="Arial"/>
                    <a:cs typeface="Arial"/>
                  </a:defRPr>
                </a:pPr>
                <a:r>
                  <a:rPr lang="en-US"/>
                  <a:t>GEOMETRIC-CONTRACTION RATIO</a:t>
                </a:r>
              </a:p>
            </c:rich>
          </c:tx>
          <c:layout>
            <c:manualLayout>
              <c:xMode val="edge"/>
              <c:yMode val="edge"/>
              <c:x val="0.36931432450780721"/>
              <c:y val="0.91000920179095268"/>
            </c:manualLayout>
          </c:layout>
          <c:overlay val="0"/>
          <c:spPr>
            <a:noFill/>
            <a:ln w="25400">
              <a:noFill/>
            </a:ln>
          </c:spPr>
        </c:title>
        <c:numFmt formatCode="#,##0.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88093312"/>
        <c:crosses val="autoZero"/>
        <c:crossBetween val="midCat"/>
        <c:majorUnit val="0.2"/>
        <c:minorUnit val="0.1"/>
      </c:valAx>
      <c:valAx>
        <c:axId val="188093312"/>
        <c:scaling>
          <c:orientation val="minMax"/>
          <c:max val="25"/>
        </c:scaling>
        <c:delete val="0"/>
        <c:axPos val="l"/>
        <c:title>
          <c:tx>
            <c:rich>
              <a:bodyPr/>
              <a:lstStyle/>
              <a:p>
                <a:pPr>
                  <a:defRPr sz="800" b="0" i="0" u="none" strike="noStrike" baseline="0">
                    <a:solidFill>
                      <a:srgbClr val="000000"/>
                    </a:solidFill>
                    <a:latin typeface="Arial"/>
                    <a:ea typeface="Arial"/>
                    <a:cs typeface="Arial"/>
                  </a:defRPr>
                </a:pPr>
                <a:r>
                  <a:rPr lang="en-US"/>
                  <a:t>ABUTMENT-SCOUR DEPTH, IN FEET</a:t>
                </a:r>
              </a:p>
            </c:rich>
          </c:tx>
          <c:layout>
            <c:manualLayout>
              <c:xMode val="edge"/>
              <c:yMode val="edge"/>
              <c:x val="4.4806517311609124E-2"/>
              <c:y val="0.29557823790544918"/>
            </c:manualLayout>
          </c:layout>
          <c:overlay val="0"/>
          <c:spPr>
            <a:noFill/>
            <a:ln w="25400">
              <a:noFill/>
            </a:ln>
          </c:spPr>
        </c:title>
        <c:numFmt formatCode="General" sourceLinked="1"/>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88092920"/>
        <c:crosses val="autoZero"/>
        <c:crossBetween val="midCat"/>
        <c:majorUnit val="5"/>
        <c:minorUnit val="1"/>
      </c:valAx>
      <c:spPr>
        <a:noFill/>
        <a:ln w="12700">
          <a:solidFill>
            <a:srgbClr val="000000"/>
          </a:solidFill>
          <a:prstDash val="solid"/>
        </a:ln>
      </c:spPr>
    </c:plotArea>
    <c:legend>
      <c:legendPos val="r"/>
      <c:legendEntry>
        <c:idx val="0"/>
        <c:delete val="1"/>
      </c:legendEntry>
      <c:legendEntry>
        <c:idx val="1"/>
        <c:delete val="1"/>
      </c:legendEntry>
      <c:layout>
        <c:manualLayout>
          <c:xMode val="edge"/>
          <c:yMode val="edge"/>
          <c:x val="0.59877800407331971"/>
          <c:y val="1.1636952788308869E-2"/>
          <c:w val="0.3930753564154788"/>
          <c:h val="0.1908459220375232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orientation="landscape" horizontalDpi="-3"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Modified Envelope Curves for </a:t>
            </a:r>
            <a:br>
              <a:rPr lang="en-US"/>
            </a:br>
            <a:r>
              <a:rPr lang="en-US"/>
              <a:t>Abutment Scour by</a:t>
            </a:r>
          </a:p>
          <a:p>
            <a:pPr>
              <a:defRPr sz="1200" b="0" i="0" u="none" strike="noStrike" baseline="0">
                <a:solidFill>
                  <a:srgbClr val="000000"/>
                </a:solidFill>
                <a:latin typeface="Arial"/>
                <a:ea typeface="Arial"/>
                <a:cs typeface="Arial"/>
              </a:defRPr>
            </a:pPr>
            <a:r>
              <a:rPr lang="en-US"/>
              <a:t>Embankment-Length Category</a:t>
            </a:r>
          </a:p>
          <a:p>
            <a:pPr>
              <a:defRPr sz="1200" b="0" i="0" u="none" strike="noStrike" baseline="0">
                <a:solidFill>
                  <a:srgbClr val="000000"/>
                </a:solidFill>
                <a:latin typeface="Arial"/>
                <a:ea typeface="Arial"/>
                <a:cs typeface="Arial"/>
              </a:defRPr>
            </a:pPr>
            <a:r>
              <a:rPr lang="en-US" sz="1600" b="1"/>
              <a:t>Coastal Plain</a:t>
            </a:r>
          </a:p>
        </c:rich>
      </c:tx>
      <c:layout>
        <c:manualLayout>
          <c:xMode val="edge"/>
          <c:yMode val="edge"/>
          <c:x val="5.7026476578411409E-2"/>
          <c:y val="1.0560396677499724E-2"/>
        </c:manualLayout>
      </c:layout>
      <c:overlay val="0"/>
      <c:spPr>
        <a:noFill/>
        <a:ln w="25400">
          <a:noFill/>
        </a:ln>
      </c:spPr>
    </c:title>
    <c:autoTitleDeleted val="0"/>
    <c:plotArea>
      <c:layout>
        <c:manualLayout>
          <c:layoutTarget val="inner"/>
          <c:xMode val="edge"/>
          <c:yMode val="edge"/>
          <c:x val="0.13985064494229463"/>
          <c:y val="0.24528354204300329"/>
          <c:w val="0.81873727087576376"/>
          <c:h val="0.62839505611644553"/>
        </c:manualLayout>
      </c:layout>
      <c:scatterChart>
        <c:scatterStyle val="lineMarker"/>
        <c:varyColors val="0"/>
        <c:ser>
          <c:idx val="0"/>
          <c:order val="0"/>
          <c:tx>
            <c:v>Coatal Plain Sands Envelope</c:v>
          </c:tx>
          <c:spPr>
            <a:ln w="28575">
              <a:noFill/>
            </a:ln>
          </c:spPr>
          <c:marker>
            <c:symbol val="none"/>
          </c:marker>
          <c:trendline>
            <c:name>Original Coastal Plain  Envelope Curve</c:name>
            <c:spPr>
              <a:ln w="25400">
                <a:solidFill>
                  <a:srgbClr val="969696"/>
                </a:solidFill>
                <a:prstDash val="solid"/>
              </a:ln>
            </c:spPr>
            <c:trendlineType val="poly"/>
            <c:order val="3"/>
            <c:intercept val="0"/>
            <c:dispRSqr val="0"/>
            <c:dispEq val="0"/>
          </c:trendline>
          <c:xVal>
            <c:numRef>
              <c:f>'Graph Data'!$F$121:$F$129</c:f>
              <c:numCache>
                <c:formatCode>0.00</c:formatCode>
                <c:ptCount val="9"/>
                <c:pt idx="0" formatCode="General">
                  <c:v>0</c:v>
                </c:pt>
                <c:pt idx="1">
                  <c:v>0.31900000000000001</c:v>
                </c:pt>
                <c:pt idx="2">
                  <c:v>0.67400000000000004</c:v>
                </c:pt>
                <c:pt idx="3">
                  <c:v>0.77</c:v>
                </c:pt>
                <c:pt idx="4">
                  <c:v>0.81</c:v>
                </c:pt>
                <c:pt idx="5">
                  <c:v>0.82</c:v>
                </c:pt>
                <c:pt idx="6" formatCode="General">
                  <c:v>0.98</c:v>
                </c:pt>
              </c:numCache>
            </c:numRef>
          </c:xVal>
          <c:yVal>
            <c:numRef>
              <c:f>'Graph Data'!$G$121:$G$129</c:f>
              <c:numCache>
                <c:formatCode>0.00</c:formatCode>
                <c:ptCount val="9"/>
                <c:pt idx="0" formatCode="General">
                  <c:v>0</c:v>
                </c:pt>
                <c:pt idx="1">
                  <c:v>1.6920087995800002</c:v>
                </c:pt>
                <c:pt idx="2">
                  <c:v>8.1762853188800015</c:v>
                </c:pt>
                <c:pt idx="3">
                  <c:v>11.749859660000002</c:v>
                </c:pt>
                <c:pt idx="4">
                  <c:v>13.546652220000004</c:v>
                </c:pt>
                <c:pt idx="5">
                  <c:v>14.026303359999998</c:v>
                </c:pt>
                <c:pt idx="6" formatCode="General">
                  <c:v>23.53</c:v>
                </c:pt>
              </c:numCache>
            </c:numRef>
          </c:yVal>
          <c:smooth val="0"/>
        </c:ser>
        <c:ser>
          <c:idx val="1"/>
          <c:order val="1"/>
          <c:tx>
            <c:v>Piedmont</c:v>
          </c:tx>
          <c:spPr>
            <a:ln w="28575">
              <a:noFill/>
            </a:ln>
          </c:spPr>
          <c:marker>
            <c:symbol val="none"/>
          </c:marker>
          <c:xVal>
            <c:numRef>
              <c:f>'Graph Data'!$I$121:$I$127</c:f>
              <c:numCache>
                <c:formatCode>General</c:formatCode>
                <c:ptCount val="7"/>
                <c:pt idx="0">
                  <c:v>0</c:v>
                </c:pt>
                <c:pt idx="1">
                  <c:v>2.1999999999999999E-2</c:v>
                </c:pt>
                <c:pt idx="2">
                  <c:v>0.372</c:v>
                </c:pt>
                <c:pt idx="3">
                  <c:v>0.66800000000000004</c:v>
                </c:pt>
                <c:pt idx="6">
                  <c:v>0.81699999999999995</c:v>
                </c:pt>
              </c:numCache>
            </c:numRef>
          </c:xVal>
          <c:yVal>
            <c:numRef>
              <c:f>'Graph Data'!$J$121:$J$127</c:f>
              <c:numCache>
                <c:formatCode>General</c:formatCode>
                <c:ptCount val="7"/>
                <c:pt idx="0">
                  <c:v>0</c:v>
                </c:pt>
                <c:pt idx="1">
                  <c:v>0.6</c:v>
                </c:pt>
                <c:pt idx="2">
                  <c:v>4.5999999999999996</c:v>
                </c:pt>
                <c:pt idx="3">
                  <c:v>13.7</c:v>
                </c:pt>
                <c:pt idx="6">
                  <c:v>18</c:v>
                </c:pt>
              </c:numCache>
            </c:numRef>
          </c:yVal>
          <c:smooth val="0"/>
        </c:ser>
        <c:ser>
          <c:idx val="3"/>
          <c:order val="2"/>
          <c:tx>
            <c:v>Left Abutment (by Category)</c:v>
          </c:tx>
          <c:spPr>
            <a:ln w="12700">
              <a:solidFill>
                <a:srgbClr val="FF0000"/>
              </a:solidFill>
              <a:prstDash val="lgDashDotDot"/>
            </a:ln>
          </c:spPr>
          <c:marker>
            <c:symbol val="none"/>
          </c:marker>
          <c:xVal>
            <c:numRef>
              <c:f>'Graph Data'!$J$37:$J$39</c:f>
              <c:numCache>
                <c:formatCode>0.00</c:formatCode>
                <c:ptCount val="3"/>
                <c:pt idx="0" formatCode="General">
                  <c:v>0</c:v>
                </c:pt>
                <c:pt idx="1">
                  <c:v>0</c:v>
                </c:pt>
                <c:pt idx="2">
                  <c:v>0</c:v>
                </c:pt>
              </c:numCache>
            </c:numRef>
          </c:xVal>
          <c:yVal>
            <c:numRef>
              <c:f>'Graph Data'!$K$37:$K$39</c:f>
              <c:numCache>
                <c:formatCode>0.0</c:formatCode>
                <c:ptCount val="3"/>
                <c:pt idx="0">
                  <c:v>0</c:v>
                </c:pt>
                <c:pt idx="1">
                  <c:v>0</c:v>
                </c:pt>
                <c:pt idx="2" formatCode="General">
                  <c:v>0</c:v>
                </c:pt>
              </c:numCache>
            </c:numRef>
          </c:yVal>
          <c:smooth val="0"/>
        </c:ser>
        <c:ser>
          <c:idx val="4"/>
          <c:order val="3"/>
          <c:tx>
            <c:v>Right Abutment (by Category)</c:v>
          </c:tx>
          <c:spPr>
            <a:ln w="12700">
              <a:solidFill>
                <a:srgbClr val="3366FF"/>
              </a:solidFill>
              <a:prstDash val="lgDashDot"/>
            </a:ln>
          </c:spPr>
          <c:marker>
            <c:symbol val="none"/>
          </c:marker>
          <c:xVal>
            <c:numRef>
              <c:f>'Graph Data'!$M$37:$M$39</c:f>
              <c:numCache>
                <c:formatCode>0.00</c:formatCode>
                <c:ptCount val="3"/>
                <c:pt idx="0" formatCode="General">
                  <c:v>0</c:v>
                </c:pt>
                <c:pt idx="1">
                  <c:v>0</c:v>
                </c:pt>
                <c:pt idx="2">
                  <c:v>0</c:v>
                </c:pt>
              </c:numCache>
            </c:numRef>
          </c:xVal>
          <c:yVal>
            <c:numRef>
              <c:f>'Graph Data'!$N$37:$N$39</c:f>
              <c:numCache>
                <c:formatCode>0.0</c:formatCode>
                <c:ptCount val="3"/>
                <c:pt idx="0">
                  <c:v>0</c:v>
                </c:pt>
                <c:pt idx="1">
                  <c:v>0</c:v>
                </c:pt>
                <c:pt idx="2" formatCode="General">
                  <c:v>0</c:v>
                </c:pt>
              </c:numCache>
            </c:numRef>
          </c:yVal>
          <c:smooth val="0"/>
        </c:ser>
        <c:ser>
          <c:idx val="2"/>
          <c:order val="4"/>
          <c:tx>
            <c:v>L&lt;=100 feet</c:v>
          </c:tx>
          <c:spPr>
            <a:ln w="12700">
              <a:solidFill>
                <a:srgbClr val="000000"/>
              </a:solidFill>
            </a:ln>
          </c:spPr>
          <c:marker>
            <c:symbol val="none"/>
          </c:marker>
          <c:xVal>
            <c:numRef>
              <c:f>'Graph Data'!$Q$156:$Q$161</c:f>
              <c:numCache>
                <c:formatCode>0.00</c:formatCode>
                <c:ptCount val="6"/>
                <c:pt idx="0">
                  <c:v>0.25</c:v>
                </c:pt>
                <c:pt idx="1">
                  <c:v>0.49</c:v>
                </c:pt>
                <c:pt idx="2">
                  <c:v>0.65</c:v>
                </c:pt>
                <c:pt idx="3">
                  <c:v>0.76</c:v>
                </c:pt>
                <c:pt idx="4">
                  <c:v>0.84</c:v>
                </c:pt>
                <c:pt idx="5">
                  <c:v>0.9</c:v>
                </c:pt>
              </c:numCache>
            </c:numRef>
          </c:xVal>
          <c:yVal>
            <c:numRef>
              <c:f>'Graph Data'!$R$156:$R$161</c:f>
              <c:numCache>
                <c:formatCode>0.00</c:formatCode>
                <c:ptCount val="6"/>
                <c:pt idx="0">
                  <c:v>1.2224999999999999</c:v>
                </c:pt>
                <c:pt idx="1">
                  <c:v>1.5689639999999998</c:v>
                </c:pt>
                <c:pt idx="2">
                  <c:v>2.0968999999999998</c:v>
                </c:pt>
                <c:pt idx="3">
                  <c:v>2.597664</c:v>
                </c:pt>
                <c:pt idx="4">
                  <c:v>3.0323839999999991</c:v>
                </c:pt>
                <c:pt idx="5">
                  <c:v>3.3974000000000002</c:v>
                </c:pt>
              </c:numCache>
            </c:numRef>
          </c:yVal>
          <c:smooth val="0"/>
        </c:ser>
        <c:ser>
          <c:idx val="5"/>
          <c:order val="5"/>
          <c:tx>
            <c:v>L&lt;= 200 feet</c:v>
          </c:tx>
          <c:spPr>
            <a:ln w="12700">
              <a:solidFill>
                <a:srgbClr val="000000"/>
              </a:solidFill>
            </a:ln>
          </c:spPr>
          <c:marker>
            <c:symbol val="none"/>
          </c:marker>
          <c:xVal>
            <c:numRef>
              <c:f>'Graph Data'!$Q$156:$Q$161</c:f>
              <c:numCache>
                <c:formatCode>0.00</c:formatCode>
                <c:ptCount val="6"/>
                <c:pt idx="0">
                  <c:v>0.25</c:v>
                </c:pt>
                <c:pt idx="1">
                  <c:v>0.49</c:v>
                </c:pt>
                <c:pt idx="2">
                  <c:v>0.65</c:v>
                </c:pt>
                <c:pt idx="3">
                  <c:v>0.76</c:v>
                </c:pt>
                <c:pt idx="4">
                  <c:v>0.84</c:v>
                </c:pt>
                <c:pt idx="5">
                  <c:v>0.9</c:v>
                </c:pt>
              </c:numCache>
            </c:numRef>
          </c:xVal>
          <c:yVal>
            <c:numRef>
              <c:f>'Graph Data'!$S$156:$S$161</c:f>
              <c:numCache>
                <c:formatCode>0.00</c:formatCode>
                <c:ptCount val="6"/>
                <c:pt idx="1">
                  <c:v>3.8402119999999997</c:v>
                </c:pt>
                <c:pt idx="2">
                  <c:v>4.6157000000000004</c:v>
                </c:pt>
                <c:pt idx="3">
                  <c:v>5.4197119999999996</c:v>
                </c:pt>
                <c:pt idx="4">
                  <c:v>6.1430719999999983</c:v>
                </c:pt>
                <c:pt idx="5">
                  <c:v>6.7622</c:v>
                </c:pt>
              </c:numCache>
            </c:numRef>
          </c:yVal>
          <c:smooth val="0"/>
        </c:ser>
        <c:ser>
          <c:idx val="6"/>
          <c:order val="6"/>
          <c:tx>
            <c:v>L&lt;= 300 feet</c:v>
          </c:tx>
          <c:spPr>
            <a:ln w="12700">
              <a:solidFill>
                <a:srgbClr val="000000"/>
              </a:solidFill>
            </a:ln>
          </c:spPr>
          <c:marker>
            <c:symbol val="none"/>
          </c:marker>
          <c:xVal>
            <c:numRef>
              <c:f>'Graph Data'!$Q$156:$Q$161</c:f>
              <c:numCache>
                <c:formatCode>0.00</c:formatCode>
                <c:ptCount val="6"/>
                <c:pt idx="0">
                  <c:v>0.25</c:v>
                </c:pt>
                <c:pt idx="1">
                  <c:v>0.49</c:v>
                </c:pt>
                <c:pt idx="2">
                  <c:v>0.65</c:v>
                </c:pt>
                <c:pt idx="3">
                  <c:v>0.76</c:v>
                </c:pt>
                <c:pt idx="4">
                  <c:v>0.84</c:v>
                </c:pt>
                <c:pt idx="5">
                  <c:v>0.9</c:v>
                </c:pt>
              </c:numCache>
            </c:numRef>
          </c:xVal>
          <c:yVal>
            <c:numRef>
              <c:f>'Graph Data'!$T$156:$T$161</c:f>
              <c:numCache>
                <c:formatCode>0.00</c:formatCode>
                <c:ptCount val="6"/>
                <c:pt idx="2">
                  <c:v>7.4011500000000003</c:v>
                </c:pt>
                <c:pt idx="3">
                  <c:v>8.3864640000000001</c:v>
                </c:pt>
                <c:pt idx="4">
                  <c:v>9.3027839999999991</c:v>
                </c:pt>
                <c:pt idx="5">
                  <c:v>10.1004</c:v>
                </c:pt>
              </c:numCache>
            </c:numRef>
          </c:yVal>
          <c:smooth val="0"/>
        </c:ser>
        <c:ser>
          <c:idx val="7"/>
          <c:order val="7"/>
          <c:tx>
            <c:v>L&lt;= 400 feet</c:v>
          </c:tx>
          <c:spPr>
            <a:ln w="12700">
              <a:solidFill>
                <a:srgbClr val="000000"/>
              </a:solidFill>
            </a:ln>
          </c:spPr>
          <c:marker>
            <c:symbol val="none"/>
          </c:marker>
          <c:xVal>
            <c:numRef>
              <c:f>'Graph Data'!$Q$156:$Q$161</c:f>
              <c:numCache>
                <c:formatCode>0.00</c:formatCode>
                <c:ptCount val="6"/>
                <c:pt idx="0">
                  <c:v>0.25</c:v>
                </c:pt>
                <c:pt idx="1">
                  <c:v>0.49</c:v>
                </c:pt>
                <c:pt idx="2">
                  <c:v>0.65</c:v>
                </c:pt>
                <c:pt idx="3">
                  <c:v>0.76</c:v>
                </c:pt>
                <c:pt idx="4">
                  <c:v>0.84</c:v>
                </c:pt>
                <c:pt idx="5">
                  <c:v>0.9</c:v>
                </c:pt>
              </c:numCache>
            </c:numRef>
          </c:xVal>
          <c:yVal>
            <c:numRef>
              <c:f>'Graph Data'!$U$156:$U$161</c:f>
              <c:numCache>
                <c:formatCode>0.00</c:formatCode>
                <c:ptCount val="6"/>
                <c:pt idx="3">
                  <c:v>11.23568</c:v>
                </c:pt>
                <c:pt idx="4">
                  <c:v>12.424479999999997</c:v>
                </c:pt>
                <c:pt idx="5">
                  <c:v>13.495000000000001</c:v>
                </c:pt>
              </c:numCache>
            </c:numRef>
          </c:yVal>
          <c:smooth val="0"/>
        </c:ser>
        <c:ser>
          <c:idx val="8"/>
          <c:order val="8"/>
          <c:tx>
            <c:v>L&lt;= 500 feet</c:v>
          </c:tx>
          <c:spPr>
            <a:ln w="12700">
              <a:solidFill>
                <a:srgbClr val="000000"/>
              </a:solidFill>
            </a:ln>
          </c:spPr>
          <c:marker>
            <c:symbol val="none"/>
          </c:marker>
          <c:xVal>
            <c:numRef>
              <c:f>'Graph Data'!$Q$156:$Q$161</c:f>
              <c:numCache>
                <c:formatCode>0.00</c:formatCode>
                <c:ptCount val="6"/>
                <c:pt idx="0">
                  <c:v>0.25</c:v>
                </c:pt>
                <c:pt idx="1">
                  <c:v>0.49</c:v>
                </c:pt>
                <c:pt idx="2">
                  <c:v>0.65</c:v>
                </c:pt>
                <c:pt idx="3">
                  <c:v>0.76</c:v>
                </c:pt>
                <c:pt idx="4">
                  <c:v>0.84</c:v>
                </c:pt>
                <c:pt idx="5">
                  <c:v>0.9</c:v>
                </c:pt>
              </c:numCache>
            </c:numRef>
          </c:xVal>
          <c:yVal>
            <c:numRef>
              <c:f>'Graph Data'!$V$156:$V$161</c:f>
              <c:numCache>
                <c:formatCode>0.00</c:formatCode>
                <c:ptCount val="6"/>
                <c:pt idx="4">
                  <c:v>14.937360000000005</c:v>
                </c:pt>
                <c:pt idx="5">
                  <c:v>16.299000000000007</c:v>
                </c:pt>
              </c:numCache>
            </c:numRef>
          </c:yVal>
          <c:smooth val="0"/>
        </c:ser>
        <c:ser>
          <c:idx val="9"/>
          <c:order val="9"/>
          <c:tx>
            <c:v>Left Abutment (by Interpolation)</c:v>
          </c:tx>
          <c:spPr>
            <a:ln w="28575">
              <a:noFill/>
            </a:ln>
          </c:spPr>
          <c:marker>
            <c:symbol val="circle"/>
            <c:size val="7"/>
            <c:spPr>
              <a:solidFill>
                <a:srgbClr val="FF0000"/>
              </a:solidFill>
              <a:ln>
                <a:solidFill>
                  <a:srgbClr val="C00000"/>
                </a:solidFill>
              </a:ln>
            </c:spPr>
          </c:marker>
          <c:xVal>
            <c:numRef>
              <c:f>'Graph Data'!$J$48</c:f>
              <c:numCache>
                <c:formatCode>0.00</c:formatCode>
                <c:ptCount val="1"/>
                <c:pt idx="0">
                  <c:v>0</c:v>
                </c:pt>
              </c:numCache>
            </c:numRef>
          </c:xVal>
          <c:yVal>
            <c:numRef>
              <c:f>'Graph Data'!$K$48</c:f>
              <c:numCache>
                <c:formatCode>0.0</c:formatCode>
                <c:ptCount val="1"/>
                <c:pt idx="0">
                  <c:v>0</c:v>
                </c:pt>
              </c:numCache>
            </c:numRef>
          </c:yVal>
          <c:smooth val="0"/>
        </c:ser>
        <c:ser>
          <c:idx val="10"/>
          <c:order val="10"/>
          <c:tx>
            <c:v>Right Abutment (by Interpolation)</c:v>
          </c:tx>
          <c:spPr>
            <a:ln w="28575">
              <a:noFill/>
            </a:ln>
          </c:spPr>
          <c:marker>
            <c:symbol val="circle"/>
            <c:size val="5"/>
            <c:spPr>
              <a:solidFill>
                <a:schemeClr val="tx2"/>
              </a:solidFill>
              <a:ln>
                <a:solidFill>
                  <a:schemeClr val="tx2"/>
                </a:solidFill>
              </a:ln>
            </c:spPr>
          </c:marker>
          <c:xVal>
            <c:numRef>
              <c:f>'Graph Data'!$M$48</c:f>
              <c:numCache>
                <c:formatCode>0.00</c:formatCode>
                <c:ptCount val="1"/>
                <c:pt idx="0">
                  <c:v>0</c:v>
                </c:pt>
              </c:numCache>
            </c:numRef>
          </c:xVal>
          <c:yVal>
            <c:numRef>
              <c:f>'Graph Data'!$N$48</c:f>
              <c:numCache>
                <c:formatCode>0.0</c:formatCode>
                <c:ptCount val="1"/>
                <c:pt idx="0">
                  <c:v>0</c:v>
                </c:pt>
              </c:numCache>
            </c:numRef>
          </c:yVal>
          <c:smooth val="0"/>
        </c:ser>
        <c:dLbls>
          <c:showLegendKey val="0"/>
          <c:showVal val="0"/>
          <c:showCatName val="0"/>
          <c:showSerName val="0"/>
          <c:showPercent val="0"/>
          <c:showBubbleSize val="0"/>
        </c:dLbls>
        <c:axId val="215985880"/>
        <c:axId val="215980784"/>
      </c:scatterChart>
      <c:valAx>
        <c:axId val="215985880"/>
        <c:scaling>
          <c:orientation val="minMax"/>
          <c:max val="1"/>
        </c:scaling>
        <c:delete val="0"/>
        <c:axPos val="b"/>
        <c:title>
          <c:tx>
            <c:rich>
              <a:bodyPr/>
              <a:lstStyle/>
              <a:p>
                <a:pPr>
                  <a:defRPr sz="800" b="0" i="0" u="none" strike="noStrike" baseline="0">
                    <a:solidFill>
                      <a:srgbClr val="000000"/>
                    </a:solidFill>
                    <a:latin typeface="Arial"/>
                    <a:ea typeface="Arial"/>
                    <a:cs typeface="Arial"/>
                  </a:defRPr>
                </a:pPr>
                <a:r>
                  <a:rPr lang="en-US"/>
                  <a:t>GEOMETRIC-CONTRACTION RATIO</a:t>
                </a:r>
              </a:p>
            </c:rich>
          </c:tx>
          <c:layout>
            <c:manualLayout>
              <c:xMode val="edge"/>
              <c:yMode val="edge"/>
              <c:x val="0.35030549898167007"/>
              <c:y val="0.93417624386967013"/>
            </c:manualLayout>
          </c:layout>
          <c:overlay val="0"/>
          <c:spPr>
            <a:noFill/>
            <a:ln w="25400">
              <a:noFill/>
            </a:ln>
          </c:spPr>
        </c:title>
        <c:numFmt formatCode="#,##0.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980784"/>
        <c:crosses val="autoZero"/>
        <c:crossBetween val="midCat"/>
        <c:majorUnit val="0.2"/>
        <c:minorUnit val="0.1"/>
      </c:valAx>
      <c:valAx>
        <c:axId val="215980784"/>
        <c:scaling>
          <c:orientation val="minMax"/>
          <c:max val="25"/>
        </c:scaling>
        <c:delete val="0"/>
        <c:axPos val="l"/>
        <c:title>
          <c:tx>
            <c:rich>
              <a:bodyPr/>
              <a:lstStyle/>
              <a:p>
                <a:pPr>
                  <a:defRPr sz="800" b="0" i="0" u="none" strike="noStrike" baseline="0">
                    <a:solidFill>
                      <a:srgbClr val="000000"/>
                    </a:solidFill>
                    <a:latin typeface="Arial"/>
                    <a:ea typeface="Arial"/>
                    <a:cs typeface="Arial"/>
                  </a:defRPr>
                </a:pPr>
                <a:r>
                  <a:rPr lang="en-US"/>
                  <a:t>ABUTMENT-SCOUR DEPTH, IN FEET</a:t>
                </a:r>
              </a:p>
            </c:rich>
          </c:tx>
          <c:layout>
            <c:manualLayout>
              <c:xMode val="edge"/>
              <c:yMode val="edge"/>
              <c:x val="4.4806517311609124E-2"/>
              <c:y val="0.29557823790544918"/>
            </c:manualLayout>
          </c:layout>
          <c:overlay val="0"/>
          <c:spPr>
            <a:noFill/>
            <a:ln w="25400">
              <a:noFill/>
            </a:ln>
          </c:spPr>
        </c:title>
        <c:numFmt formatCode="General" sourceLinked="1"/>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985880"/>
        <c:crosses val="autoZero"/>
        <c:crossBetween val="midCat"/>
        <c:majorUnit val="5"/>
        <c:minorUnit val="1"/>
      </c:valAx>
      <c:spPr>
        <a:noFill/>
        <a:ln w="12700">
          <a:solidFill>
            <a:srgbClr val="000000"/>
          </a:solidFill>
          <a:prstDash val="solid"/>
        </a:ln>
      </c:spPr>
    </c:plotArea>
    <c:legend>
      <c:legendPos val="r"/>
      <c:legendEntry>
        <c:idx val="0"/>
        <c:delete val="1"/>
      </c:legendEntry>
      <c:legendEntry>
        <c:idx val="1"/>
        <c:delete val="1"/>
      </c:legendEntry>
      <c:legendEntry>
        <c:idx val="4"/>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53360488798370675"/>
          <c:y val="1.1636952788308869E-2"/>
          <c:w val="0.43872433461092308"/>
          <c:h val="0.2186347628348631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orientation="landscape" horizontalDpi="-3"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Original </a:t>
            </a:r>
          </a:p>
          <a:p>
            <a:pPr>
              <a:defRPr sz="1200" b="0" i="0" u="none" strike="noStrike" baseline="0">
                <a:solidFill>
                  <a:srgbClr val="000000"/>
                </a:solidFill>
                <a:latin typeface="Arial"/>
                <a:ea typeface="Arial"/>
                <a:cs typeface="Arial"/>
              </a:defRPr>
            </a:pPr>
            <a:r>
              <a:rPr lang="en-US"/>
              <a:t>Envelope Curve for 
Live-Bed Contraction Scour</a:t>
            </a:r>
          </a:p>
        </c:rich>
      </c:tx>
      <c:layout>
        <c:manualLayout>
          <c:xMode val="edge"/>
          <c:yMode val="edge"/>
          <c:x val="0.13879861193480592"/>
          <c:y val="2.5623920407384974E-2"/>
        </c:manualLayout>
      </c:layout>
      <c:overlay val="0"/>
      <c:spPr>
        <a:noFill/>
        <a:ln w="25400">
          <a:noFill/>
        </a:ln>
      </c:spPr>
    </c:title>
    <c:autoTitleDeleted val="0"/>
    <c:plotArea>
      <c:layout>
        <c:manualLayout>
          <c:layoutTarget val="inner"/>
          <c:xMode val="edge"/>
          <c:yMode val="edge"/>
          <c:x val="0.13441955193482691"/>
          <c:y val="0.21179240780220945"/>
          <c:w val="0.81873727087576376"/>
          <c:h val="0.61293609127349058"/>
        </c:manualLayout>
      </c:layout>
      <c:scatterChart>
        <c:scatterStyle val="lineMarker"/>
        <c:varyColors val="0"/>
        <c:ser>
          <c:idx val="0"/>
          <c:order val="0"/>
          <c:tx>
            <c:v>Original Live-Bed Contraction Envelope</c:v>
          </c:tx>
          <c:spPr>
            <a:ln w="28575">
              <a:noFill/>
            </a:ln>
          </c:spPr>
          <c:marker>
            <c:symbol val="none"/>
          </c:marker>
          <c:trendline>
            <c:name>Original Envelope Curve</c:name>
            <c:spPr>
              <a:ln w="25400">
                <a:solidFill>
                  <a:srgbClr val="969696"/>
                </a:solidFill>
                <a:prstDash val="solid"/>
              </a:ln>
            </c:spPr>
            <c:trendlineType val="poly"/>
            <c:order val="2"/>
            <c:intercept val="0"/>
            <c:dispRSqr val="0"/>
            <c:dispEq val="0"/>
          </c:trendline>
          <c:xVal>
            <c:numRef>
              <c:f>'Graph Data'!$S$174:$S$185</c:f>
              <c:numCache>
                <c:formatCode>General</c:formatCode>
                <c:ptCount val="12"/>
                <c:pt idx="0">
                  <c:v>0</c:v>
                </c:pt>
                <c:pt idx="1">
                  <c:v>0.02</c:v>
                </c:pt>
                <c:pt idx="2">
                  <c:v>0.1</c:v>
                </c:pt>
                <c:pt idx="3">
                  <c:v>0.2</c:v>
                </c:pt>
                <c:pt idx="4">
                  <c:v>0.3</c:v>
                </c:pt>
                <c:pt idx="5">
                  <c:v>0.4</c:v>
                </c:pt>
                <c:pt idx="6">
                  <c:v>0.5</c:v>
                </c:pt>
                <c:pt idx="7">
                  <c:v>0.6</c:v>
                </c:pt>
                <c:pt idx="8">
                  <c:v>0.7</c:v>
                </c:pt>
                <c:pt idx="9">
                  <c:v>0.8</c:v>
                </c:pt>
                <c:pt idx="10">
                  <c:v>0.85</c:v>
                </c:pt>
                <c:pt idx="11">
                  <c:v>0.9</c:v>
                </c:pt>
              </c:numCache>
            </c:numRef>
          </c:xVal>
          <c:yVal>
            <c:numRef>
              <c:f>'Graph Data'!$T$174:$T$185</c:f>
              <c:numCache>
                <c:formatCode>0.00</c:formatCode>
                <c:ptCount val="12"/>
                <c:pt idx="0" formatCode="0.0">
                  <c:v>0</c:v>
                </c:pt>
                <c:pt idx="1">
                  <c:v>3.5880000000000002E-2</c:v>
                </c:pt>
                <c:pt idx="2">
                  <c:v>0.37700000000000006</c:v>
                </c:pt>
                <c:pt idx="3">
                  <c:v>1.2480000000000002</c:v>
                </c:pt>
                <c:pt idx="4">
                  <c:v>2.613</c:v>
                </c:pt>
                <c:pt idx="5">
                  <c:v>4.4720000000000013</c:v>
                </c:pt>
                <c:pt idx="6">
                  <c:v>6.8250000000000002</c:v>
                </c:pt>
                <c:pt idx="7">
                  <c:v>9.6719999999999988</c:v>
                </c:pt>
                <c:pt idx="8">
                  <c:v>13.012999999999998</c:v>
                </c:pt>
                <c:pt idx="9">
                  <c:v>16.848000000000003</c:v>
                </c:pt>
                <c:pt idx="10">
                  <c:v>18.950749999999999</c:v>
                </c:pt>
                <c:pt idx="11">
                  <c:v>21.177000000000003</c:v>
                </c:pt>
              </c:numCache>
            </c:numRef>
          </c:yVal>
          <c:smooth val="0"/>
        </c:ser>
        <c:ser>
          <c:idx val="4"/>
          <c:order val="1"/>
          <c:tx>
            <c:v>Live-Bed Contraction Scour</c:v>
          </c:tx>
          <c:spPr>
            <a:ln w="12700">
              <a:solidFill>
                <a:srgbClr val="3366FF"/>
              </a:solidFill>
              <a:prstDash val="lgDashDot"/>
            </a:ln>
          </c:spPr>
          <c:marker>
            <c:symbol val="none"/>
          </c:marker>
          <c:xVal>
            <c:strRef>
              <c:f>'Graph Data'!$F$75:$F$77</c:f>
              <c:strCache>
                <c:ptCount val="3"/>
                <c:pt idx="0">
                  <c:v>0</c:v>
                </c:pt>
                <c:pt idx="1">
                  <c:v>No Data</c:v>
                </c:pt>
                <c:pt idx="2">
                  <c:v>No Data</c:v>
                </c:pt>
              </c:strCache>
            </c:strRef>
          </c:xVal>
          <c:yVal>
            <c:numRef>
              <c:f>'Graph Data'!$G$75:$G$77</c:f>
              <c:numCache>
                <c:formatCode>0.0</c:formatCode>
                <c:ptCount val="3"/>
                <c:pt idx="0">
                  <c:v>0</c:v>
                </c:pt>
                <c:pt idx="1">
                  <c:v>0</c:v>
                </c:pt>
                <c:pt idx="2">
                  <c:v>0</c:v>
                </c:pt>
              </c:numCache>
            </c:numRef>
          </c:yVal>
          <c:smooth val="0"/>
        </c:ser>
        <c:dLbls>
          <c:showLegendKey val="0"/>
          <c:showVal val="0"/>
          <c:showCatName val="0"/>
          <c:showSerName val="0"/>
          <c:showPercent val="0"/>
          <c:showBubbleSize val="0"/>
        </c:dLbls>
        <c:axId val="215982744"/>
        <c:axId val="215985488"/>
      </c:scatterChart>
      <c:valAx>
        <c:axId val="215982744"/>
        <c:scaling>
          <c:orientation val="minMax"/>
          <c:max val="1"/>
        </c:scaling>
        <c:delete val="0"/>
        <c:axPos val="b"/>
        <c:title>
          <c:tx>
            <c:rich>
              <a:bodyPr/>
              <a:lstStyle/>
              <a:p>
                <a:pPr>
                  <a:defRPr sz="800" b="0" i="0" u="none" strike="noStrike" baseline="0">
                    <a:solidFill>
                      <a:srgbClr val="000000"/>
                    </a:solidFill>
                    <a:latin typeface="Arial"/>
                    <a:ea typeface="Arial"/>
                    <a:cs typeface="Arial"/>
                  </a:defRPr>
                </a:pPr>
                <a:r>
                  <a:rPr lang="en-US"/>
                  <a:t>GEOMETRIC-CONTRACTION RATIO</a:t>
                </a:r>
              </a:p>
            </c:rich>
          </c:tx>
          <c:layout>
            <c:manualLayout>
              <c:xMode val="edge"/>
              <c:yMode val="edge"/>
              <c:x val="0.35676209383698848"/>
              <c:y val="0.91000910676010349"/>
            </c:manualLayout>
          </c:layout>
          <c:overlay val="0"/>
          <c:spPr>
            <a:noFill/>
            <a:ln w="25400">
              <a:noFill/>
            </a:ln>
          </c:spPr>
        </c:title>
        <c:numFmt formatCode="#,##0.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985488"/>
        <c:crosses val="autoZero"/>
        <c:crossBetween val="midCat"/>
        <c:majorUnit val="0.2"/>
        <c:minorUnit val="0.1"/>
      </c:valAx>
      <c:valAx>
        <c:axId val="215985488"/>
        <c:scaling>
          <c:orientation val="minMax"/>
          <c:max val="25"/>
          <c:min val="0"/>
        </c:scaling>
        <c:delete val="0"/>
        <c:axPos val="l"/>
        <c:title>
          <c:tx>
            <c:rich>
              <a:bodyPr/>
              <a:lstStyle/>
              <a:p>
                <a:pPr>
                  <a:defRPr sz="800" b="0" i="0" u="none" strike="noStrike" baseline="0">
                    <a:solidFill>
                      <a:srgbClr val="000000"/>
                    </a:solidFill>
                    <a:latin typeface="Arial"/>
                    <a:ea typeface="Arial"/>
                    <a:cs typeface="Arial"/>
                  </a:defRPr>
                </a:pPr>
                <a:r>
                  <a:rPr lang="en-US"/>
                  <a:t>CONTRACTION -SCOUR  DEPTH, IN FEET</a:t>
                </a:r>
              </a:p>
            </c:rich>
          </c:tx>
          <c:layout>
            <c:manualLayout>
              <c:xMode val="edge"/>
              <c:yMode val="edge"/>
              <c:x val="2.5074328711025433E-2"/>
              <c:y val="0.21055407204534221"/>
            </c:manualLayout>
          </c:layout>
          <c:overlay val="0"/>
          <c:spPr>
            <a:noFill/>
            <a:ln w="25400">
              <a:noFill/>
            </a:ln>
          </c:spPr>
        </c:title>
        <c:numFmt formatCode="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982744"/>
        <c:crosses val="autoZero"/>
        <c:crossBetween val="midCat"/>
        <c:majorUnit val="5"/>
        <c:minorUnit val="1"/>
      </c:valAx>
      <c:spPr>
        <a:noFill/>
        <a:ln w="12700">
          <a:solidFill>
            <a:srgbClr val="000000"/>
          </a:solidFill>
          <a:prstDash val="solid"/>
        </a:ln>
      </c:spPr>
    </c:plotArea>
    <c:legend>
      <c:legendPos val="r"/>
      <c:legendEntry>
        <c:idx val="0"/>
        <c:delete val="1"/>
      </c:legendEntry>
      <c:layout>
        <c:manualLayout>
          <c:xMode val="edge"/>
          <c:yMode val="edge"/>
          <c:x val="0.59314033948716238"/>
          <c:y val="3.4825212065883224E-2"/>
          <c:w val="0.39307530533313456"/>
          <c:h val="0.1058215983871581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200" b="0" i="0" u="none" strike="noStrike" baseline="0">
                <a:effectLst/>
              </a:rPr>
              <a:t>Original  </a:t>
            </a:r>
            <a:r>
              <a:rPr lang="en-US"/>
              <a:t>Envelope Curves for 
Abutment-Scour Hole Widths</a:t>
            </a:r>
          </a:p>
        </c:rich>
      </c:tx>
      <c:layout>
        <c:manualLayout>
          <c:xMode val="edge"/>
          <c:yMode val="edge"/>
          <c:x val="9.95262787273547E-2"/>
          <c:y val="3.9937520005121352E-2"/>
        </c:manualLayout>
      </c:layout>
      <c:overlay val="0"/>
      <c:spPr>
        <a:noFill/>
        <a:ln w="25400">
          <a:noFill/>
        </a:ln>
      </c:spPr>
    </c:title>
    <c:autoTitleDeleted val="0"/>
    <c:plotArea>
      <c:layout>
        <c:manualLayout>
          <c:layoutTarget val="inner"/>
          <c:xMode val="edge"/>
          <c:yMode val="edge"/>
          <c:x val="0.1320247228988313"/>
          <c:y val="0.21143336958167663"/>
          <c:w val="0.82261558113887401"/>
          <c:h val="0.64604640705512306"/>
        </c:manualLayout>
      </c:layout>
      <c:scatterChart>
        <c:scatterStyle val="lineMarker"/>
        <c:varyColors val="0"/>
        <c:ser>
          <c:idx val="0"/>
          <c:order val="0"/>
          <c:tx>
            <c:v>Well Defined Channel Envelope</c:v>
          </c:tx>
          <c:spPr>
            <a:ln w="25400">
              <a:solidFill>
                <a:srgbClr val="969696"/>
              </a:solidFill>
              <a:prstDash val="solid"/>
            </a:ln>
          </c:spPr>
          <c:marker>
            <c:symbol val="none"/>
          </c:marker>
          <c:xVal>
            <c:numRef>
              <c:f>'Graph Data'!$F$138:$F$145</c:f>
              <c:numCache>
                <c:formatCode>General</c:formatCode>
                <c:ptCount val="8"/>
                <c:pt idx="0">
                  <c:v>0</c:v>
                </c:pt>
                <c:pt idx="1">
                  <c:v>0</c:v>
                </c:pt>
                <c:pt idx="2">
                  <c:v>0.4</c:v>
                </c:pt>
                <c:pt idx="3">
                  <c:v>1.2</c:v>
                </c:pt>
                <c:pt idx="4">
                  <c:v>2.6</c:v>
                </c:pt>
                <c:pt idx="5">
                  <c:v>5.2</c:v>
                </c:pt>
                <c:pt idx="6">
                  <c:v>13.2</c:v>
                </c:pt>
                <c:pt idx="7">
                  <c:v>18</c:v>
                </c:pt>
              </c:numCache>
            </c:numRef>
          </c:xVal>
          <c:yVal>
            <c:numRef>
              <c:f>'Graph Data'!$G$138:$G$145</c:f>
              <c:numCache>
                <c:formatCode>General</c:formatCode>
                <c:ptCount val="8"/>
                <c:pt idx="0">
                  <c:v>0</c:v>
                </c:pt>
                <c:pt idx="1">
                  <c:v>6</c:v>
                </c:pt>
                <c:pt idx="2">
                  <c:v>20</c:v>
                </c:pt>
                <c:pt idx="3">
                  <c:v>40</c:v>
                </c:pt>
                <c:pt idx="4">
                  <c:v>60</c:v>
                </c:pt>
                <c:pt idx="5">
                  <c:v>65</c:v>
                </c:pt>
                <c:pt idx="6">
                  <c:v>70</c:v>
                </c:pt>
                <c:pt idx="7">
                  <c:v>70</c:v>
                </c:pt>
              </c:numCache>
            </c:numRef>
          </c:yVal>
          <c:smooth val="0"/>
        </c:ser>
        <c:ser>
          <c:idx val="2"/>
          <c:order val="1"/>
          <c:tx>
            <c:v>Small Swampy or Relief Br</c:v>
          </c:tx>
          <c:spPr>
            <a:ln w="25400">
              <a:solidFill>
                <a:srgbClr val="000000"/>
              </a:solidFill>
              <a:prstDash val="sysDash"/>
            </a:ln>
          </c:spPr>
          <c:marker>
            <c:symbol val="none"/>
          </c:marker>
          <c:xVal>
            <c:numRef>
              <c:f>'Graph Data'!$I$138:$I$144</c:f>
              <c:numCache>
                <c:formatCode>General</c:formatCode>
                <c:ptCount val="7"/>
                <c:pt idx="0">
                  <c:v>0</c:v>
                </c:pt>
                <c:pt idx="1">
                  <c:v>0</c:v>
                </c:pt>
                <c:pt idx="2">
                  <c:v>0.4</c:v>
                </c:pt>
                <c:pt idx="3">
                  <c:v>1.2</c:v>
                </c:pt>
                <c:pt idx="4">
                  <c:v>2.6</c:v>
                </c:pt>
                <c:pt idx="5">
                  <c:v>13.7</c:v>
                </c:pt>
                <c:pt idx="6">
                  <c:v>23.6</c:v>
                </c:pt>
              </c:numCache>
            </c:numRef>
          </c:xVal>
          <c:yVal>
            <c:numRef>
              <c:f>'Graph Data'!$J$138:$J$144</c:f>
              <c:numCache>
                <c:formatCode>General</c:formatCode>
                <c:ptCount val="7"/>
                <c:pt idx="0">
                  <c:v>0</c:v>
                </c:pt>
                <c:pt idx="1">
                  <c:v>6</c:v>
                </c:pt>
                <c:pt idx="2">
                  <c:v>20</c:v>
                </c:pt>
                <c:pt idx="3">
                  <c:v>40</c:v>
                </c:pt>
                <c:pt idx="4">
                  <c:v>60</c:v>
                </c:pt>
                <c:pt idx="5">
                  <c:v>100</c:v>
                </c:pt>
                <c:pt idx="6">
                  <c:v>130</c:v>
                </c:pt>
              </c:numCache>
            </c:numRef>
          </c:yVal>
          <c:smooth val="0"/>
        </c:ser>
        <c:ser>
          <c:idx val="3"/>
          <c:order val="2"/>
          <c:tx>
            <c:v>Left Abutment</c:v>
          </c:tx>
          <c:spPr>
            <a:ln w="12700">
              <a:solidFill>
                <a:srgbClr val="FF0000"/>
              </a:solidFill>
              <a:prstDash val="lgDashDotDot"/>
            </a:ln>
          </c:spPr>
          <c:marker>
            <c:symbol val="none"/>
          </c:marker>
          <c:xVal>
            <c:strRef>
              <c:f>'Graph Data'!$F$90:$F$92</c:f>
              <c:strCache>
                <c:ptCount val="3"/>
                <c:pt idx="0">
                  <c:v>0</c:v>
                </c:pt>
                <c:pt idx="1">
                  <c:v>N/A</c:v>
                </c:pt>
                <c:pt idx="2">
                  <c:v>N/A</c:v>
                </c:pt>
              </c:strCache>
            </c:strRef>
          </c:xVal>
          <c:yVal>
            <c:numRef>
              <c:f>'Graph Data'!$G$90:$G$92</c:f>
              <c:numCache>
                <c:formatCode>0.0</c:formatCode>
                <c:ptCount val="3"/>
                <c:pt idx="0">
                  <c:v>0</c:v>
                </c:pt>
                <c:pt idx="1">
                  <c:v>0</c:v>
                </c:pt>
                <c:pt idx="2" formatCode="General">
                  <c:v>0</c:v>
                </c:pt>
              </c:numCache>
            </c:numRef>
          </c:yVal>
          <c:smooth val="0"/>
        </c:ser>
        <c:ser>
          <c:idx val="4"/>
          <c:order val="3"/>
          <c:tx>
            <c:v>Right Abutment</c:v>
          </c:tx>
          <c:spPr>
            <a:ln w="12700">
              <a:solidFill>
                <a:srgbClr val="3366FF"/>
              </a:solidFill>
              <a:prstDash val="lgDashDot"/>
            </a:ln>
          </c:spPr>
          <c:marker>
            <c:symbol val="none"/>
          </c:marker>
          <c:xVal>
            <c:strRef>
              <c:f>'Graph Data'!$J$90:$J$92</c:f>
              <c:strCache>
                <c:ptCount val="3"/>
                <c:pt idx="0">
                  <c:v>0</c:v>
                </c:pt>
                <c:pt idx="1">
                  <c:v>N/A</c:v>
                </c:pt>
                <c:pt idx="2">
                  <c:v>N/A</c:v>
                </c:pt>
              </c:strCache>
            </c:strRef>
          </c:xVal>
          <c:yVal>
            <c:numRef>
              <c:f>'Graph Data'!$K$90:$K$92</c:f>
              <c:numCache>
                <c:formatCode>0.0</c:formatCode>
                <c:ptCount val="3"/>
                <c:pt idx="0">
                  <c:v>0</c:v>
                </c:pt>
                <c:pt idx="1">
                  <c:v>0</c:v>
                </c:pt>
                <c:pt idx="2" formatCode="General">
                  <c:v>0</c:v>
                </c:pt>
              </c:numCache>
            </c:numRef>
          </c:yVal>
          <c:smooth val="0"/>
        </c:ser>
        <c:dLbls>
          <c:showLegendKey val="0"/>
          <c:showVal val="0"/>
          <c:showCatName val="0"/>
          <c:showSerName val="0"/>
          <c:showPercent val="0"/>
          <c:showBubbleSize val="0"/>
        </c:dLbls>
        <c:axId val="188089392"/>
        <c:axId val="215602152"/>
      </c:scatterChart>
      <c:valAx>
        <c:axId val="188089392"/>
        <c:scaling>
          <c:orientation val="minMax"/>
          <c:max val="25"/>
        </c:scaling>
        <c:delete val="0"/>
        <c:axPos val="b"/>
        <c:title>
          <c:tx>
            <c:rich>
              <a:bodyPr/>
              <a:lstStyle/>
              <a:p>
                <a:pPr>
                  <a:defRPr sz="800" b="0" i="0" u="none" strike="noStrike" baseline="0">
                    <a:solidFill>
                      <a:srgbClr val="000000"/>
                    </a:solidFill>
                    <a:latin typeface="Arial"/>
                    <a:ea typeface="Arial"/>
                    <a:cs typeface="Arial"/>
                  </a:defRPr>
                </a:pPr>
                <a:r>
                  <a:rPr lang="en-US"/>
                  <a:t>ABUTMENT-SCOUR DEPTH, IN FEET</a:t>
                </a:r>
              </a:p>
            </c:rich>
          </c:tx>
          <c:layout>
            <c:manualLayout>
              <c:xMode val="edge"/>
              <c:yMode val="edge"/>
              <c:x val="0.33850671105136254"/>
              <c:y val="0.92795758468976852"/>
            </c:manualLayout>
          </c:layout>
          <c:overlay val="0"/>
          <c:spPr>
            <a:noFill/>
            <a:ln w="25400">
              <a:noFill/>
            </a:ln>
          </c:spPr>
        </c:title>
        <c:numFmt formatCode="#,##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602152"/>
        <c:crosses val="autoZero"/>
        <c:crossBetween val="midCat"/>
        <c:majorUnit val="5"/>
        <c:minorUnit val="1"/>
      </c:valAx>
      <c:valAx>
        <c:axId val="215602152"/>
        <c:scaling>
          <c:orientation val="minMax"/>
          <c:max val="140"/>
        </c:scaling>
        <c:delete val="0"/>
        <c:axPos val="l"/>
        <c:title>
          <c:tx>
            <c:rich>
              <a:bodyPr/>
              <a:lstStyle/>
              <a:p>
                <a:pPr>
                  <a:defRPr sz="800" b="0" i="0" u="none" strike="noStrike" baseline="0">
                    <a:solidFill>
                      <a:srgbClr val="000000"/>
                    </a:solidFill>
                    <a:latin typeface="Arial"/>
                    <a:ea typeface="Arial"/>
                    <a:cs typeface="Arial"/>
                  </a:defRPr>
                </a:pPr>
                <a:r>
                  <a:rPr lang="en-US"/>
                  <a:t>ABUTMENT-SCOUR HOLE WIDTH, IN FEET</a:t>
                </a:r>
              </a:p>
            </c:rich>
          </c:tx>
          <c:layout>
            <c:manualLayout>
              <c:xMode val="edge"/>
              <c:yMode val="edge"/>
              <c:x val="2.8436079636386915E-2"/>
              <c:y val="0.26546597528967636"/>
            </c:manualLayout>
          </c:layout>
          <c:overlay val="0"/>
          <c:spPr>
            <a:noFill/>
            <a:ln w="25400">
              <a:noFill/>
            </a:ln>
          </c:spPr>
        </c:title>
        <c:numFmt formatCode="General" sourceLinked="1"/>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88089392"/>
        <c:crosses val="autoZero"/>
        <c:crossBetween val="midCat"/>
        <c:majorUnit val="20"/>
        <c:minorUnit val="10"/>
      </c:valAx>
      <c:spPr>
        <a:noFill/>
        <a:ln w="12700">
          <a:solidFill>
            <a:srgbClr val="000000"/>
          </a:solidFill>
          <a:prstDash val="solid"/>
        </a:ln>
      </c:spPr>
    </c:plotArea>
    <c:legend>
      <c:legendPos val="r"/>
      <c:layout>
        <c:manualLayout>
          <c:xMode val="edge"/>
          <c:yMode val="edge"/>
          <c:x val="0.56465953950878511"/>
          <c:y val="1.1746239037193521E-2"/>
          <c:w val="0.40826110150865291"/>
          <c:h val="0.1902899942385250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en-US" sz="1100"/>
              <a:t>Original Envelope Curves for 
Abutment Scour by Embankment</a:t>
            </a:r>
            <a:r>
              <a:rPr lang="en-US" sz="1100" baseline="0"/>
              <a:t> </a:t>
            </a:r>
            <a:r>
              <a:rPr lang="en-US" sz="1100"/>
              <a:t>Length</a:t>
            </a:r>
          </a:p>
        </c:rich>
      </c:tx>
      <c:layout>
        <c:manualLayout>
          <c:xMode val="edge"/>
          <c:yMode val="edge"/>
          <c:x val="4.4685359452019707E-2"/>
          <c:y val="3.9937216284688992E-2"/>
        </c:manualLayout>
      </c:layout>
      <c:overlay val="0"/>
      <c:spPr>
        <a:noFill/>
        <a:ln w="25400">
          <a:noFill/>
        </a:ln>
      </c:spPr>
    </c:title>
    <c:autoTitleDeleted val="0"/>
    <c:plotArea>
      <c:layout>
        <c:manualLayout>
          <c:layoutTarget val="inner"/>
          <c:xMode val="edge"/>
          <c:yMode val="edge"/>
          <c:x val="0.11780667581741869"/>
          <c:y val="0.21143336958167663"/>
          <c:w val="0.82058443155581295"/>
          <c:h val="0.64604640705512306"/>
        </c:manualLayout>
      </c:layout>
      <c:scatterChart>
        <c:scatterStyle val="lineMarker"/>
        <c:varyColors val="0"/>
        <c:ser>
          <c:idx val="0"/>
          <c:order val="0"/>
          <c:tx>
            <c:v>Coastal Plain Envelope</c:v>
          </c:tx>
          <c:spPr>
            <a:ln w="25400">
              <a:solidFill>
                <a:srgbClr val="969696"/>
              </a:solidFill>
              <a:prstDash val="solid"/>
            </a:ln>
          </c:spPr>
          <c:marker>
            <c:symbol val="none"/>
          </c:marker>
          <c:xVal>
            <c:numRef>
              <c:f>'Graph Data'!$F$103:$F$105</c:f>
              <c:numCache>
                <c:formatCode>General</c:formatCode>
                <c:ptCount val="3"/>
                <c:pt idx="0">
                  <c:v>0</c:v>
                </c:pt>
                <c:pt idx="1">
                  <c:v>426.5</c:v>
                </c:pt>
                <c:pt idx="2">
                  <c:v>7440.6</c:v>
                </c:pt>
              </c:numCache>
            </c:numRef>
          </c:xVal>
          <c:yVal>
            <c:numRef>
              <c:f>'Graph Data'!$G$103:$G$105</c:f>
              <c:numCache>
                <c:formatCode>General</c:formatCode>
                <c:ptCount val="3"/>
                <c:pt idx="0">
                  <c:v>0</c:v>
                </c:pt>
                <c:pt idx="1">
                  <c:v>14.4</c:v>
                </c:pt>
                <c:pt idx="2">
                  <c:v>23.6</c:v>
                </c:pt>
              </c:numCache>
            </c:numRef>
          </c:yVal>
          <c:smooth val="0"/>
        </c:ser>
        <c:ser>
          <c:idx val="1"/>
          <c:order val="1"/>
          <c:tx>
            <c:v>Piedmont</c:v>
          </c:tx>
          <c:spPr>
            <a:ln w="28575">
              <a:noFill/>
            </a:ln>
          </c:spPr>
          <c:marker>
            <c:symbol val="none"/>
          </c:marker>
          <c:trendline>
            <c:name>Piedmont Envelope</c:name>
            <c:spPr>
              <a:ln w="25400">
                <a:solidFill>
                  <a:srgbClr val="000000"/>
                </a:solidFill>
                <a:prstDash val="solid"/>
              </a:ln>
            </c:spPr>
            <c:trendlineType val="poly"/>
            <c:order val="2"/>
            <c:intercept val="0"/>
            <c:dispRSqr val="0"/>
            <c:dispEq val="0"/>
          </c:trendline>
          <c:xVal>
            <c:numRef>
              <c:f>'Graph Data'!$I$103:$I$111</c:f>
              <c:numCache>
                <c:formatCode>General</c:formatCode>
                <c:ptCount val="9"/>
                <c:pt idx="0">
                  <c:v>0</c:v>
                </c:pt>
                <c:pt idx="1">
                  <c:v>18.399999999999999</c:v>
                </c:pt>
                <c:pt idx="2">
                  <c:v>112.3</c:v>
                </c:pt>
                <c:pt idx="3">
                  <c:v>181.4</c:v>
                </c:pt>
                <c:pt idx="4">
                  <c:v>408.5</c:v>
                </c:pt>
                <c:pt idx="5">
                  <c:v>571.79999999999995</c:v>
                </c:pt>
                <c:pt idx="6">
                  <c:v>606.4</c:v>
                </c:pt>
                <c:pt idx="7">
                  <c:v>675</c:v>
                </c:pt>
                <c:pt idx="8">
                  <c:v>952.9</c:v>
                </c:pt>
              </c:numCache>
            </c:numRef>
          </c:xVal>
          <c:yVal>
            <c:numRef>
              <c:f>'Graph Data'!$J$103:$J$111</c:f>
              <c:numCache>
                <c:formatCode>General</c:formatCode>
                <c:ptCount val="9"/>
                <c:pt idx="0">
                  <c:v>0</c:v>
                </c:pt>
                <c:pt idx="1">
                  <c:v>0.6</c:v>
                </c:pt>
                <c:pt idx="2">
                  <c:v>3.1</c:v>
                </c:pt>
                <c:pt idx="3">
                  <c:v>4.5999999999999996</c:v>
                </c:pt>
                <c:pt idx="4">
                  <c:v>9.6999999999999993</c:v>
                </c:pt>
                <c:pt idx="5">
                  <c:v>12.9</c:v>
                </c:pt>
                <c:pt idx="6">
                  <c:v>13.7</c:v>
                </c:pt>
                <c:pt idx="7">
                  <c:v>14.2</c:v>
                </c:pt>
                <c:pt idx="8">
                  <c:v>18</c:v>
                </c:pt>
              </c:numCache>
            </c:numRef>
          </c:yVal>
          <c:smooth val="0"/>
        </c:ser>
        <c:ser>
          <c:idx val="3"/>
          <c:order val="2"/>
          <c:tx>
            <c:v>Left Abutment</c:v>
          </c:tx>
          <c:spPr>
            <a:ln w="12700">
              <a:solidFill>
                <a:srgbClr val="FF0000"/>
              </a:solidFill>
              <a:prstDash val="lgDashDotDot"/>
            </a:ln>
          </c:spPr>
          <c:marker>
            <c:symbol val="none"/>
          </c:marker>
          <c:xVal>
            <c:strRef>
              <c:f>'Graph Data'!$F$12:$F$14</c:f>
              <c:strCache>
                <c:ptCount val="3"/>
                <c:pt idx="0">
                  <c:v>0</c:v>
                </c:pt>
                <c:pt idx="1">
                  <c:v>No Data</c:v>
                </c:pt>
                <c:pt idx="2">
                  <c:v>No Data</c:v>
                </c:pt>
              </c:strCache>
            </c:strRef>
          </c:xVal>
          <c:yVal>
            <c:numRef>
              <c:f>'Graph Data'!$G$12:$G$14</c:f>
              <c:numCache>
                <c:formatCode>0.0</c:formatCode>
                <c:ptCount val="3"/>
                <c:pt idx="0">
                  <c:v>0</c:v>
                </c:pt>
                <c:pt idx="1">
                  <c:v>0</c:v>
                </c:pt>
                <c:pt idx="2" formatCode="General">
                  <c:v>0</c:v>
                </c:pt>
              </c:numCache>
            </c:numRef>
          </c:yVal>
          <c:smooth val="0"/>
        </c:ser>
        <c:ser>
          <c:idx val="4"/>
          <c:order val="3"/>
          <c:tx>
            <c:v>Right Abutment</c:v>
          </c:tx>
          <c:spPr>
            <a:ln w="12700">
              <a:solidFill>
                <a:srgbClr val="3366FF"/>
              </a:solidFill>
              <a:prstDash val="lgDashDot"/>
            </a:ln>
          </c:spPr>
          <c:marker>
            <c:symbol val="none"/>
          </c:marker>
          <c:xVal>
            <c:strRef>
              <c:f>'Graph Data'!$J$12:$J$14</c:f>
              <c:strCache>
                <c:ptCount val="3"/>
                <c:pt idx="0">
                  <c:v>0</c:v>
                </c:pt>
                <c:pt idx="1">
                  <c:v>No Data</c:v>
                </c:pt>
                <c:pt idx="2">
                  <c:v>No Data</c:v>
                </c:pt>
              </c:strCache>
            </c:strRef>
          </c:xVal>
          <c:yVal>
            <c:numRef>
              <c:f>'Graph Data'!$K$12:$K$14</c:f>
              <c:numCache>
                <c:formatCode>0.0</c:formatCode>
                <c:ptCount val="3"/>
                <c:pt idx="0">
                  <c:v>0</c:v>
                </c:pt>
                <c:pt idx="1">
                  <c:v>0</c:v>
                </c:pt>
                <c:pt idx="2" formatCode="General">
                  <c:v>0</c:v>
                </c:pt>
              </c:numCache>
            </c:numRef>
          </c:yVal>
          <c:smooth val="0"/>
        </c:ser>
        <c:ser>
          <c:idx val="2"/>
          <c:order val="4"/>
          <c:tx>
            <c:v>5 Foot breakline</c:v>
          </c:tx>
          <c:spPr>
            <a:ln w="25400">
              <a:solidFill>
                <a:srgbClr val="000000"/>
              </a:solidFill>
              <a:prstDash val="lgDash"/>
            </a:ln>
          </c:spPr>
          <c:marker>
            <c:symbol val="none"/>
          </c:marker>
          <c:xVal>
            <c:numRef>
              <c:f>'Graph Data'!$M$12:$M$13</c:f>
              <c:numCache>
                <c:formatCode>General</c:formatCode>
                <c:ptCount val="2"/>
                <c:pt idx="0">
                  <c:v>0</c:v>
                </c:pt>
                <c:pt idx="1">
                  <c:v>194</c:v>
                </c:pt>
              </c:numCache>
            </c:numRef>
          </c:xVal>
          <c:yVal>
            <c:numRef>
              <c:f>'Graph Data'!$N$12:$N$13</c:f>
              <c:numCache>
                <c:formatCode>General</c:formatCode>
                <c:ptCount val="2"/>
                <c:pt idx="0">
                  <c:v>5</c:v>
                </c:pt>
                <c:pt idx="1">
                  <c:v>5</c:v>
                </c:pt>
              </c:numCache>
            </c:numRef>
          </c:yVal>
          <c:smooth val="0"/>
        </c:ser>
        <c:dLbls>
          <c:showLegendKey val="0"/>
          <c:showVal val="0"/>
          <c:showCatName val="0"/>
          <c:showSerName val="0"/>
          <c:showPercent val="0"/>
          <c:showBubbleSize val="0"/>
        </c:dLbls>
        <c:axId val="215599408"/>
        <c:axId val="215604112"/>
      </c:scatterChart>
      <c:valAx>
        <c:axId val="215599408"/>
        <c:scaling>
          <c:orientation val="minMax"/>
          <c:max val="1500"/>
        </c:scaling>
        <c:delete val="0"/>
        <c:axPos val="b"/>
        <c:title>
          <c:tx>
            <c:rich>
              <a:bodyPr/>
              <a:lstStyle/>
              <a:p>
                <a:pPr>
                  <a:defRPr sz="800" b="0" i="0" u="none" strike="noStrike" baseline="0">
                    <a:solidFill>
                      <a:srgbClr val="000000"/>
                    </a:solidFill>
                    <a:latin typeface="Arial"/>
                    <a:ea typeface="Arial"/>
                    <a:cs typeface="Arial"/>
                  </a:defRPr>
                </a:pPr>
                <a:r>
                  <a:rPr lang="en-US"/>
                  <a:t>EMBANKMENT</a:t>
                </a:r>
                <a:r>
                  <a:rPr lang="en-US" baseline="0"/>
                  <a:t> </a:t>
                </a:r>
                <a:r>
                  <a:rPr lang="en-US"/>
                  <a:t>LENGTH, IN FEET</a:t>
                </a:r>
              </a:p>
            </c:rich>
          </c:tx>
          <c:layout>
            <c:manualLayout>
              <c:xMode val="edge"/>
              <c:yMode val="edge"/>
              <c:x val="0.34329727076798328"/>
              <c:y val="0.93109982619022591"/>
            </c:manualLayout>
          </c:layout>
          <c:overlay val="0"/>
          <c:spPr>
            <a:noFill/>
            <a:ln w="25400">
              <a:noFill/>
            </a:ln>
          </c:spPr>
        </c:title>
        <c:numFmt formatCode="#,##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604112"/>
        <c:crosses val="autoZero"/>
        <c:crossBetween val="midCat"/>
        <c:majorUnit val="500"/>
        <c:minorUnit val="100"/>
      </c:valAx>
      <c:valAx>
        <c:axId val="215604112"/>
        <c:scaling>
          <c:orientation val="minMax"/>
          <c:max val="25"/>
        </c:scaling>
        <c:delete val="0"/>
        <c:axPos val="l"/>
        <c:title>
          <c:tx>
            <c:rich>
              <a:bodyPr/>
              <a:lstStyle/>
              <a:p>
                <a:pPr>
                  <a:defRPr sz="800" b="0" i="0" u="none" strike="noStrike" baseline="0">
                    <a:solidFill>
                      <a:srgbClr val="000000"/>
                    </a:solidFill>
                    <a:latin typeface="Arial"/>
                    <a:ea typeface="Arial"/>
                    <a:cs typeface="Arial"/>
                  </a:defRPr>
                </a:pPr>
                <a:r>
                  <a:rPr lang="en-US"/>
                  <a:t>ABUTMENT-SCOUR DEPTH, IN FEET</a:t>
                </a:r>
              </a:p>
            </c:rich>
          </c:tx>
          <c:layout>
            <c:manualLayout>
              <c:xMode val="edge"/>
              <c:yMode val="edge"/>
              <c:x val="2.8436079636386915E-2"/>
              <c:y val="0.30070533987221831"/>
            </c:manualLayout>
          </c:layout>
          <c:overlay val="0"/>
          <c:spPr>
            <a:noFill/>
            <a:ln w="25400">
              <a:noFill/>
            </a:ln>
          </c:spPr>
        </c:title>
        <c:numFmt formatCode="General" sourceLinked="1"/>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599408"/>
        <c:crosses val="autoZero"/>
        <c:crossBetween val="midCat"/>
        <c:majorUnit val="5"/>
        <c:minorUnit val="1"/>
      </c:valAx>
      <c:spPr>
        <a:noFill/>
        <a:ln w="12700">
          <a:solidFill>
            <a:srgbClr val="000000"/>
          </a:solidFill>
          <a:prstDash val="solid"/>
        </a:ln>
      </c:spPr>
    </c:plotArea>
    <c:legend>
      <c:legendPos val="r"/>
      <c:legendEntry>
        <c:idx val="1"/>
        <c:delete val="1"/>
      </c:legendEntry>
      <c:layout>
        <c:manualLayout>
          <c:xMode val="edge"/>
          <c:yMode val="edge"/>
          <c:x val="0.60731365896336131"/>
          <c:y val="1.1746286056674677E-2"/>
          <c:w val="0.38388728847918535"/>
          <c:h val="0.1879408374201374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Envelope Curve for 
Overbank Contraction Scour</a:t>
            </a:r>
          </a:p>
        </c:rich>
      </c:tx>
      <c:layout>
        <c:manualLayout>
          <c:xMode val="edge"/>
          <c:yMode val="edge"/>
          <c:x val="5.7255640013937424E-2"/>
          <c:y val="3.8298798892793084E-2"/>
        </c:manualLayout>
      </c:layout>
      <c:overlay val="0"/>
      <c:spPr>
        <a:noFill/>
        <a:ln w="25400">
          <a:noFill/>
        </a:ln>
      </c:spPr>
    </c:title>
    <c:autoTitleDeleted val="0"/>
    <c:plotArea>
      <c:layout>
        <c:manualLayout>
          <c:layoutTarget val="inner"/>
          <c:xMode val="edge"/>
          <c:yMode val="edge"/>
          <c:x val="0.13405587248189024"/>
          <c:y val="0.21179240780220934"/>
          <c:w val="0.81855328197275068"/>
          <c:h val="0.62839505611644553"/>
        </c:manualLayout>
      </c:layout>
      <c:scatterChart>
        <c:scatterStyle val="lineMarker"/>
        <c:varyColors val="0"/>
        <c:ser>
          <c:idx val="2"/>
          <c:order val="0"/>
          <c:tx>
            <c:v>Contraction-Scour Envelope Curve</c:v>
          </c:tx>
          <c:spPr>
            <a:ln w="25400">
              <a:solidFill>
                <a:srgbClr val="000000"/>
              </a:solidFill>
              <a:prstDash val="solid"/>
            </a:ln>
          </c:spPr>
          <c:marker>
            <c:symbol val="none"/>
          </c:marker>
          <c:xVal>
            <c:numRef>
              <c:f>'Graph Data'!$F$174:$F$185</c:f>
              <c:numCache>
                <c:formatCode>General</c:formatCode>
                <c:ptCount val="12"/>
                <c:pt idx="0">
                  <c:v>0</c:v>
                </c:pt>
                <c:pt idx="1">
                  <c:v>0.02</c:v>
                </c:pt>
                <c:pt idx="2">
                  <c:v>0.1</c:v>
                </c:pt>
                <c:pt idx="3">
                  <c:v>0.2</c:v>
                </c:pt>
                <c:pt idx="4">
                  <c:v>0.3</c:v>
                </c:pt>
                <c:pt idx="5">
                  <c:v>0.4</c:v>
                </c:pt>
                <c:pt idx="6">
                  <c:v>0.5</c:v>
                </c:pt>
                <c:pt idx="7">
                  <c:v>0.6</c:v>
                </c:pt>
                <c:pt idx="8">
                  <c:v>0.7</c:v>
                </c:pt>
                <c:pt idx="9">
                  <c:v>0.8</c:v>
                </c:pt>
                <c:pt idx="10">
                  <c:v>0.85</c:v>
                </c:pt>
                <c:pt idx="11">
                  <c:v>0.91</c:v>
                </c:pt>
              </c:numCache>
            </c:numRef>
          </c:xVal>
          <c:yVal>
            <c:numRef>
              <c:f>'Graph Data'!$G$174:$G$185</c:f>
              <c:numCache>
                <c:formatCode>0.00</c:formatCode>
                <c:ptCount val="12"/>
                <c:pt idx="0">
                  <c:v>0.6</c:v>
                </c:pt>
                <c:pt idx="1">
                  <c:v>0.79759999999999998</c:v>
                </c:pt>
                <c:pt idx="2">
                  <c:v>1.54</c:v>
                </c:pt>
                <c:pt idx="3">
                  <c:v>2.36</c:v>
                </c:pt>
                <c:pt idx="4">
                  <c:v>3.06</c:v>
                </c:pt>
                <c:pt idx="5">
                  <c:v>3.64</c:v>
                </c:pt>
                <c:pt idx="6">
                  <c:v>4.0999999999999996</c:v>
                </c:pt>
                <c:pt idx="7">
                  <c:v>4.4399999999999995</c:v>
                </c:pt>
                <c:pt idx="8">
                  <c:v>4.66</c:v>
                </c:pt>
                <c:pt idx="9">
                  <c:v>4.7599999999999989</c:v>
                </c:pt>
                <c:pt idx="10">
                  <c:v>4.7650000000000006</c:v>
                </c:pt>
                <c:pt idx="11">
                  <c:v>4.7313999999999989</c:v>
                </c:pt>
              </c:numCache>
            </c:numRef>
          </c:yVal>
          <c:smooth val="1"/>
        </c:ser>
        <c:ser>
          <c:idx val="3"/>
          <c:order val="1"/>
          <c:tx>
            <c:v>Left Overbank Contraction Scour</c:v>
          </c:tx>
          <c:spPr>
            <a:ln w="12700">
              <a:solidFill>
                <a:srgbClr val="FF0000"/>
              </a:solidFill>
              <a:prstDash val="lgDashDotDot"/>
            </a:ln>
          </c:spPr>
          <c:marker>
            <c:symbol val="none"/>
          </c:marker>
          <c:xVal>
            <c:strRef>
              <c:f>'Graph Data'!$F$61:$F$63</c:f>
              <c:strCache>
                <c:ptCount val="3"/>
                <c:pt idx="0">
                  <c:v>0</c:v>
                </c:pt>
                <c:pt idx="1">
                  <c:v>No Data</c:v>
                </c:pt>
                <c:pt idx="2">
                  <c:v>No Data</c:v>
                </c:pt>
              </c:strCache>
            </c:strRef>
          </c:xVal>
          <c:yVal>
            <c:numRef>
              <c:f>'Graph Data'!$G$61:$G$63</c:f>
              <c:numCache>
                <c:formatCode>0.0</c:formatCode>
                <c:ptCount val="3"/>
                <c:pt idx="0">
                  <c:v>0</c:v>
                </c:pt>
                <c:pt idx="1">
                  <c:v>0</c:v>
                </c:pt>
                <c:pt idx="2" formatCode="General">
                  <c:v>0</c:v>
                </c:pt>
              </c:numCache>
            </c:numRef>
          </c:yVal>
          <c:smooth val="0"/>
        </c:ser>
        <c:ser>
          <c:idx val="4"/>
          <c:order val="2"/>
          <c:tx>
            <c:v>Right Overbank Contraction Scour</c:v>
          </c:tx>
          <c:spPr>
            <a:ln w="12700">
              <a:solidFill>
                <a:srgbClr val="3366FF"/>
              </a:solidFill>
              <a:prstDash val="lgDashDot"/>
            </a:ln>
          </c:spPr>
          <c:marker>
            <c:symbol val="none"/>
          </c:marker>
          <c:xVal>
            <c:strRef>
              <c:f>'Graph Data'!$J$61:$J$63</c:f>
              <c:strCache>
                <c:ptCount val="3"/>
                <c:pt idx="0">
                  <c:v>0</c:v>
                </c:pt>
                <c:pt idx="1">
                  <c:v>No Data</c:v>
                </c:pt>
                <c:pt idx="2">
                  <c:v>No Data</c:v>
                </c:pt>
              </c:strCache>
            </c:strRef>
          </c:xVal>
          <c:yVal>
            <c:numRef>
              <c:f>'Graph Data'!$K$61:$K$63</c:f>
              <c:numCache>
                <c:formatCode>0.0</c:formatCode>
                <c:ptCount val="3"/>
                <c:pt idx="0">
                  <c:v>0</c:v>
                </c:pt>
                <c:pt idx="1">
                  <c:v>0</c:v>
                </c:pt>
                <c:pt idx="2" formatCode="General">
                  <c:v>0</c:v>
                </c:pt>
              </c:numCache>
            </c:numRef>
          </c:yVal>
          <c:smooth val="0"/>
        </c:ser>
        <c:dLbls>
          <c:showLegendKey val="0"/>
          <c:showVal val="0"/>
          <c:showCatName val="0"/>
          <c:showSerName val="0"/>
          <c:showPercent val="0"/>
          <c:showBubbleSize val="0"/>
        </c:dLbls>
        <c:axId val="215600192"/>
        <c:axId val="215602544"/>
      </c:scatterChart>
      <c:valAx>
        <c:axId val="215600192"/>
        <c:scaling>
          <c:orientation val="minMax"/>
          <c:max val="1"/>
        </c:scaling>
        <c:delete val="0"/>
        <c:axPos val="b"/>
        <c:title>
          <c:tx>
            <c:rich>
              <a:bodyPr/>
              <a:lstStyle/>
              <a:p>
                <a:pPr>
                  <a:defRPr sz="800" b="0" i="0" u="none" strike="noStrike" baseline="0">
                    <a:solidFill>
                      <a:srgbClr val="000000"/>
                    </a:solidFill>
                    <a:latin typeface="Arial"/>
                    <a:ea typeface="Arial"/>
                    <a:cs typeface="Arial"/>
                  </a:defRPr>
                </a:pPr>
                <a:r>
                  <a:rPr lang="en-US"/>
                  <a:t>GEOMETRIC-CONTRACTION RATIO</a:t>
                </a:r>
              </a:p>
            </c:rich>
          </c:tx>
          <c:layout>
            <c:manualLayout>
              <c:xMode val="edge"/>
              <c:yMode val="edge"/>
              <c:x val="0.34404123440629697"/>
              <c:y val="0.91000922672429529"/>
            </c:manualLayout>
          </c:layout>
          <c:overlay val="0"/>
          <c:spPr>
            <a:noFill/>
            <a:ln w="25400">
              <a:noFill/>
            </a:ln>
          </c:spPr>
        </c:title>
        <c:numFmt formatCode="#,##0.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602544"/>
        <c:crosses val="autoZero"/>
        <c:crossBetween val="midCat"/>
        <c:majorUnit val="0.2"/>
        <c:minorUnit val="0.1"/>
      </c:valAx>
      <c:valAx>
        <c:axId val="215602544"/>
        <c:scaling>
          <c:orientation val="minMax"/>
          <c:max val="10"/>
        </c:scaling>
        <c:delete val="0"/>
        <c:axPos val="l"/>
        <c:title>
          <c:tx>
            <c:rich>
              <a:bodyPr/>
              <a:lstStyle/>
              <a:p>
                <a:pPr>
                  <a:defRPr sz="800" b="0" i="0" u="none" strike="noStrike" baseline="0">
                    <a:solidFill>
                      <a:srgbClr val="000000"/>
                    </a:solidFill>
                    <a:latin typeface="Arial"/>
                    <a:ea typeface="Arial"/>
                    <a:cs typeface="Arial"/>
                  </a:defRPr>
                </a:pPr>
                <a:r>
                  <a:rPr lang="en-US"/>
                  <a:t>CONTRACTION-SCOUR DEPTH, IN FEET</a:t>
                </a:r>
              </a:p>
            </c:rich>
          </c:tx>
          <c:layout>
            <c:manualLayout>
              <c:xMode val="edge"/>
              <c:yMode val="edge"/>
              <c:x val="3.117187757388086E-2"/>
              <c:y val="0.26210590438372849"/>
            </c:manualLayout>
          </c:layout>
          <c:overlay val="0"/>
          <c:spPr>
            <a:noFill/>
            <a:ln w="25400">
              <a:noFill/>
            </a:ln>
          </c:spPr>
        </c:title>
        <c:numFmt formatCode="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600192"/>
        <c:crosses val="autoZero"/>
        <c:crossBetween val="midCat"/>
        <c:majorUnit val="5"/>
        <c:minorUnit val="1"/>
      </c:valAx>
      <c:spPr>
        <a:noFill/>
        <a:ln w="3175">
          <a:solidFill>
            <a:srgbClr val="000000"/>
          </a:solidFill>
          <a:prstDash val="solid"/>
        </a:ln>
      </c:spPr>
    </c:plotArea>
    <c:legend>
      <c:legendPos val="r"/>
      <c:layout>
        <c:manualLayout>
          <c:xMode val="edge"/>
          <c:yMode val="edge"/>
          <c:x val="0.51908371303744338"/>
          <c:y val="1.163669727530477E-2"/>
          <c:w val="0.47008601991418436"/>
          <c:h val="0.1576600353053213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en-US" sz="1100" b="0" i="0" u="none" strike="noStrike" baseline="0">
                <a:effectLst/>
              </a:rPr>
              <a:t>Original  </a:t>
            </a:r>
            <a:r>
              <a:rPr lang="en-US" sz="1100"/>
              <a:t>Envelope Curves for 
Abutment Scour by Embankment Length</a:t>
            </a:r>
          </a:p>
        </c:rich>
      </c:tx>
      <c:layout>
        <c:manualLayout>
          <c:xMode val="edge"/>
          <c:yMode val="edge"/>
          <c:x val="4.6339852679705355E-2"/>
          <c:y val="3.9443212802283398E-2"/>
        </c:manualLayout>
      </c:layout>
      <c:overlay val="0"/>
      <c:spPr>
        <a:noFill/>
        <a:ln w="25400">
          <a:noFill/>
        </a:ln>
      </c:spPr>
    </c:title>
    <c:autoTitleDeleted val="0"/>
    <c:plotArea>
      <c:layout>
        <c:manualLayout>
          <c:layoutTarget val="inner"/>
          <c:xMode val="edge"/>
          <c:yMode val="edge"/>
          <c:x val="0.13157183981034626"/>
          <c:y val="0.22330465083909962"/>
          <c:w val="0.82203036336877755"/>
          <c:h val="0.64965197215777692"/>
        </c:manualLayout>
      </c:layout>
      <c:scatterChart>
        <c:scatterStyle val="lineMarker"/>
        <c:varyColors val="0"/>
        <c:ser>
          <c:idx val="0"/>
          <c:order val="0"/>
          <c:tx>
            <c:v>Coastal Plain Envelope</c:v>
          </c:tx>
          <c:spPr>
            <a:ln w="25400">
              <a:solidFill>
                <a:srgbClr val="969696"/>
              </a:solidFill>
              <a:prstDash val="solid"/>
            </a:ln>
          </c:spPr>
          <c:marker>
            <c:symbol val="none"/>
          </c:marker>
          <c:xVal>
            <c:numRef>
              <c:f>'Graph Data'!$F$103:$F$105</c:f>
              <c:numCache>
                <c:formatCode>General</c:formatCode>
                <c:ptCount val="3"/>
                <c:pt idx="0">
                  <c:v>0</c:v>
                </c:pt>
                <c:pt idx="1">
                  <c:v>426.5</c:v>
                </c:pt>
                <c:pt idx="2">
                  <c:v>7440.6</c:v>
                </c:pt>
              </c:numCache>
            </c:numRef>
          </c:xVal>
          <c:yVal>
            <c:numRef>
              <c:f>'Graph Data'!$G$103:$G$105</c:f>
              <c:numCache>
                <c:formatCode>General</c:formatCode>
                <c:ptCount val="3"/>
                <c:pt idx="0">
                  <c:v>0</c:v>
                </c:pt>
                <c:pt idx="1">
                  <c:v>14.4</c:v>
                </c:pt>
                <c:pt idx="2">
                  <c:v>23.6</c:v>
                </c:pt>
              </c:numCache>
            </c:numRef>
          </c:yVal>
          <c:smooth val="0"/>
        </c:ser>
        <c:ser>
          <c:idx val="1"/>
          <c:order val="1"/>
          <c:tx>
            <c:v>Piedmont</c:v>
          </c:tx>
          <c:spPr>
            <a:ln w="28575">
              <a:noFill/>
            </a:ln>
          </c:spPr>
          <c:marker>
            <c:symbol val="none"/>
          </c:marker>
          <c:trendline>
            <c:name>Piedmont Envelope</c:name>
            <c:spPr>
              <a:ln w="25400">
                <a:solidFill>
                  <a:srgbClr val="000000"/>
                </a:solidFill>
                <a:prstDash val="solid"/>
              </a:ln>
            </c:spPr>
            <c:trendlineType val="poly"/>
            <c:order val="2"/>
            <c:intercept val="0"/>
            <c:dispRSqr val="0"/>
            <c:dispEq val="0"/>
          </c:trendline>
          <c:xVal>
            <c:numRef>
              <c:f>'Graph Data'!$I$103:$I$111</c:f>
              <c:numCache>
                <c:formatCode>General</c:formatCode>
                <c:ptCount val="9"/>
                <c:pt idx="0">
                  <c:v>0</c:v>
                </c:pt>
                <c:pt idx="1">
                  <c:v>18.399999999999999</c:v>
                </c:pt>
                <c:pt idx="2">
                  <c:v>112.3</c:v>
                </c:pt>
                <c:pt idx="3">
                  <c:v>181.4</c:v>
                </c:pt>
                <c:pt idx="4">
                  <c:v>408.5</c:v>
                </c:pt>
                <c:pt idx="5">
                  <c:v>571.79999999999995</c:v>
                </c:pt>
                <c:pt idx="6">
                  <c:v>606.4</c:v>
                </c:pt>
                <c:pt idx="7">
                  <c:v>675</c:v>
                </c:pt>
                <c:pt idx="8">
                  <c:v>952.9</c:v>
                </c:pt>
              </c:numCache>
            </c:numRef>
          </c:xVal>
          <c:yVal>
            <c:numRef>
              <c:f>'Graph Data'!$J$103:$J$111</c:f>
              <c:numCache>
                <c:formatCode>General</c:formatCode>
                <c:ptCount val="9"/>
                <c:pt idx="0">
                  <c:v>0</c:v>
                </c:pt>
                <c:pt idx="1">
                  <c:v>0.6</c:v>
                </c:pt>
                <c:pt idx="2">
                  <c:v>3.1</c:v>
                </c:pt>
                <c:pt idx="3">
                  <c:v>4.5999999999999996</c:v>
                </c:pt>
                <c:pt idx="4">
                  <c:v>9.6999999999999993</c:v>
                </c:pt>
                <c:pt idx="5">
                  <c:v>12.9</c:v>
                </c:pt>
                <c:pt idx="6">
                  <c:v>13.7</c:v>
                </c:pt>
                <c:pt idx="7">
                  <c:v>14.2</c:v>
                </c:pt>
                <c:pt idx="8">
                  <c:v>18</c:v>
                </c:pt>
              </c:numCache>
            </c:numRef>
          </c:yVal>
          <c:smooth val="0"/>
        </c:ser>
        <c:ser>
          <c:idx val="3"/>
          <c:order val="2"/>
          <c:tx>
            <c:v>Left Abutment</c:v>
          </c:tx>
          <c:spPr>
            <a:ln w="12700">
              <a:solidFill>
                <a:srgbClr val="FF0000"/>
              </a:solidFill>
              <a:prstDash val="lgDashDotDot"/>
            </a:ln>
          </c:spPr>
          <c:marker>
            <c:symbol val="none"/>
          </c:marker>
          <c:xVal>
            <c:strRef>
              <c:f>'Graph Data'!$F$12:$F$14</c:f>
              <c:strCache>
                <c:ptCount val="3"/>
                <c:pt idx="0">
                  <c:v>0</c:v>
                </c:pt>
                <c:pt idx="1">
                  <c:v>No Data</c:v>
                </c:pt>
                <c:pt idx="2">
                  <c:v>No Data</c:v>
                </c:pt>
              </c:strCache>
            </c:strRef>
          </c:xVal>
          <c:yVal>
            <c:numRef>
              <c:f>'Graph Data'!$G$12:$G$14</c:f>
              <c:numCache>
                <c:formatCode>0.0</c:formatCode>
                <c:ptCount val="3"/>
                <c:pt idx="0">
                  <c:v>0</c:v>
                </c:pt>
                <c:pt idx="1">
                  <c:v>0</c:v>
                </c:pt>
                <c:pt idx="2" formatCode="General">
                  <c:v>0</c:v>
                </c:pt>
              </c:numCache>
            </c:numRef>
          </c:yVal>
          <c:smooth val="0"/>
        </c:ser>
        <c:ser>
          <c:idx val="4"/>
          <c:order val="3"/>
          <c:tx>
            <c:v>Right Abutment</c:v>
          </c:tx>
          <c:spPr>
            <a:ln w="12700">
              <a:solidFill>
                <a:srgbClr val="3366FF"/>
              </a:solidFill>
              <a:prstDash val="lgDashDot"/>
            </a:ln>
          </c:spPr>
          <c:marker>
            <c:symbol val="none"/>
          </c:marker>
          <c:xVal>
            <c:strRef>
              <c:f>'Graph Data'!$J$12:$J$14</c:f>
              <c:strCache>
                <c:ptCount val="3"/>
                <c:pt idx="0">
                  <c:v>0</c:v>
                </c:pt>
                <c:pt idx="1">
                  <c:v>No Data</c:v>
                </c:pt>
                <c:pt idx="2">
                  <c:v>No Data</c:v>
                </c:pt>
              </c:strCache>
            </c:strRef>
          </c:xVal>
          <c:yVal>
            <c:numRef>
              <c:f>'Graph Data'!$K$12:$K$14</c:f>
              <c:numCache>
                <c:formatCode>0.0</c:formatCode>
                <c:ptCount val="3"/>
                <c:pt idx="0">
                  <c:v>0</c:v>
                </c:pt>
                <c:pt idx="1">
                  <c:v>0</c:v>
                </c:pt>
                <c:pt idx="2" formatCode="General">
                  <c:v>0</c:v>
                </c:pt>
              </c:numCache>
            </c:numRef>
          </c:yVal>
          <c:smooth val="0"/>
        </c:ser>
        <c:ser>
          <c:idx val="2"/>
          <c:order val="4"/>
          <c:tx>
            <c:v>5 Foot breakline</c:v>
          </c:tx>
          <c:spPr>
            <a:ln w="25400">
              <a:solidFill>
                <a:srgbClr val="000000"/>
              </a:solidFill>
              <a:prstDash val="lgDash"/>
            </a:ln>
          </c:spPr>
          <c:marker>
            <c:symbol val="none"/>
          </c:marker>
          <c:xVal>
            <c:numRef>
              <c:f>'Graph Data'!$M$12:$M$13</c:f>
              <c:numCache>
                <c:formatCode>General</c:formatCode>
                <c:ptCount val="2"/>
                <c:pt idx="0">
                  <c:v>0</c:v>
                </c:pt>
                <c:pt idx="1">
                  <c:v>194</c:v>
                </c:pt>
              </c:numCache>
            </c:numRef>
          </c:xVal>
          <c:yVal>
            <c:numRef>
              <c:f>'Graph Data'!$N$12:$N$13</c:f>
              <c:numCache>
                <c:formatCode>General</c:formatCode>
                <c:ptCount val="2"/>
                <c:pt idx="0">
                  <c:v>5</c:v>
                </c:pt>
                <c:pt idx="1">
                  <c:v>5</c:v>
                </c:pt>
              </c:numCache>
            </c:numRef>
          </c:yVal>
          <c:smooth val="0"/>
        </c:ser>
        <c:dLbls>
          <c:showLegendKey val="0"/>
          <c:showVal val="0"/>
          <c:showCatName val="0"/>
          <c:showSerName val="0"/>
          <c:showPercent val="0"/>
          <c:showBubbleSize val="0"/>
        </c:dLbls>
        <c:axId val="215604896"/>
        <c:axId val="215602936"/>
      </c:scatterChart>
      <c:valAx>
        <c:axId val="215604896"/>
        <c:scaling>
          <c:orientation val="minMax"/>
          <c:max val="8000"/>
        </c:scaling>
        <c:delete val="0"/>
        <c:axPos val="b"/>
        <c:title>
          <c:tx>
            <c:rich>
              <a:bodyPr/>
              <a:lstStyle/>
              <a:p>
                <a:pPr>
                  <a:defRPr sz="800" b="0" i="0" u="none" strike="noStrike" baseline="0">
                    <a:solidFill>
                      <a:srgbClr val="000000"/>
                    </a:solidFill>
                    <a:latin typeface="Arial"/>
                    <a:ea typeface="Arial"/>
                    <a:cs typeface="Arial"/>
                  </a:defRPr>
                </a:pPr>
                <a:r>
                  <a:rPr lang="en-US"/>
                  <a:t>EMBANKMENT</a:t>
                </a:r>
                <a:r>
                  <a:rPr lang="en-US" baseline="0"/>
                  <a:t> </a:t>
                </a:r>
                <a:r>
                  <a:rPr lang="en-US"/>
                  <a:t>LENGTH, IN FEET</a:t>
                </a:r>
              </a:p>
            </c:rich>
          </c:tx>
          <c:layout>
            <c:manualLayout>
              <c:xMode val="edge"/>
              <c:yMode val="edge"/>
              <c:x val="0.35530162560325124"/>
              <c:y val="0.94571875630930735"/>
            </c:manualLayout>
          </c:layout>
          <c:overlay val="0"/>
          <c:spPr>
            <a:noFill/>
            <a:ln w="25400">
              <a:noFill/>
            </a:ln>
          </c:spPr>
        </c:title>
        <c:numFmt formatCode="#,##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602936"/>
        <c:crosses val="autoZero"/>
        <c:crossBetween val="midCat"/>
        <c:majorUnit val="1000"/>
        <c:minorUnit val="500"/>
      </c:valAx>
      <c:valAx>
        <c:axId val="215602936"/>
        <c:scaling>
          <c:orientation val="minMax"/>
          <c:max val="25"/>
        </c:scaling>
        <c:delete val="0"/>
        <c:axPos val="l"/>
        <c:title>
          <c:tx>
            <c:rich>
              <a:bodyPr/>
              <a:lstStyle/>
              <a:p>
                <a:pPr>
                  <a:defRPr sz="800" b="0" i="0" u="none" strike="noStrike" baseline="0">
                    <a:solidFill>
                      <a:srgbClr val="000000"/>
                    </a:solidFill>
                    <a:latin typeface="Arial"/>
                    <a:ea typeface="Arial"/>
                    <a:cs typeface="Arial"/>
                  </a:defRPr>
                </a:pPr>
                <a:r>
                  <a:rPr lang="en-US"/>
                  <a:t>ABUTMENT-SCOUR DEPTH, IN FEET</a:t>
                </a:r>
              </a:p>
            </c:rich>
          </c:tx>
          <c:layout>
            <c:manualLayout>
              <c:xMode val="edge"/>
              <c:yMode val="edge"/>
              <c:x val="4.4325205317077301E-2"/>
              <c:y val="0.28770302983971668"/>
            </c:manualLayout>
          </c:layout>
          <c:overlay val="0"/>
          <c:spPr>
            <a:noFill/>
            <a:ln w="25400">
              <a:noFill/>
            </a:ln>
          </c:spPr>
        </c:title>
        <c:numFmt formatCode="General" sourceLinked="1"/>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604896"/>
        <c:crosses val="autoZero"/>
        <c:crossBetween val="midCat"/>
        <c:majorUnit val="5"/>
        <c:minorUnit val="1"/>
      </c:valAx>
      <c:spPr>
        <a:noFill/>
        <a:ln w="12700">
          <a:solidFill>
            <a:srgbClr val="000000"/>
          </a:solidFill>
          <a:prstDash val="solid"/>
        </a:ln>
      </c:spPr>
    </c:plotArea>
    <c:legend>
      <c:legendPos val="r"/>
      <c:legendEntry>
        <c:idx val="1"/>
        <c:delete val="1"/>
      </c:legendEntry>
      <c:layout>
        <c:manualLayout>
          <c:xMode val="edge"/>
          <c:yMode val="edge"/>
          <c:x val="0.60644886123105579"/>
          <c:y val="1.1601049868766471E-2"/>
          <c:w val="0.38079353992041332"/>
          <c:h val="0.1856147593201337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orientation="landscape" horizontalDpi="-3"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Envelope Curves for 
Pier Scour</a:t>
            </a:r>
          </a:p>
        </c:rich>
      </c:tx>
      <c:layout>
        <c:manualLayout>
          <c:xMode val="edge"/>
          <c:yMode val="edge"/>
          <c:x val="4.4685359452019707E-2"/>
          <c:y val="3.9937216284688992E-2"/>
        </c:manualLayout>
      </c:layout>
      <c:overlay val="0"/>
      <c:spPr>
        <a:noFill/>
        <a:ln w="25400">
          <a:noFill/>
        </a:ln>
      </c:spPr>
    </c:title>
    <c:autoTitleDeleted val="0"/>
    <c:plotArea>
      <c:layout>
        <c:manualLayout>
          <c:layoutTarget val="inner"/>
          <c:xMode val="edge"/>
          <c:yMode val="edge"/>
          <c:x val="0.10702357110334923"/>
          <c:y val="0.26474772224468918"/>
          <c:w val="0.82058443155581295"/>
          <c:h val="0.58443388107675442"/>
        </c:manualLayout>
      </c:layout>
      <c:scatterChart>
        <c:scatterStyle val="lineMarker"/>
        <c:varyColors val="0"/>
        <c:ser>
          <c:idx val="0"/>
          <c:order val="0"/>
          <c:tx>
            <c:v>SC Clear-Water Envelope</c:v>
          </c:tx>
          <c:spPr>
            <a:ln w="25400">
              <a:solidFill>
                <a:srgbClr val="969696"/>
              </a:solidFill>
              <a:prstDash val="solid"/>
            </a:ln>
          </c:spPr>
          <c:marker>
            <c:symbol val="none"/>
          </c:marker>
          <c:xVal>
            <c:numRef>
              <c:f>'Graph Data'!$Q$103:$Q$111</c:f>
              <c:numCache>
                <c:formatCode>General</c:formatCode>
                <c:ptCount val="9"/>
                <c:pt idx="0">
                  <c:v>0</c:v>
                </c:pt>
                <c:pt idx="1">
                  <c:v>2</c:v>
                </c:pt>
                <c:pt idx="2">
                  <c:v>4</c:v>
                </c:pt>
                <c:pt idx="3">
                  <c:v>6</c:v>
                </c:pt>
                <c:pt idx="4">
                  <c:v>8</c:v>
                </c:pt>
                <c:pt idx="5">
                  <c:v>10</c:v>
                </c:pt>
                <c:pt idx="6">
                  <c:v>12</c:v>
                </c:pt>
                <c:pt idx="7">
                  <c:v>14</c:v>
                </c:pt>
                <c:pt idx="8">
                  <c:v>16</c:v>
                </c:pt>
              </c:numCache>
            </c:numRef>
          </c:xVal>
          <c:yVal>
            <c:numRef>
              <c:f>'Graph Data'!$R$103:$R$111</c:f>
              <c:numCache>
                <c:formatCode>0.0</c:formatCode>
                <c:ptCount val="9"/>
                <c:pt idx="0">
                  <c:v>0.5</c:v>
                </c:pt>
                <c:pt idx="1">
                  <c:v>3.5</c:v>
                </c:pt>
                <c:pt idx="2">
                  <c:v>6.5</c:v>
                </c:pt>
                <c:pt idx="3">
                  <c:v>9.5</c:v>
                </c:pt>
              </c:numCache>
            </c:numRef>
          </c:yVal>
          <c:smooth val="0"/>
        </c:ser>
        <c:ser>
          <c:idx val="1"/>
          <c:order val="1"/>
          <c:tx>
            <c:v>SC Live-Bed Envelope</c:v>
          </c:tx>
          <c:spPr>
            <a:ln w="28575">
              <a:solidFill>
                <a:srgbClr val="000000"/>
              </a:solidFill>
            </a:ln>
          </c:spPr>
          <c:marker>
            <c:symbol val="none"/>
          </c:marker>
          <c:xVal>
            <c:numRef>
              <c:f>'Graph Data'!$Q$103:$Q$111</c:f>
              <c:numCache>
                <c:formatCode>General</c:formatCode>
                <c:ptCount val="9"/>
                <c:pt idx="0">
                  <c:v>0</c:v>
                </c:pt>
                <c:pt idx="1">
                  <c:v>2</c:v>
                </c:pt>
                <c:pt idx="2">
                  <c:v>4</c:v>
                </c:pt>
                <c:pt idx="3">
                  <c:v>6</c:v>
                </c:pt>
                <c:pt idx="4">
                  <c:v>8</c:v>
                </c:pt>
                <c:pt idx="5">
                  <c:v>10</c:v>
                </c:pt>
                <c:pt idx="6">
                  <c:v>12</c:v>
                </c:pt>
                <c:pt idx="7">
                  <c:v>14</c:v>
                </c:pt>
                <c:pt idx="8">
                  <c:v>16</c:v>
                </c:pt>
              </c:numCache>
            </c:numRef>
          </c:xVal>
          <c:yVal>
            <c:numRef>
              <c:f>'Graph Data'!$S$103:$S$111</c:f>
              <c:numCache>
                <c:formatCode>0.0</c:formatCode>
                <c:ptCount val="9"/>
                <c:pt idx="0">
                  <c:v>3.3</c:v>
                </c:pt>
                <c:pt idx="1">
                  <c:v>5.5</c:v>
                </c:pt>
                <c:pt idx="2">
                  <c:v>7.7</c:v>
                </c:pt>
                <c:pt idx="3">
                  <c:v>9.9</c:v>
                </c:pt>
              </c:numCache>
            </c:numRef>
          </c:yVal>
          <c:smooth val="0"/>
        </c:ser>
        <c:ser>
          <c:idx val="6"/>
          <c:order val="2"/>
          <c:tx>
            <c:v>PSDb-2014</c:v>
          </c:tx>
          <c:marker>
            <c:symbol val="none"/>
          </c:marker>
          <c:xVal>
            <c:numRef>
              <c:f>'Graph Data'!$Q$103:$Q$111</c:f>
              <c:numCache>
                <c:formatCode>General</c:formatCode>
                <c:ptCount val="9"/>
                <c:pt idx="0">
                  <c:v>0</c:v>
                </c:pt>
                <c:pt idx="1">
                  <c:v>2</c:v>
                </c:pt>
                <c:pt idx="2">
                  <c:v>4</c:v>
                </c:pt>
                <c:pt idx="3">
                  <c:v>6</c:v>
                </c:pt>
                <c:pt idx="4">
                  <c:v>8</c:v>
                </c:pt>
                <c:pt idx="5">
                  <c:v>10</c:v>
                </c:pt>
                <c:pt idx="6">
                  <c:v>12</c:v>
                </c:pt>
                <c:pt idx="7">
                  <c:v>14</c:v>
                </c:pt>
                <c:pt idx="8">
                  <c:v>16</c:v>
                </c:pt>
              </c:numCache>
            </c:numRef>
          </c:xVal>
          <c:yVal>
            <c:numRef>
              <c:f>'Graph Data'!$V$103:$V$111</c:f>
              <c:numCache>
                <c:formatCode>0.0</c:formatCode>
                <c:ptCount val="9"/>
                <c:pt idx="0">
                  <c:v>0</c:v>
                </c:pt>
                <c:pt idx="1">
                  <c:v>3.9187385644545913</c:v>
                </c:pt>
                <c:pt idx="2">
                  <c:v>7.3126247316874426</c:v>
                </c:pt>
                <c:pt idx="3">
                  <c:v>10.533080906182008</c:v>
                </c:pt>
                <c:pt idx="4">
                  <c:v>13.645840258784755</c:v>
                </c:pt>
                <c:pt idx="5">
                  <c:v>16.680892929209918</c:v>
                </c:pt>
                <c:pt idx="6">
                  <c:v>19.655423975988448</c:v>
                </c:pt>
                <c:pt idx="7">
                  <c:v>22.580550567210906</c:v>
                </c:pt>
                <c:pt idx="8">
                  <c:v>25.464038317374687</c:v>
                </c:pt>
              </c:numCache>
            </c:numRef>
          </c:yVal>
          <c:smooth val="0"/>
        </c:ser>
        <c:ser>
          <c:idx val="4"/>
          <c:order val="3"/>
          <c:tx>
            <c:v>2.5b Envelope</c:v>
          </c:tx>
          <c:spPr>
            <a:ln w="15875">
              <a:solidFill>
                <a:schemeClr val="tx1"/>
              </a:solidFill>
              <a:prstDash val="lgDashDot"/>
            </a:ln>
          </c:spPr>
          <c:marker>
            <c:symbol val="none"/>
          </c:marker>
          <c:xVal>
            <c:numRef>
              <c:f>'Graph Data'!$Q$103:$Q$111</c:f>
              <c:numCache>
                <c:formatCode>General</c:formatCode>
                <c:ptCount val="9"/>
                <c:pt idx="0">
                  <c:v>0</c:v>
                </c:pt>
                <c:pt idx="1">
                  <c:v>2</c:v>
                </c:pt>
                <c:pt idx="2">
                  <c:v>4</c:v>
                </c:pt>
                <c:pt idx="3">
                  <c:v>6</c:v>
                </c:pt>
                <c:pt idx="4">
                  <c:v>8</c:v>
                </c:pt>
                <c:pt idx="5">
                  <c:v>10</c:v>
                </c:pt>
                <c:pt idx="6">
                  <c:v>12</c:v>
                </c:pt>
                <c:pt idx="7">
                  <c:v>14</c:v>
                </c:pt>
                <c:pt idx="8">
                  <c:v>16</c:v>
                </c:pt>
              </c:numCache>
            </c:numRef>
          </c:xVal>
          <c:yVal>
            <c:numRef>
              <c:f>'Graph Data'!$U$103:$U$111</c:f>
              <c:numCache>
                <c:formatCode>0.0</c:formatCode>
                <c:ptCount val="9"/>
                <c:pt idx="0">
                  <c:v>0</c:v>
                </c:pt>
                <c:pt idx="1">
                  <c:v>5</c:v>
                </c:pt>
                <c:pt idx="2">
                  <c:v>10</c:v>
                </c:pt>
                <c:pt idx="3">
                  <c:v>15</c:v>
                </c:pt>
                <c:pt idx="4">
                  <c:v>20</c:v>
                </c:pt>
                <c:pt idx="5">
                  <c:v>25</c:v>
                </c:pt>
                <c:pt idx="6">
                  <c:v>30</c:v>
                </c:pt>
                <c:pt idx="7" formatCode="General">
                  <c:v>35</c:v>
                </c:pt>
                <c:pt idx="8">
                  <c:v>40</c:v>
                </c:pt>
              </c:numCache>
            </c:numRef>
          </c:yVal>
          <c:smooth val="0"/>
        </c:ser>
        <c:ser>
          <c:idx val="2"/>
          <c:order val="4"/>
          <c:tx>
            <c:v>Pier Scour Estimates</c:v>
          </c:tx>
          <c:spPr>
            <a:ln>
              <a:noFill/>
            </a:ln>
          </c:spPr>
          <c:marker>
            <c:symbol val="x"/>
            <c:size val="7"/>
            <c:spPr>
              <a:solidFill>
                <a:srgbClr val="FF0000"/>
              </a:solidFill>
              <a:ln w="12700">
                <a:solidFill>
                  <a:schemeClr val="bg1"/>
                </a:solidFill>
              </a:ln>
            </c:spPr>
          </c:marker>
          <c:xVal>
            <c:numRef>
              <c:f>'Pier Scour'!$F$31:$J$31</c:f>
              <c:numCache>
                <c:formatCode>General</c:formatCode>
                <c:ptCount val="5"/>
                <c:pt idx="0">
                  <c:v>15</c:v>
                </c:pt>
                <c:pt idx="1">
                  <c:v>16</c:v>
                </c:pt>
                <c:pt idx="2">
                  <c:v>16</c:v>
                </c:pt>
                <c:pt idx="3">
                  <c:v>16</c:v>
                </c:pt>
                <c:pt idx="4">
                  <c:v>16</c:v>
                </c:pt>
              </c:numCache>
            </c:numRef>
          </c:xVal>
          <c:yVal>
            <c:numRef>
              <c:f>'Pier Scour'!$F$40:$J$40</c:f>
              <c:numCache>
                <c:formatCode>0.0</c:formatCode>
                <c:ptCount val="5"/>
                <c:pt idx="0">
                  <c:v>24.027103982154301</c:v>
                </c:pt>
                <c:pt idx="1">
                  <c:v>25.464038317374687</c:v>
                </c:pt>
                <c:pt idx="2">
                  <c:v>25.464038317374687</c:v>
                </c:pt>
                <c:pt idx="3">
                  <c:v>25.464038317374687</c:v>
                </c:pt>
                <c:pt idx="4">
                  <c:v>25.464038317374687</c:v>
                </c:pt>
              </c:numCache>
            </c:numRef>
          </c:yVal>
          <c:smooth val="0"/>
        </c:ser>
        <c:ser>
          <c:idx val="5"/>
          <c:order val="5"/>
          <c:tx>
            <c:v>Pier Scour Estimates (Skewed)</c:v>
          </c:tx>
          <c:spPr>
            <a:ln>
              <a:noFill/>
            </a:ln>
          </c:spPr>
          <c:marker>
            <c:symbol val="circle"/>
            <c:size val="3"/>
            <c:spPr>
              <a:solidFill>
                <a:schemeClr val="accent1"/>
              </a:solidFill>
              <a:ln w="12700">
                <a:solidFill>
                  <a:schemeClr val="tx2"/>
                </a:solidFill>
              </a:ln>
            </c:spPr>
          </c:marker>
          <c:xVal>
            <c:numRef>
              <c:f>'Pier Scour'!$F$31:$J$31</c:f>
              <c:numCache>
                <c:formatCode>General</c:formatCode>
                <c:ptCount val="5"/>
                <c:pt idx="0">
                  <c:v>15</c:v>
                </c:pt>
                <c:pt idx="1">
                  <c:v>16</c:v>
                </c:pt>
                <c:pt idx="2">
                  <c:v>16</c:v>
                </c:pt>
                <c:pt idx="3">
                  <c:v>16</c:v>
                </c:pt>
                <c:pt idx="4">
                  <c:v>16</c:v>
                </c:pt>
              </c:numCache>
            </c:numRef>
          </c:xVal>
          <c:yVal>
            <c:numRef>
              <c:f>'Pier Scour'!$F$41:$J$41</c:f>
              <c:numCache>
                <c:formatCode>0.0</c:formatCode>
                <c:ptCount val="5"/>
                <c:pt idx="0">
                  <c:v>27.661794187957167</c:v>
                </c:pt>
                <c:pt idx="1">
                  <c:v>31.250988362056351</c:v>
                </c:pt>
                <c:pt idx="2" formatCode="0.00">
                  <c:v>30.039322117339882</c:v>
                </c:pt>
                <c:pt idx="3">
                  <c:v>34.133226687111197</c:v>
                </c:pt>
                <c:pt idx="4">
                  <c:v>25.464038317374687</c:v>
                </c:pt>
              </c:numCache>
            </c:numRef>
          </c:yVal>
          <c:smooth val="0"/>
        </c:ser>
        <c:dLbls>
          <c:showLegendKey val="0"/>
          <c:showVal val="0"/>
          <c:showCatName val="0"/>
          <c:showSerName val="0"/>
          <c:showPercent val="0"/>
          <c:showBubbleSize val="0"/>
        </c:dLbls>
        <c:axId val="215599800"/>
        <c:axId val="215601368"/>
      </c:scatterChart>
      <c:valAx>
        <c:axId val="215599800"/>
        <c:scaling>
          <c:orientation val="minMax"/>
          <c:max val="16"/>
          <c:min val="0"/>
        </c:scaling>
        <c:delete val="0"/>
        <c:axPos val="b"/>
        <c:title>
          <c:tx>
            <c:rich>
              <a:bodyPr/>
              <a:lstStyle/>
              <a:p>
                <a:pPr>
                  <a:defRPr sz="800" b="0" i="0" u="none" strike="noStrike" baseline="0">
                    <a:solidFill>
                      <a:srgbClr val="000000"/>
                    </a:solidFill>
                    <a:latin typeface="Arial"/>
                    <a:ea typeface="Arial"/>
                    <a:cs typeface="Arial"/>
                  </a:defRPr>
                </a:pPr>
                <a:r>
                  <a:rPr lang="en-US"/>
                  <a:t>PIER WIDTH, IN FEET</a:t>
                </a:r>
              </a:p>
            </c:rich>
          </c:tx>
          <c:layout>
            <c:manualLayout>
              <c:xMode val="edge"/>
              <c:yMode val="edge"/>
              <c:x val="0.39476289680055715"/>
              <c:y val="0.92097695226262455"/>
            </c:manualLayout>
          </c:layout>
          <c:overlay val="0"/>
          <c:spPr>
            <a:noFill/>
            <a:ln w="25400">
              <a:noFill/>
            </a:ln>
          </c:spPr>
        </c:title>
        <c:numFmt formatCode="#,##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601368"/>
        <c:crosses val="autoZero"/>
        <c:crossBetween val="midCat"/>
        <c:majorUnit val="2"/>
        <c:minorUnit val="0.5"/>
      </c:valAx>
      <c:valAx>
        <c:axId val="215601368"/>
        <c:scaling>
          <c:orientation val="minMax"/>
          <c:max val="40"/>
          <c:min val="0"/>
        </c:scaling>
        <c:delete val="0"/>
        <c:axPos val="l"/>
        <c:title>
          <c:tx>
            <c:rich>
              <a:bodyPr/>
              <a:lstStyle/>
              <a:p>
                <a:pPr>
                  <a:defRPr sz="800" b="0" i="0" u="none" strike="noStrike" baseline="0">
                    <a:solidFill>
                      <a:srgbClr val="000000"/>
                    </a:solidFill>
                    <a:latin typeface="Arial"/>
                    <a:ea typeface="Arial"/>
                    <a:cs typeface="Arial"/>
                  </a:defRPr>
                </a:pPr>
                <a:r>
                  <a:rPr lang="en-US"/>
                  <a:t>PIER-SCOUR DEPTH, IN FEET</a:t>
                </a:r>
              </a:p>
            </c:rich>
          </c:tx>
          <c:layout>
            <c:manualLayout>
              <c:xMode val="edge"/>
              <c:yMode val="edge"/>
              <c:x val="2.8436079636386915E-2"/>
              <c:y val="0.30070533987221831"/>
            </c:manualLayout>
          </c:layout>
          <c:overlay val="0"/>
          <c:spPr>
            <a:noFill/>
            <a:ln w="25400">
              <a:noFill/>
            </a:ln>
          </c:spPr>
        </c:title>
        <c:numFmt formatCode="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599800"/>
        <c:crosses val="autoZero"/>
        <c:crossBetween val="midCat"/>
        <c:majorUnit val="10"/>
        <c:minorUnit val="2"/>
      </c:valAx>
      <c:spPr>
        <a:noFill/>
        <a:ln w="12700">
          <a:solidFill>
            <a:srgbClr val="000000"/>
          </a:solidFill>
          <a:prstDash val="solid"/>
        </a:ln>
      </c:spPr>
    </c:plotArea>
    <c:legend>
      <c:legendPos val="r"/>
      <c:layout>
        <c:manualLayout>
          <c:xMode val="edge"/>
          <c:yMode val="edge"/>
          <c:x val="0.40823640371442277"/>
          <c:y val="1.4131879222473252E-2"/>
          <c:w val="0.54755743827709424"/>
          <c:h val="0.24818886756446859"/>
        </c:manualLayout>
      </c:layout>
      <c:overlay val="0"/>
      <c:txPr>
        <a:bodyPr/>
        <a:lstStyle/>
        <a:p>
          <a:pPr>
            <a:defRPr sz="800"/>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US" sz="1100" b="0" i="0" baseline="0">
                <a:latin typeface="Arial" pitchFamily="34" charset="0"/>
                <a:cs typeface="Arial" pitchFamily="34" charset="0"/>
              </a:rPr>
              <a:t>Single-Column Skew Coefficient</a:t>
            </a:r>
            <a:endParaRPr lang="en-US" sz="1100">
              <a:latin typeface="Arial" pitchFamily="34" charset="0"/>
              <a:cs typeface="Arial" pitchFamily="34" charset="0"/>
            </a:endParaRPr>
          </a:p>
          <a:p>
            <a:pPr>
              <a:defRPr sz="1100">
                <a:latin typeface="Arial" pitchFamily="34" charset="0"/>
                <a:cs typeface="Arial" pitchFamily="34" charset="0"/>
              </a:defRPr>
            </a:pPr>
            <a:r>
              <a:rPr lang="en-US" sz="1100" b="0" i="0" baseline="0">
                <a:latin typeface="Arial" pitchFamily="34" charset="0"/>
                <a:cs typeface="Arial" pitchFamily="34" charset="0"/>
              </a:rPr>
              <a:t>(HEC-18)</a:t>
            </a:r>
          </a:p>
        </c:rich>
      </c:tx>
      <c:layout>
        <c:manualLayout>
          <c:xMode val="edge"/>
          <c:yMode val="edge"/>
          <c:x val="0.11097481235898146"/>
          <c:y val="4.3832409837659389E-2"/>
        </c:manualLayout>
      </c:layout>
      <c:overlay val="1"/>
    </c:title>
    <c:autoTitleDeleted val="0"/>
    <c:plotArea>
      <c:layout>
        <c:manualLayout>
          <c:layoutTarget val="inner"/>
          <c:xMode val="edge"/>
          <c:yMode val="edge"/>
          <c:x val="9.8409825632051723E-2"/>
          <c:y val="0.24785483296069474"/>
          <c:w val="0.82992020588032633"/>
          <c:h val="0.63256641068014663"/>
        </c:manualLayout>
      </c:layout>
      <c:scatterChart>
        <c:scatterStyle val="lineMarker"/>
        <c:varyColors val="0"/>
        <c:ser>
          <c:idx val="1"/>
          <c:order val="0"/>
          <c:tx>
            <c:v>L/a=4</c:v>
          </c:tx>
          <c:spPr>
            <a:ln w="28575">
              <a:noFill/>
            </a:ln>
          </c:spPr>
          <c:marker>
            <c:symbol val="none"/>
          </c:marker>
          <c:trendline>
            <c:spPr>
              <a:ln w="19050">
                <a:solidFill>
                  <a:srgbClr val="C00000"/>
                </a:solidFill>
              </a:ln>
            </c:spPr>
            <c:trendlineType val="poly"/>
            <c:order val="2"/>
            <c:dispRSqr val="0"/>
            <c:dispEq val="0"/>
          </c:trendline>
          <c:xVal>
            <c:numRef>
              <c:f>'Graph Data'!$O$137:$O$141</c:f>
              <c:numCache>
                <c:formatCode>0</c:formatCode>
                <c:ptCount val="5"/>
                <c:pt idx="0">
                  <c:v>0</c:v>
                </c:pt>
                <c:pt idx="1">
                  <c:v>15</c:v>
                </c:pt>
                <c:pt idx="2">
                  <c:v>30</c:v>
                </c:pt>
                <c:pt idx="3">
                  <c:v>45</c:v>
                </c:pt>
                <c:pt idx="4">
                  <c:v>90</c:v>
                </c:pt>
              </c:numCache>
            </c:numRef>
          </c:xVal>
          <c:yVal>
            <c:numRef>
              <c:f>'Graph Data'!$P$137:$P$141</c:f>
              <c:numCache>
                <c:formatCode>0.00</c:formatCode>
                <c:ptCount val="5"/>
                <c:pt idx="0">
                  <c:v>1</c:v>
                </c:pt>
                <c:pt idx="1">
                  <c:v>1.5</c:v>
                </c:pt>
                <c:pt idx="2">
                  <c:v>2</c:v>
                </c:pt>
                <c:pt idx="3">
                  <c:v>2.2999999999999998</c:v>
                </c:pt>
                <c:pt idx="4">
                  <c:v>2.5</c:v>
                </c:pt>
              </c:numCache>
            </c:numRef>
          </c:yVal>
          <c:smooth val="0"/>
        </c:ser>
        <c:ser>
          <c:idx val="0"/>
          <c:order val="1"/>
          <c:tx>
            <c:v>L/a=8</c:v>
          </c:tx>
          <c:spPr>
            <a:ln w="28575">
              <a:noFill/>
            </a:ln>
          </c:spPr>
          <c:marker>
            <c:symbol val="none"/>
          </c:marker>
          <c:trendline>
            <c:spPr>
              <a:ln w="19050">
                <a:solidFill>
                  <a:schemeClr val="accent1"/>
                </a:solidFill>
              </a:ln>
            </c:spPr>
            <c:trendlineType val="poly"/>
            <c:order val="2"/>
            <c:dispRSqr val="0"/>
            <c:dispEq val="0"/>
          </c:trendline>
          <c:xVal>
            <c:numRef>
              <c:f>'Graph Data'!$O$137:$O$141</c:f>
              <c:numCache>
                <c:formatCode>0</c:formatCode>
                <c:ptCount val="5"/>
                <c:pt idx="0">
                  <c:v>0</c:v>
                </c:pt>
                <c:pt idx="1">
                  <c:v>15</c:v>
                </c:pt>
                <c:pt idx="2">
                  <c:v>30</c:v>
                </c:pt>
                <c:pt idx="3">
                  <c:v>45</c:v>
                </c:pt>
                <c:pt idx="4">
                  <c:v>90</c:v>
                </c:pt>
              </c:numCache>
            </c:numRef>
          </c:xVal>
          <c:yVal>
            <c:numRef>
              <c:f>'Graph Data'!$Q$137:$Q$141</c:f>
              <c:numCache>
                <c:formatCode>0.00</c:formatCode>
                <c:ptCount val="5"/>
                <c:pt idx="0">
                  <c:v>1</c:v>
                </c:pt>
                <c:pt idx="1">
                  <c:v>2</c:v>
                </c:pt>
                <c:pt idx="2">
                  <c:v>2.75</c:v>
                </c:pt>
                <c:pt idx="3">
                  <c:v>3.3</c:v>
                </c:pt>
                <c:pt idx="4">
                  <c:v>3.9</c:v>
                </c:pt>
              </c:numCache>
            </c:numRef>
          </c:yVal>
          <c:smooth val="0"/>
        </c:ser>
        <c:ser>
          <c:idx val="2"/>
          <c:order val="2"/>
          <c:tx>
            <c:v>L/a=12</c:v>
          </c:tx>
          <c:spPr>
            <a:ln w="28575">
              <a:noFill/>
            </a:ln>
          </c:spPr>
          <c:marker>
            <c:symbol val="none"/>
          </c:marker>
          <c:trendline>
            <c:spPr>
              <a:ln w="19050">
                <a:solidFill>
                  <a:schemeClr val="accent3">
                    <a:lumMod val="75000"/>
                  </a:schemeClr>
                </a:solidFill>
              </a:ln>
            </c:spPr>
            <c:trendlineType val="poly"/>
            <c:order val="2"/>
            <c:dispRSqr val="0"/>
            <c:dispEq val="0"/>
          </c:trendline>
          <c:xVal>
            <c:numRef>
              <c:f>'Graph Data'!$O$137:$O$141</c:f>
              <c:numCache>
                <c:formatCode>0</c:formatCode>
                <c:ptCount val="5"/>
                <c:pt idx="0">
                  <c:v>0</c:v>
                </c:pt>
                <c:pt idx="1">
                  <c:v>15</c:v>
                </c:pt>
                <c:pt idx="2">
                  <c:v>30</c:v>
                </c:pt>
                <c:pt idx="3">
                  <c:v>45</c:v>
                </c:pt>
                <c:pt idx="4">
                  <c:v>90</c:v>
                </c:pt>
              </c:numCache>
            </c:numRef>
          </c:xVal>
          <c:yVal>
            <c:numRef>
              <c:f>'Graph Data'!$R$137:$R$141</c:f>
              <c:numCache>
                <c:formatCode>0.00</c:formatCode>
                <c:ptCount val="5"/>
                <c:pt idx="0">
                  <c:v>1</c:v>
                </c:pt>
                <c:pt idx="1">
                  <c:v>2.5</c:v>
                </c:pt>
                <c:pt idx="2">
                  <c:v>3.5</c:v>
                </c:pt>
                <c:pt idx="3">
                  <c:v>4.3</c:v>
                </c:pt>
                <c:pt idx="4">
                  <c:v>5</c:v>
                </c:pt>
              </c:numCache>
            </c:numRef>
          </c:yVal>
          <c:smooth val="1"/>
        </c:ser>
        <c:ser>
          <c:idx val="3"/>
          <c:order val="3"/>
          <c:tx>
            <c:v>Estimated Skew Coefficients</c:v>
          </c:tx>
          <c:spPr>
            <a:ln w="28575">
              <a:noFill/>
            </a:ln>
          </c:spPr>
          <c:marker>
            <c:symbol val="x"/>
            <c:size val="9"/>
            <c:spPr>
              <a:ln w="25400">
                <a:solidFill>
                  <a:schemeClr val="tx1"/>
                </a:solidFill>
              </a:ln>
            </c:spPr>
          </c:marker>
          <c:xVal>
            <c:numRef>
              <c:f>'Pier Scour'!$F$33:$J$33</c:f>
              <c:numCache>
                <c:formatCode>General</c:formatCode>
                <c:ptCount val="5"/>
                <c:pt idx="0">
                  <c:v>15</c:v>
                </c:pt>
                <c:pt idx="1">
                  <c:v>15</c:v>
                </c:pt>
                <c:pt idx="2">
                  <c:v>15</c:v>
                </c:pt>
                <c:pt idx="3">
                  <c:v>40</c:v>
                </c:pt>
                <c:pt idx="4">
                  <c:v>25</c:v>
                </c:pt>
              </c:numCache>
            </c:numRef>
          </c:xVal>
          <c:yVal>
            <c:numRef>
              <c:f>'Pier Scour'!$F$37:$J$37</c:f>
              <c:numCache>
                <c:formatCode>0.00</c:formatCode>
                <c:ptCount val="5"/>
                <c:pt idx="0">
                  <c:v>1.1512745859219016</c:v>
                </c:pt>
                <c:pt idx="1">
                  <c:v>1.2272597131906253</c:v>
                </c:pt>
                <c:pt idx="2">
                  <c:v>1.1796762847644389</c:v>
                </c:pt>
                <c:pt idx="3">
                  <c:v>1.3404482926740386</c:v>
                </c:pt>
                <c:pt idx="4">
                  <c:v>1</c:v>
                </c:pt>
              </c:numCache>
            </c:numRef>
          </c:yVal>
          <c:smooth val="0"/>
        </c:ser>
        <c:dLbls>
          <c:showLegendKey val="0"/>
          <c:showVal val="0"/>
          <c:showCatName val="0"/>
          <c:showSerName val="0"/>
          <c:showPercent val="0"/>
          <c:showBubbleSize val="0"/>
        </c:dLbls>
        <c:axId val="215605288"/>
        <c:axId val="215983528"/>
      </c:scatterChart>
      <c:valAx>
        <c:axId val="215605288"/>
        <c:scaling>
          <c:orientation val="minMax"/>
        </c:scaling>
        <c:delete val="0"/>
        <c:axPos val="b"/>
        <c:title>
          <c:tx>
            <c:rich>
              <a:bodyPr/>
              <a:lstStyle/>
              <a:p>
                <a:pPr>
                  <a:defRPr/>
                </a:pPr>
                <a:r>
                  <a:rPr lang="en-US"/>
                  <a:t>SKEW, IN DEGREES</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983528"/>
        <c:crosses val="autoZero"/>
        <c:crossBetween val="midCat"/>
      </c:valAx>
      <c:valAx>
        <c:axId val="215983528"/>
        <c:scaling>
          <c:orientation val="minMax"/>
          <c:max val="6"/>
          <c:min val="1"/>
        </c:scaling>
        <c:delete val="0"/>
        <c:axPos val="l"/>
        <c:majorGridlines/>
        <c:title>
          <c:tx>
            <c:rich>
              <a:bodyPr rot="-5400000" vert="horz"/>
              <a:lstStyle/>
              <a:p>
                <a:pPr>
                  <a:defRPr/>
                </a:pPr>
                <a:r>
                  <a:rPr lang="en-US"/>
                  <a:t>Skew</a:t>
                </a:r>
                <a:r>
                  <a:rPr lang="en-US" baseline="0"/>
                  <a:t> Coefficient</a:t>
                </a:r>
                <a:endParaRPr lang="en-US"/>
              </a:p>
            </c:rich>
          </c:tx>
          <c:overlay val="0"/>
        </c:title>
        <c:numFmt formatCode="0" sourceLinked="0"/>
        <c:majorTickMark val="out"/>
        <c:minorTickMark val="none"/>
        <c:tickLblPos val="nextTo"/>
        <c:crossAx val="215605288"/>
        <c:crosses val="autoZero"/>
        <c:crossBetween val="midCat"/>
        <c:majorUnit val="1"/>
      </c:valAx>
      <c:spPr>
        <a:ln w="6350">
          <a:solidFill>
            <a:schemeClr val="tx1"/>
          </a:solidFill>
        </a:ln>
      </c:spPr>
    </c:plotArea>
    <c:legend>
      <c:legendPos val="r"/>
      <c:legendEntry>
        <c:idx val="0"/>
        <c:delete val="1"/>
      </c:legendEntry>
      <c:legendEntry>
        <c:idx val="1"/>
        <c:delete val="1"/>
      </c:legendEntry>
      <c:legendEntry>
        <c:idx val="2"/>
        <c:delete val="1"/>
      </c:legendEntry>
      <c:layout>
        <c:manualLayout>
          <c:xMode val="edge"/>
          <c:yMode val="edge"/>
          <c:x val="0.5962961939699033"/>
          <c:y val="1.8249570655519992E-2"/>
          <c:w val="0.37251472220943305"/>
          <c:h val="0.19313022909173388"/>
        </c:manualLayout>
      </c:layout>
      <c:overlay val="0"/>
    </c:legend>
    <c:plotVisOnly val="1"/>
    <c:dispBlanksAs val="gap"/>
    <c:showDLblsOverMax val="0"/>
  </c:chart>
  <c:spPr>
    <a:ln>
      <a:solidFill>
        <a:sysClr val="windowText" lastClr="000000"/>
      </a:solidFill>
    </a:ln>
  </c:spPr>
  <c:printSettings>
    <c:headerFooter/>
    <c:pageMargins b="0.75000000000000244" l="0.70000000000000062" r="0.70000000000000062" t="0.75000000000000244"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Modified </a:t>
            </a:r>
          </a:p>
          <a:p>
            <a:pPr>
              <a:defRPr sz="1200" b="0" i="0" u="none" strike="noStrike" baseline="0">
                <a:solidFill>
                  <a:srgbClr val="000000"/>
                </a:solidFill>
                <a:latin typeface="Arial"/>
                <a:ea typeface="Arial"/>
                <a:cs typeface="Arial"/>
              </a:defRPr>
            </a:pPr>
            <a:r>
              <a:rPr lang="en-US"/>
              <a:t>Envelope Curves for 
Live-Bed Contraction Scour</a:t>
            </a:r>
          </a:p>
        </c:rich>
      </c:tx>
      <c:layout>
        <c:manualLayout>
          <c:xMode val="edge"/>
          <c:yMode val="edge"/>
          <c:x val="0.13879861193480592"/>
          <c:y val="2.5978205603880668E-2"/>
        </c:manualLayout>
      </c:layout>
      <c:overlay val="0"/>
      <c:spPr>
        <a:noFill/>
        <a:ln w="25400">
          <a:noFill/>
        </a:ln>
      </c:spPr>
    </c:title>
    <c:autoTitleDeleted val="0"/>
    <c:plotArea>
      <c:layout>
        <c:manualLayout>
          <c:layoutTarget val="inner"/>
          <c:xMode val="edge"/>
          <c:yMode val="edge"/>
          <c:x val="0.13441955193482691"/>
          <c:y val="0.21179240780220945"/>
          <c:w val="0.81873727087576376"/>
          <c:h val="0.61293609127349058"/>
        </c:manualLayout>
      </c:layout>
      <c:scatterChart>
        <c:scatterStyle val="lineMarker"/>
        <c:varyColors val="0"/>
        <c:ser>
          <c:idx val="0"/>
          <c:order val="0"/>
          <c:tx>
            <c:v>Original Live-Bed Envelope</c:v>
          </c:tx>
          <c:spPr>
            <a:ln w="28575">
              <a:noFill/>
            </a:ln>
          </c:spPr>
          <c:marker>
            <c:symbol val="none"/>
          </c:marker>
          <c:trendline>
            <c:name>Original Envelope Curve</c:name>
            <c:spPr>
              <a:ln w="25400">
                <a:solidFill>
                  <a:srgbClr val="969696"/>
                </a:solidFill>
                <a:prstDash val="solid"/>
              </a:ln>
            </c:spPr>
            <c:trendlineType val="poly"/>
            <c:order val="2"/>
            <c:intercept val="0"/>
            <c:dispRSqr val="0"/>
            <c:dispEq val="0"/>
          </c:trendline>
          <c:xVal>
            <c:numRef>
              <c:f>'Graph Data'!$S$174:$S$185</c:f>
              <c:numCache>
                <c:formatCode>General</c:formatCode>
                <c:ptCount val="12"/>
                <c:pt idx="0">
                  <c:v>0</c:v>
                </c:pt>
                <c:pt idx="1">
                  <c:v>0.02</c:v>
                </c:pt>
                <c:pt idx="2">
                  <c:v>0.1</c:v>
                </c:pt>
                <c:pt idx="3">
                  <c:v>0.2</c:v>
                </c:pt>
                <c:pt idx="4">
                  <c:v>0.3</c:v>
                </c:pt>
                <c:pt idx="5">
                  <c:v>0.4</c:v>
                </c:pt>
                <c:pt idx="6">
                  <c:v>0.5</c:v>
                </c:pt>
                <c:pt idx="7">
                  <c:v>0.6</c:v>
                </c:pt>
                <c:pt idx="8">
                  <c:v>0.7</c:v>
                </c:pt>
                <c:pt idx="9">
                  <c:v>0.8</c:v>
                </c:pt>
                <c:pt idx="10">
                  <c:v>0.85</c:v>
                </c:pt>
                <c:pt idx="11">
                  <c:v>0.9</c:v>
                </c:pt>
              </c:numCache>
            </c:numRef>
          </c:xVal>
          <c:yVal>
            <c:numRef>
              <c:f>'Graph Data'!$T$174:$T$185</c:f>
              <c:numCache>
                <c:formatCode>0.00</c:formatCode>
                <c:ptCount val="12"/>
                <c:pt idx="0" formatCode="0.0">
                  <c:v>0</c:v>
                </c:pt>
                <c:pt idx="1">
                  <c:v>3.5880000000000002E-2</c:v>
                </c:pt>
                <c:pt idx="2">
                  <c:v>0.37700000000000006</c:v>
                </c:pt>
                <c:pt idx="3">
                  <c:v>1.2480000000000002</c:v>
                </c:pt>
                <c:pt idx="4">
                  <c:v>2.613</c:v>
                </c:pt>
                <c:pt idx="5">
                  <c:v>4.4720000000000013</c:v>
                </c:pt>
                <c:pt idx="6">
                  <c:v>6.8250000000000002</c:v>
                </c:pt>
                <c:pt idx="7">
                  <c:v>9.6719999999999988</c:v>
                </c:pt>
                <c:pt idx="8">
                  <c:v>13.012999999999998</c:v>
                </c:pt>
                <c:pt idx="9">
                  <c:v>16.848000000000003</c:v>
                </c:pt>
                <c:pt idx="10">
                  <c:v>18.950749999999999</c:v>
                </c:pt>
                <c:pt idx="11">
                  <c:v>21.177000000000003</c:v>
                </c:pt>
              </c:numCache>
            </c:numRef>
          </c:yVal>
          <c:smooth val="0"/>
        </c:ser>
        <c:ser>
          <c:idx val="4"/>
          <c:order val="1"/>
          <c:tx>
            <c:v>Live-Bed Contraction Scour</c:v>
          </c:tx>
          <c:spPr>
            <a:ln w="12700">
              <a:solidFill>
                <a:srgbClr val="3366FF"/>
              </a:solidFill>
              <a:prstDash val="lgDashDot"/>
            </a:ln>
          </c:spPr>
          <c:marker>
            <c:symbol val="none"/>
          </c:marker>
          <c:xVal>
            <c:strRef>
              <c:f>'Graph Data'!$K$75:$K$77</c:f>
              <c:strCache>
                <c:ptCount val="3"/>
                <c:pt idx="0">
                  <c:v>0</c:v>
                </c:pt>
                <c:pt idx="1">
                  <c:v>No Data</c:v>
                </c:pt>
                <c:pt idx="2">
                  <c:v>No Data</c:v>
                </c:pt>
              </c:strCache>
            </c:strRef>
          </c:xVal>
          <c:yVal>
            <c:numRef>
              <c:f>'Graph Data'!$L$75:$L$77</c:f>
              <c:numCache>
                <c:formatCode>0.0</c:formatCode>
                <c:ptCount val="3"/>
                <c:pt idx="0">
                  <c:v>0</c:v>
                </c:pt>
                <c:pt idx="1">
                  <c:v>0</c:v>
                </c:pt>
                <c:pt idx="2">
                  <c:v>0</c:v>
                </c:pt>
              </c:numCache>
            </c:numRef>
          </c:yVal>
          <c:smooth val="0"/>
        </c:ser>
        <c:ser>
          <c:idx val="1"/>
          <c:order val="2"/>
          <c:tx>
            <c:v>Modified Envelope Curve (100 sq mi)</c:v>
          </c:tx>
          <c:spPr>
            <a:ln w="28575">
              <a:solidFill>
                <a:srgbClr val="000000"/>
              </a:solidFill>
              <a:prstDash val="sysDash"/>
            </a:ln>
          </c:spPr>
          <c:marker>
            <c:symbol val="none"/>
          </c:marker>
          <c:xVal>
            <c:numRef>
              <c:f>'Graph Data'!$F$196:$F$204</c:f>
              <c:numCache>
                <c:formatCode>General</c:formatCode>
                <c:ptCount val="9"/>
                <c:pt idx="0" formatCode="0.000">
                  <c:v>0</c:v>
                </c:pt>
                <c:pt idx="1">
                  <c:v>0.1</c:v>
                </c:pt>
                <c:pt idx="2">
                  <c:v>0.2</c:v>
                </c:pt>
                <c:pt idx="3">
                  <c:v>0.3</c:v>
                </c:pt>
                <c:pt idx="4">
                  <c:v>0.4</c:v>
                </c:pt>
                <c:pt idx="5">
                  <c:v>0.6</c:v>
                </c:pt>
                <c:pt idx="6">
                  <c:v>0.7</c:v>
                </c:pt>
                <c:pt idx="7">
                  <c:v>0.8</c:v>
                </c:pt>
                <c:pt idx="8">
                  <c:v>0.9</c:v>
                </c:pt>
              </c:numCache>
            </c:numRef>
          </c:xVal>
          <c:yVal>
            <c:numRef>
              <c:f>'Graph Data'!$G$196:$G$204</c:f>
              <c:numCache>
                <c:formatCode>0.00</c:formatCode>
                <c:ptCount val="9"/>
                <c:pt idx="0">
                  <c:v>0</c:v>
                </c:pt>
                <c:pt idx="1">
                  <c:v>0.16000000000000003</c:v>
                </c:pt>
                <c:pt idx="2">
                  <c:v>0.64000000000000012</c:v>
                </c:pt>
                <c:pt idx="3">
                  <c:v>1.44</c:v>
                </c:pt>
                <c:pt idx="4">
                  <c:v>2.5600000000000005</c:v>
                </c:pt>
                <c:pt idx="5">
                  <c:v>5.76</c:v>
                </c:pt>
                <c:pt idx="6">
                  <c:v>7.839999999999999</c:v>
                </c:pt>
                <c:pt idx="7">
                  <c:v>10.240000000000002</c:v>
                </c:pt>
                <c:pt idx="8">
                  <c:v>12.96</c:v>
                </c:pt>
              </c:numCache>
            </c:numRef>
          </c:yVal>
          <c:smooth val="0"/>
        </c:ser>
        <c:ser>
          <c:idx val="2"/>
          <c:order val="3"/>
          <c:tx>
            <c:v>Modified Envelope Curve (200 sq mi)</c:v>
          </c:tx>
          <c:spPr>
            <a:ln w="28575">
              <a:solidFill>
                <a:srgbClr val="000000"/>
              </a:solidFill>
            </a:ln>
          </c:spPr>
          <c:marker>
            <c:symbol val="none"/>
          </c:marker>
          <c:xVal>
            <c:numRef>
              <c:f>'Graph Data'!$F$196:$F$204</c:f>
              <c:numCache>
                <c:formatCode>General</c:formatCode>
                <c:ptCount val="9"/>
                <c:pt idx="0" formatCode="0.000">
                  <c:v>0</c:v>
                </c:pt>
                <c:pt idx="1">
                  <c:v>0.1</c:v>
                </c:pt>
                <c:pt idx="2">
                  <c:v>0.2</c:v>
                </c:pt>
                <c:pt idx="3">
                  <c:v>0.3</c:v>
                </c:pt>
                <c:pt idx="4">
                  <c:v>0.4</c:v>
                </c:pt>
                <c:pt idx="5">
                  <c:v>0.6</c:v>
                </c:pt>
                <c:pt idx="6">
                  <c:v>0.7</c:v>
                </c:pt>
                <c:pt idx="7">
                  <c:v>0.8</c:v>
                </c:pt>
                <c:pt idx="8">
                  <c:v>0.9</c:v>
                </c:pt>
              </c:numCache>
            </c:numRef>
          </c:xVal>
          <c:yVal>
            <c:numRef>
              <c:f>'Graph Data'!$H$196:$H$204</c:f>
              <c:numCache>
                <c:formatCode>0.00</c:formatCode>
                <c:ptCount val="9"/>
                <c:pt idx="0">
                  <c:v>0</c:v>
                </c:pt>
                <c:pt idx="1">
                  <c:v>0.30000000000000004</c:v>
                </c:pt>
                <c:pt idx="2">
                  <c:v>1.0000000000000002</c:v>
                </c:pt>
                <c:pt idx="3">
                  <c:v>2.0999999999999996</c:v>
                </c:pt>
                <c:pt idx="4">
                  <c:v>3.6000000000000005</c:v>
                </c:pt>
                <c:pt idx="5">
                  <c:v>7.7999999999999989</c:v>
                </c:pt>
                <c:pt idx="6">
                  <c:v>10.499999999999998</c:v>
                </c:pt>
                <c:pt idx="7">
                  <c:v>13.600000000000003</c:v>
                </c:pt>
                <c:pt idx="8">
                  <c:v>17.100000000000001</c:v>
                </c:pt>
              </c:numCache>
            </c:numRef>
          </c:yVal>
          <c:smooth val="1"/>
        </c:ser>
        <c:dLbls>
          <c:showLegendKey val="0"/>
          <c:showVal val="0"/>
          <c:showCatName val="0"/>
          <c:showSerName val="0"/>
          <c:showPercent val="0"/>
          <c:showBubbleSize val="0"/>
        </c:dLbls>
        <c:axId val="215981568"/>
        <c:axId val="215984312"/>
      </c:scatterChart>
      <c:valAx>
        <c:axId val="215981568"/>
        <c:scaling>
          <c:orientation val="minMax"/>
          <c:max val="1"/>
        </c:scaling>
        <c:delete val="0"/>
        <c:axPos val="b"/>
        <c:title>
          <c:tx>
            <c:rich>
              <a:bodyPr/>
              <a:lstStyle/>
              <a:p>
                <a:pPr>
                  <a:defRPr sz="800" b="0" i="0" u="none" strike="noStrike" baseline="0">
                    <a:solidFill>
                      <a:srgbClr val="000000"/>
                    </a:solidFill>
                    <a:latin typeface="Arial"/>
                    <a:ea typeface="Arial"/>
                    <a:cs typeface="Arial"/>
                  </a:defRPr>
                </a:pPr>
                <a:r>
                  <a:rPr lang="en-US"/>
                  <a:t>GEOMETRIC-CONTRACTION RATIO</a:t>
                </a:r>
              </a:p>
            </c:rich>
          </c:tx>
          <c:layout>
            <c:manualLayout>
              <c:xMode val="edge"/>
              <c:yMode val="edge"/>
              <c:x val="0.36192449400348597"/>
              <c:y val="0.91000922672429529"/>
            </c:manualLayout>
          </c:layout>
          <c:overlay val="0"/>
          <c:spPr>
            <a:noFill/>
            <a:ln w="25400">
              <a:noFill/>
            </a:ln>
          </c:spPr>
        </c:title>
        <c:numFmt formatCode="#,##0.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984312"/>
        <c:crosses val="autoZero"/>
        <c:crossBetween val="midCat"/>
        <c:majorUnit val="0.2"/>
        <c:minorUnit val="0.1"/>
      </c:valAx>
      <c:valAx>
        <c:axId val="215984312"/>
        <c:scaling>
          <c:orientation val="minMax"/>
          <c:max val="25"/>
          <c:min val="0"/>
        </c:scaling>
        <c:delete val="0"/>
        <c:axPos val="l"/>
        <c:title>
          <c:tx>
            <c:rich>
              <a:bodyPr/>
              <a:lstStyle/>
              <a:p>
                <a:pPr>
                  <a:defRPr sz="800" b="0" i="0" u="none" strike="noStrike" baseline="0">
                    <a:solidFill>
                      <a:srgbClr val="000000"/>
                    </a:solidFill>
                    <a:latin typeface="Arial"/>
                    <a:ea typeface="Arial"/>
                    <a:cs typeface="Arial"/>
                  </a:defRPr>
                </a:pPr>
                <a:r>
                  <a:rPr lang="en-US"/>
                  <a:t>CONTRACTION -SCOUR  DEPTH, IN FEET</a:t>
                </a:r>
              </a:p>
            </c:rich>
          </c:tx>
          <c:layout>
            <c:manualLayout>
              <c:xMode val="edge"/>
              <c:yMode val="edge"/>
              <c:x val="2.5074328711025433E-2"/>
              <c:y val="0.21055407204534221"/>
            </c:manualLayout>
          </c:layout>
          <c:overlay val="0"/>
          <c:spPr>
            <a:noFill/>
            <a:ln w="25400">
              <a:noFill/>
            </a:ln>
          </c:spPr>
        </c:title>
        <c:numFmt formatCode="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981568"/>
        <c:crosses val="autoZero"/>
        <c:crossBetween val="midCat"/>
        <c:majorUnit val="5"/>
        <c:minorUnit val="1"/>
      </c:valAx>
      <c:spPr>
        <a:noFill/>
        <a:ln w="12700">
          <a:solidFill>
            <a:srgbClr val="000000"/>
          </a:solidFill>
          <a:prstDash val="solid"/>
        </a:ln>
      </c:spPr>
    </c:plotArea>
    <c:legend>
      <c:legendPos val="r"/>
      <c:legendEntry>
        <c:idx val="0"/>
        <c:delete val="1"/>
      </c:legendEntry>
      <c:layout>
        <c:manualLayout>
          <c:xMode val="edge"/>
          <c:yMode val="edge"/>
          <c:x val="0.53830074110929005"/>
          <c:y val="1.56976791658388E-2"/>
          <c:w val="0.41588478660995343"/>
          <c:h val="0.19000084374174969"/>
        </c:manualLayout>
      </c:layout>
      <c:overlay val="0"/>
      <c:txPr>
        <a:bodyPr/>
        <a:lstStyle/>
        <a:p>
          <a:pPr>
            <a:defRPr sz="700"/>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orientation="landscape" horizontalDpi="-3" verticalDpi="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a:t>Modified Envelope Curves for 
Abutment Scour by</a:t>
            </a:r>
          </a:p>
          <a:p>
            <a:pPr>
              <a:defRPr sz="1200" b="0" i="0" u="none" strike="noStrike" baseline="0">
                <a:solidFill>
                  <a:srgbClr val="000000"/>
                </a:solidFill>
                <a:latin typeface="Arial"/>
                <a:ea typeface="Arial"/>
                <a:cs typeface="Arial"/>
              </a:defRPr>
            </a:pPr>
            <a:r>
              <a:rPr lang="en-US"/>
              <a:t>Embankment-Length Category</a:t>
            </a:r>
          </a:p>
          <a:p>
            <a:pPr>
              <a:defRPr sz="1200" b="0" i="0" u="none" strike="noStrike" baseline="0">
                <a:solidFill>
                  <a:srgbClr val="000000"/>
                </a:solidFill>
                <a:latin typeface="Arial"/>
                <a:ea typeface="Arial"/>
                <a:cs typeface="Arial"/>
              </a:defRPr>
            </a:pPr>
            <a:r>
              <a:rPr lang="en-US" sz="1600" b="1"/>
              <a:t>Piedmont</a:t>
            </a:r>
          </a:p>
        </c:rich>
      </c:tx>
      <c:layout>
        <c:manualLayout>
          <c:xMode val="edge"/>
          <c:yMode val="edge"/>
          <c:x val="4.0733197556008148E-2"/>
          <c:y val="8.5201263450986418E-3"/>
        </c:manualLayout>
      </c:layout>
      <c:overlay val="0"/>
      <c:spPr>
        <a:noFill/>
        <a:ln w="25400">
          <a:noFill/>
        </a:ln>
      </c:spPr>
    </c:title>
    <c:autoTitleDeleted val="0"/>
    <c:plotArea>
      <c:layout>
        <c:manualLayout>
          <c:layoutTarget val="inner"/>
          <c:xMode val="edge"/>
          <c:yMode val="edge"/>
          <c:x val="0.1452817379497624"/>
          <c:y val="0.22111631151001232"/>
          <c:w val="0.81873727087576376"/>
          <c:h val="0.62839505611644553"/>
        </c:manualLayout>
      </c:layout>
      <c:scatterChart>
        <c:scatterStyle val="lineMarker"/>
        <c:varyColors val="0"/>
        <c:ser>
          <c:idx val="0"/>
          <c:order val="0"/>
          <c:tx>
            <c:v>Coatal Plain Sands Envelope</c:v>
          </c:tx>
          <c:spPr>
            <a:ln w="28575">
              <a:noFill/>
            </a:ln>
          </c:spPr>
          <c:marker>
            <c:symbol val="none"/>
          </c:marker>
          <c:xVal>
            <c:numRef>
              <c:f>'Graph Data'!$F$121:$F$129</c:f>
              <c:numCache>
                <c:formatCode>0.00</c:formatCode>
                <c:ptCount val="9"/>
                <c:pt idx="0" formatCode="General">
                  <c:v>0</c:v>
                </c:pt>
                <c:pt idx="1">
                  <c:v>0.31900000000000001</c:v>
                </c:pt>
                <c:pt idx="2">
                  <c:v>0.67400000000000004</c:v>
                </c:pt>
                <c:pt idx="3">
                  <c:v>0.77</c:v>
                </c:pt>
                <c:pt idx="4">
                  <c:v>0.81</c:v>
                </c:pt>
                <c:pt idx="5">
                  <c:v>0.82</c:v>
                </c:pt>
                <c:pt idx="6" formatCode="General">
                  <c:v>0.98</c:v>
                </c:pt>
              </c:numCache>
            </c:numRef>
          </c:xVal>
          <c:yVal>
            <c:numRef>
              <c:f>'Graph Data'!$G$121:$G$129</c:f>
              <c:numCache>
                <c:formatCode>0.00</c:formatCode>
                <c:ptCount val="9"/>
                <c:pt idx="0" formatCode="General">
                  <c:v>0</c:v>
                </c:pt>
                <c:pt idx="1">
                  <c:v>1.6920087995800002</c:v>
                </c:pt>
                <c:pt idx="2">
                  <c:v>8.1762853188800015</c:v>
                </c:pt>
                <c:pt idx="3">
                  <c:v>11.749859660000002</c:v>
                </c:pt>
                <c:pt idx="4">
                  <c:v>13.546652220000004</c:v>
                </c:pt>
                <c:pt idx="5">
                  <c:v>14.026303359999998</c:v>
                </c:pt>
                <c:pt idx="6" formatCode="General">
                  <c:v>23.53</c:v>
                </c:pt>
              </c:numCache>
            </c:numRef>
          </c:yVal>
          <c:smooth val="0"/>
        </c:ser>
        <c:ser>
          <c:idx val="1"/>
          <c:order val="1"/>
          <c:tx>
            <c:v>Piedmont</c:v>
          </c:tx>
          <c:spPr>
            <a:ln w="28575">
              <a:noFill/>
            </a:ln>
          </c:spPr>
          <c:marker>
            <c:symbol val="none"/>
          </c:marker>
          <c:trendline>
            <c:name>Original Piedmont Envelope Curve</c:name>
            <c:spPr>
              <a:ln w="25400">
                <a:solidFill>
                  <a:srgbClr val="000000"/>
                </a:solidFill>
                <a:prstDash val="solid"/>
              </a:ln>
            </c:spPr>
            <c:trendlineType val="poly"/>
            <c:order val="2"/>
            <c:intercept val="0"/>
            <c:dispRSqr val="0"/>
            <c:dispEq val="0"/>
          </c:trendline>
          <c:xVal>
            <c:numRef>
              <c:f>'Graph Data'!$I$121:$I$127</c:f>
              <c:numCache>
                <c:formatCode>General</c:formatCode>
                <c:ptCount val="7"/>
                <c:pt idx="0">
                  <c:v>0</c:v>
                </c:pt>
                <c:pt idx="1">
                  <c:v>2.1999999999999999E-2</c:v>
                </c:pt>
                <c:pt idx="2">
                  <c:v>0.372</c:v>
                </c:pt>
                <c:pt idx="3">
                  <c:v>0.66800000000000004</c:v>
                </c:pt>
                <c:pt idx="6">
                  <c:v>0.81699999999999995</c:v>
                </c:pt>
              </c:numCache>
            </c:numRef>
          </c:xVal>
          <c:yVal>
            <c:numRef>
              <c:f>'Graph Data'!$J$121:$J$127</c:f>
              <c:numCache>
                <c:formatCode>General</c:formatCode>
                <c:ptCount val="7"/>
                <c:pt idx="0">
                  <c:v>0</c:v>
                </c:pt>
                <c:pt idx="1">
                  <c:v>0.6</c:v>
                </c:pt>
                <c:pt idx="2">
                  <c:v>4.5999999999999996</c:v>
                </c:pt>
                <c:pt idx="3">
                  <c:v>13.7</c:v>
                </c:pt>
                <c:pt idx="6">
                  <c:v>18</c:v>
                </c:pt>
              </c:numCache>
            </c:numRef>
          </c:yVal>
          <c:smooth val="0"/>
        </c:ser>
        <c:ser>
          <c:idx val="3"/>
          <c:order val="2"/>
          <c:tx>
            <c:v>Left Abutment (by Category)</c:v>
          </c:tx>
          <c:spPr>
            <a:ln w="12700">
              <a:solidFill>
                <a:srgbClr val="FF0000"/>
              </a:solidFill>
              <a:prstDash val="lgDashDotDot"/>
            </a:ln>
          </c:spPr>
          <c:marker>
            <c:symbol val="none"/>
          </c:marker>
          <c:xVal>
            <c:numRef>
              <c:f>'Graph Data'!$C$37:$C$39</c:f>
              <c:numCache>
                <c:formatCode>0.00</c:formatCode>
                <c:ptCount val="3"/>
                <c:pt idx="0" formatCode="General">
                  <c:v>0</c:v>
                </c:pt>
                <c:pt idx="1">
                  <c:v>0</c:v>
                </c:pt>
                <c:pt idx="2">
                  <c:v>0</c:v>
                </c:pt>
              </c:numCache>
            </c:numRef>
          </c:xVal>
          <c:yVal>
            <c:numRef>
              <c:f>'Graph Data'!$D$37:$D$39</c:f>
              <c:numCache>
                <c:formatCode>0.0</c:formatCode>
                <c:ptCount val="3"/>
                <c:pt idx="0">
                  <c:v>0</c:v>
                </c:pt>
                <c:pt idx="1">
                  <c:v>0</c:v>
                </c:pt>
                <c:pt idx="2" formatCode="General">
                  <c:v>0</c:v>
                </c:pt>
              </c:numCache>
            </c:numRef>
          </c:yVal>
          <c:smooth val="0"/>
        </c:ser>
        <c:ser>
          <c:idx val="4"/>
          <c:order val="3"/>
          <c:tx>
            <c:v>Right Abutment (by Category)</c:v>
          </c:tx>
          <c:spPr>
            <a:ln w="12700">
              <a:solidFill>
                <a:srgbClr val="3366FF"/>
              </a:solidFill>
              <a:prstDash val="lgDashDot"/>
            </a:ln>
          </c:spPr>
          <c:marker>
            <c:symbol val="none"/>
          </c:marker>
          <c:xVal>
            <c:numRef>
              <c:f>'Graph Data'!$F$37:$F$39</c:f>
              <c:numCache>
                <c:formatCode>0.00</c:formatCode>
                <c:ptCount val="3"/>
                <c:pt idx="0" formatCode="General">
                  <c:v>0</c:v>
                </c:pt>
                <c:pt idx="1">
                  <c:v>0</c:v>
                </c:pt>
                <c:pt idx="2">
                  <c:v>0</c:v>
                </c:pt>
              </c:numCache>
            </c:numRef>
          </c:xVal>
          <c:yVal>
            <c:numRef>
              <c:f>'Graph Data'!$G$37:$G$39</c:f>
              <c:numCache>
                <c:formatCode>0.0</c:formatCode>
                <c:ptCount val="3"/>
                <c:pt idx="0">
                  <c:v>0</c:v>
                </c:pt>
                <c:pt idx="1">
                  <c:v>0</c:v>
                </c:pt>
                <c:pt idx="2" formatCode="General">
                  <c:v>0</c:v>
                </c:pt>
              </c:numCache>
            </c:numRef>
          </c:yVal>
          <c:smooth val="0"/>
        </c:ser>
        <c:ser>
          <c:idx val="5"/>
          <c:order val="4"/>
          <c:tx>
            <c:v>L&lt;= 100 feet</c:v>
          </c:tx>
          <c:spPr>
            <a:ln w="12700">
              <a:solidFill>
                <a:schemeClr val="tx1">
                  <a:shade val="95000"/>
                  <a:satMod val="105000"/>
                </a:schemeClr>
              </a:solidFill>
            </a:ln>
          </c:spPr>
          <c:marker>
            <c:symbol val="none"/>
          </c:marker>
          <c:xVal>
            <c:numRef>
              <c:f>'Graph Data'!$D$156:$D$164</c:f>
              <c:numCache>
                <c:formatCode>General</c:formatCode>
                <c:ptCount val="9"/>
                <c:pt idx="0" formatCode="0.000">
                  <c:v>0.13</c:v>
                </c:pt>
                <c:pt idx="1">
                  <c:v>0.25</c:v>
                </c:pt>
                <c:pt idx="2">
                  <c:v>0.34</c:v>
                </c:pt>
                <c:pt idx="3">
                  <c:v>0.42</c:v>
                </c:pt>
                <c:pt idx="4">
                  <c:v>0.5</c:v>
                </c:pt>
                <c:pt idx="5">
                  <c:v>0.6</c:v>
                </c:pt>
                <c:pt idx="6">
                  <c:v>0.7</c:v>
                </c:pt>
                <c:pt idx="7">
                  <c:v>0.8</c:v>
                </c:pt>
                <c:pt idx="8">
                  <c:v>0.85</c:v>
                </c:pt>
              </c:numCache>
            </c:numRef>
          </c:xVal>
          <c:yVal>
            <c:numRef>
              <c:f>'Graph Data'!$E$156:$E$164</c:f>
              <c:numCache>
                <c:formatCode>0.00</c:formatCode>
                <c:ptCount val="9"/>
                <c:pt idx="0">
                  <c:v>1.1996630000000001</c:v>
                </c:pt>
                <c:pt idx="1">
                  <c:v>1.214375</c:v>
                </c:pt>
                <c:pt idx="2">
                  <c:v>1.287212</c:v>
                </c:pt>
                <c:pt idx="3">
                  <c:v>1.3964279999999998</c:v>
                </c:pt>
                <c:pt idx="4">
                  <c:v>1.5474999999999999</c:v>
                </c:pt>
                <c:pt idx="5">
                  <c:v>1.7951999999999999</c:v>
                </c:pt>
                <c:pt idx="6">
                  <c:v>2.1082999999999998</c:v>
                </c:pt>
                <c:pt idx="7">
                  <c:v>2.4868000000000006</c:v>
                </c:pt>
                <c:pt idx="8">
                  <c:v>2.7005749999999997</c:v>
                </c:pt>
              </c:numCache>
            </c:numRef>
          </c:yVal>
          <c:smooth val="0"/>
        </c:ser>
        <c:ser>
          <c:idx val="6"/>
          <c:order val="5"/>
          <c:tx>
            <c:v>L&lt;=200 feet</c:v>
          </c:tx>
          <c:spPr>
            <a:ln w="12700">
              <a:solidFill>
                <a:schemeClr val="tx1">
                  <a:shade val="95000"/>
                  <a:satMod val="105000"/>
                </a:schemeClr>
              </a:solidFill>
            </a:ln>
          </c:spPr>
          <c:marker>
            <c:symbol val="none"/>
          </c:marker>
          <c:xVal>
            <c:numRef>
              <c:f>'Graph Data'!$D$156:$D$164</c:f>
              <c:numCache>
                <c:formatCode>General</c:formatCode>
                <c:ptCount val="9"/>
                <c:pt idx="0" formatCode="0.000">
                  <c:v>0.13</c:v>
                </c:pt>
                <c:pt idx="1">
                  <c:v>0.25</c:v>
                </c:pt>
                <c:pt idx="2">
                  <c:v>0.34</c:v>
                </c:pt>
                <c:pt idx="3">
                  <c:v>0.42</c:v>
                </c:pt>
                <c:pt idx="4">
                  <c:v>0.5</c:v>
                </c:pt>
                <c:pt idx="5">
                  <c:v>0.6</c:v>
                </c:pt>
                <c:pt idx="6">
                  <c:v>0.7</c:v>
                </c:pt>
                <c:pt idx="7">
                  <c:v>0.8</c:v>
                </c:pt>
                <c:pt idx="8">
                  <c:v>0.85</c:v>
                </c:pt>
              </c:numCache>
            </c:numRef>
          </c:xVal>
          <c:yVal>
            <c:numRef>
              <c:f>'Graph Data'!$F$156:$F$164</c:f>
              <c:numCache>
                <c:formatCode>0.00</c:formatCode>
                <c:ptCount val="9"/>
                <c:pt idx="1">
                  <c:v>2.8443750000000003</c:v>
                </c:pt>
                <c:pt idx="2">
                  <c:v>2.922612</c:v>
                </c:pt>
                <c:pt idx="3">
                  <c:v>3.0774280000000003</c:v>
                </c:pt>
                <c:pt idx="4">
                  <c:v>3.3125</c:v>
                </c:pt>
                <c:pt idx="5">
                  <c:v>3.7191999999999998</c:v>
                </c:pt>
                <c:pt idx="6">
                  <c:v>4.2512999999999996</c:v>
                </c:pt>
                <c:pt idx="7">
                  <c:v>4.9088000000000003</c:v>
                </c:pt>
                <c:pt idx="8">
                  <c:v>5.2845749999999994</c:v>
                </c:pt>
              </c:numCache>
            </c:numRef>
          </c:yVal>
          <c:smooth val="0"/>
        </c:ser>
        <c:ser>
          <c:idx val="7"/>
          <c:order val="6"/>
          <c:tx>
            <c:v>L&lt;=300 feet</c:v>
          </c:tx>
          <c:spPr>
            <a:ln w="12700">
              <a:solidFill>
                <a:schemeClr val="tx1">
                  <a:shade val="95000"/>
                  <a:satMod val="105000"/>
                </a:schemeClr>
              </a:solidFill>
            </a:ln>
          </c:spPr>
          <c:marker>
            <c:symbol val="none"/>
          </c:marker>
          <c:xVal>
            <c:numRef>
              <c:f>'Graph Data'!$D$156:$D$164</c:f>
              <c:numCache>
                <c:formatCode>General</c:formatCode>
                <c:ptCount val="9"/>
                <c:pt idx="0" formatCode="0.000">
                  <c:v>0.13</c:v>
                </c:pt>
                <c:pt idx="1">
                  <c:v>0.25</c:v>
                </c:pt>
                <c:pt idx="2">
                  <c:v>0.34</c:v>
                </c:pt>
                <c:pt idx="3">
                  <c:v>0.42</c:v>
                </c:pt>
                <c:pt idx="4">
                  <c:v>0.5</c:v>
                </c:pt>
                <c:pt idx="5">
                  <c:v>0.6</c:v>
                </c:pt>
                <c:pt idx="6">
                  <c:v>0.7</c:v>
                </c:pt>
                <c:pt idx="7">
                  <c:v>0.8</c:v>
                </c:pt>
                <c:pt idx="8">
                  <c:v>0.85</c:v>
                </c:pt>
              </c:numCache>
            </c:numRef>
          </c:xVal>
          <c:yVal>
            <c:numRef>
              <c:f>'Graph Data'!$G$156:$G$164</c:f>
              <c:numCache>
                <c:formatCode>0.00</c:formatCode>
                <c:ptCount val="9"/>
                <c:pt idx="2">
                  <c:v>4.4225479999999999</c:v>
                </c:pt>
                <c:pt idx="3">
                  <c:v>4.6042119999999995</c:v>
                </c:pt>
                <c:pt idx="4">
                  <c:v>4.8925000000000001</c:v>
                </c:pt>
                <c:pt idx="5">
                  <c:v>5.4028000000000009</c:v>
                </c:pt>
                <c:pt idx="6">
                  <c:v>6.0796999999999999</c:v>
                </c:pt>
                <c:pt idx="7">
                  <c:v>6.9232000000000014</c:v>
                </c:pt>
                <c:pt idx="8">
                  <c:v>7.4074249999999999</c:v>
                </c:pt>
              </c:numCache>
            </c:numRef>
          </c:yVal>
          <c:smooth val="0"/>
        </c:ser>
        <c:ser>
          <c:idx val="8"/>
          <c:order val="7"/>
          <c:tx>
            <c:v>L&lt;= 400 feet</c:v>
          </c:tx>
          <c:spPr>
            <a:ln w="12700">
              <a:solidFill>
                <a:schemeClr val="tx1">
                  <a:shade val="95000"/>
                  <a:satMod val="105000"/>
                </a:schemeClr>
              </a:solidFill>
            </a:ln>
          </c:spPr>
          <c:marker>
            <c:symbol val="none"/>
          </c:marker>
          <c:xVal>
            <c:numRef>
              <c:f>'Graph Data'!$D$156:$D$164</c:f>
              <c:numCache>
                <c:formatCode>General</c:formatCode>
                <c:ptCount val="9"/>
                <c:pt idx="0" formatCode="0.000">
                  <c:v>0.13</c:v>
                </c:pt>
                <c:pt idx="1">
                  <c:v>0.25</c:v>
                </c:pt>
                <c:pt idx="2">
                  <c:v>0.34</c:v>
                </c:pt>
                <c:pt idx="3">
                  <c:v>0.42</c:v>
                </c:pt>
                <c:pt idx="4">
                  <c:v>0.5</c:v>
                </c:pt>
                <c:pt idx="5">
                  <c:v>0.6</c:v>
                </c:pt>
                <c:pt idx="6">
                  <c:v>0.7</c:v>
                </c:pt>
                <c:pt idx="7">
                  <c:v>0.8</c:v>
                </c:pt>
                <c:pt idx="8">
                  <c:v>0.85</c:v>
                </c:pt>
              </c:numCache>
            </c:numRef>
          </c:xVal>
          <c:yVal>
            <c:numRef>
              <c:f>'Graph Data'!$H$156:$H$164</c:f>
              <c:numCache>
                <c:formatCode>0.00</c:formatCode>
                <c:ptCount val="9"/>
                <c:pt idx="3">
                  <c:v>6.1180559999999993</c:v>
                </c:pt>
                <c:pt idx="4">
                  <c:v>6.4249999999999989</c:v>
                </c:pt>
                <c:pt idx="5">
                  <c:v>7.0164</c:v>
                </c:pt>
                <c:pt idx="6">
                  <c:v>7.8385999999999987</c:v>
                </c:pt>
                <c:pt idx="7">
                  <c:v>8.8916000000000004</c:v>
                </c:pt>
                <c:pt idx="8">
                  <c:v>9.504649999999998</c:v>
                </c:pt>
              </c:numCache>
            </c:numRef>
          </c:yVal>
          <c:smooth val="0"/>
        </c:ser>
        <c:ser>
          <c:idx val="9"/>
          <c:order val="8"/>
          <c:tx>
            <c:v>L&lt;= 500 feet</c:v>
          </c:tx>
          <c:spPr>
            <a:ln w="12700">
              <a:solidFill>
                <a:schemeClr val="tx1">
                  <a:shade val="95000"/>
                  <a:satMod val="105000"/>
                </a:schemeClr>
              </a:solidFill>
            </a:ln>
          </c:spPr>
          <c:marker>
            <c:symbol val="none"/>
          </c:marker>
          <c:xVal>
            <c:numRef>
              <c:f>'Graph Data'!$D$156:$D$164</c:f>
              <c:numCache>
                <c:formatCode>General</c:formatCode>
                <c:ptCount val="9"/>
                <c:pt idx="0" formatCode="0.000">
                  <c:v>0.13</c:v>
                </c:pt>
                <c:pt idx="1">
                  <c:v>0.25</c:v>
                </c:pt>
                <c:pt idx="2">
                  <c:v>0.34</c:v>
                </c:pt>
                <c:pt idx="3">
                  <c:v>0.42</c:v>
                </c:pt>
                <c:pt idx="4">
                  <c:v>0.5</c:v>
                </c:pt>
                <c:pt idx="5">
                  <c:v>0.6</c:v>
                </c:pt>
                <c:pt idx="6">
                  <c:v>0.7</c:v>
                </c:pt>
                <c:pt idx="7">
                  <c:v>0.8</c:v>
                </c:pt>
                <c:pt idx="8">
                  <c:v>0.85</c:v>
                </c:pt>
              </c:numCache>
            </c:numRef>
          </c:xVal>
          <c:yVal>
            <c:numRef>
              <c:f>'Graph Data'!$I$156:$I$164</c:f>
              <c:numCache>
                <c:formatCode>0.00</c:formatCode>
                <c:ptCount val="9"/>
                <c:pt idx="4">
                  <c:v>8.0399999999999991</c:v>
                </c:pt>
                <c:pt idx="5">
                  <c:v>8.6487999999999996</c:v>
                </c:pt>
                <c:pt idx="6">
                  <c:v>9.565199999999999</c:v>
                </c:pt>
                <c:pt idx="7">
                  <c:v>10.789200000000003</c:v>
                </c:pt>
                <c:pt idx="8">
                  <c:v>11.516549999999999</c:v>
                </c:pt>
              </c:numCache>
            </c:numRef>
          </c:yVal>
          <c:smooth val="0"/>
        </c:ser>
        <c:ser>
          <c:idx val="2"/>
          <c:order val="9"/>
          <c:tx>
            <c:v>Left Abutment (by Interpolation)</c:v>
          </c:tx>
          <c:spPr>
            <a:ln w="28575">
              <a:noFill/>
            </a:ln>
          </c:spPr>
          <c:marker>
            <c:symbol val="circle"/>
            <c:size val="7"/>
            <c:spPr>
              <a:solidFill>
                <a:srgbClr val="FF0000"/>
              </a:solidFill>
              <a:ln>
                <a:solidFill>
                  <a:srgbClr val="C00000"/>
                </a:solidFill>
              </a:ln>
            </c:spPr>
          </c:marker>
          <c:xVal>
            <c:numRef>
              <c:f>'Graph Data'!$C$48</c:f>
              <c:numCache>
                <c:formatCode>0.00</c:formatCode>
                <c:ptCount val="1"/>
                <c:pt idx="0">
                  <c:v>0</c:v>
                </c:pt>
              </c:numCache>
            </c:numRef>
          </c:xVal>
          <c:yVal>
            <c:numRef>
              <c:f>'Graph Data'!$D$48</c:f>
              <c:numCache>
                <c:formatCode>0.0</c:formatCode>
                <c:ptCount val="1"/>
                <c:pt idx="0">
                  <c:v>0</c:v>
                </c:pt>
              </c:numCache>
            </c:numRef>
          </c:yVal>
          <c:smooth val="0"/>
        </c:ser>
        <c:ser>
          <c:idx val="10"/>
          <c:order val="10"/>
          <c:tx>
            <c:v>Right Abutment (by Interpolation)</c:v>
          </c:tx>
          <c:spPr>
            <a:ln w="28575">
              <a:noFill/>
            </a:ln>
          </c:spPr>
          <c:marker>
            <c:symbol val="circle"/>
            <c:size val="5"/>
            <c:spPr>
              <a:solidFill>
                <a:schemeClr val="tx2"/>
              </a:solidFill>
              <a:ln>
                <a:solidFill>
                  <a:schemeClr val="tx2"/>
                </a:solidFill>
              </a:ln>
            </c:spPr>
          </c:marker>
          <c:xVal>
            <c:numRef>
              <c:f>'Graph Data'!$F$48</c:f>
              <c:numCache>
                <c:formatCode>0.00</c:formatCode>
                <c:ptCount val="1"/>
                <c:pt idx="0">
                  <c:v>0</c:v>
                </c:pt>
              </c:numCache>
            </c:numRef>
          </c:xVal>
          <c:yVal>
            <c:numRef>
              <c:f>'Graph Data'!$G$48</c:f>
              <c:numCache>
                <c:formatCode>0.0</c:formatCode>
                <c:ptCount val="1"/>
                <c:pt idx="0">
                  <c:v>0</c:v>
                </c:pt>
              </c:numCache>
            </c:numRef>
          </c:yVal>
          <c:smooth val="0"/>
        </c:ser>
        <c:dLbls>
          <c:showLegendKey val="0"/>
          <c:showVal val="0"/>
          <c:showCatName val="0"/>
          <c:showSerName val="0"/>
          <c:showPercent val="0"/>
          <c:showBubbleSize val="0"/>
        </c:dLbls>
        <c:axId val="215979608"/>
        <c:axId val="215981960"/>
      </c:scatterChart>
      <c:valAx>
        <c:axId val="215979608"/>
        <c:scaling>
          <c:orientation val="minMax"/>
          <c:max val="1"/>
          <c:min val="0"/>
        </c:scaling>
        <c:delete val="0"/>
        <c:axPos val="b"/>
        <c:title>
          <c:tx>
            <c:rich>
              <a:bodyPr/>
              <a:lstStyle/>
              <a:p>
                <a:pPr>
                  <a:defRPr sz="800" b="0" i="0" u="none" strike="noStrike" baseline="0">
                    <a:solidFill>
                      <a:srgbClr val="000000"/>
                    </a:solidFill>
                    <a:latin typeface="Arial"/>
                    <a:ea typeface="Arial"/>
                    <a:cs typeface="Arial"/>
                  </a:defRPr>
                </a:pPr>
                <a:r>
                  <a:rPr lang="en-US"/>
                  <a:t>GEOMETRIC-CONTRACTION RATIO</a:t>
                </a:r>
              </a:p>
            </c:rich>
          </c:tx>
          <c:layout>
            <c:manualLayout>
              <c:xMode val="edge"/>
              <c:yMode val="edge"/>
              <c:x val="0.36659877800407331"/>
              <c:y val="0.9100092457744392"/>
            </c:manualLayout>
          </c:layout>
          <c:overlay val="0"/>
          <c:spPr>
            <a:noFill/>
            <a:ln w="25400">
              <a:noFill/>
            </a:ln>
          </c:spPr>
        </c:title>
        <c:numFmt formatCode="#,##0.0" sourceLinked="0"/>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981960"/>
        <c:crosses val="autoZero"/>
        <c:crossBetween val="midCat"/>
        <c:majorUnit val="0.2"/>
        <c:minorUnit val="0.1"/>
      </c:valAx>
      <c:valAx>
        <c:axId val="215981960"/>
        <c:scaling>
          <c:orientation val="minMax"/>
          <c:max val="25"/>
          <c:min val="0"/>
        </c:scaling>
        <c:delete val="0"/>
        <c:axPos val="l"/>
        <c:title>
          <c:tx>
            <c:rich>
              <a:bodyPr/>
              <a:lstStyle/>
              <a:p>
                <a:pPr>
                  <a:defRPr sz="800" b="0" i="0" u="none" strike="noStrike" baseline="0">
                    <a:solidFill>
                      <a:srgbClr val="000000"/>
                    </a:solidFill>
                    <a:latin typeface="Arial"/>
                    <a:ea typeface="Arial"/>
                    <a:cs typeface="Arial"/>
                  </a:defRPr>
                </a:pPr>
                <a:r>
                  <a:rPr lang="en-US"/>
                  <a:t>ABUTMENT-SCOUR DEPTH, IN FEET</a:t>
                </a:r>
              </a:p>
            </c:rich>
          </c:tx>
          <c:layout>
            <c:manualLayout>
              <c:xMode val="edge"/>
              <c:yMode val="edge"/>
              <c:x val="4.4806517311609124E-2"/>
              <c:y val="0.29557823790544918"/>
            </c:manualLayout>
          </c:layout>
          <c:overlay val="0"/>
          <c:spPr>
            <a:noFill/>
            <a:ln w="25400">
              <a:noFill/>
            </a:ln>
          </c:spPr>
        </c:title>
        <c:numFmt formatCode="General" sourceLinked="1"/>
        <c:majorTickMark val="in"/>
        <c:minorTickMark val="in"/>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5979608"/>
        <c:crosses val="autoZero"/>
        <c:crossBetween val="midCat"/>
        <c:majorUnit val="5"/>
        <c:minorUnit val="1"/>
      </c:valAx>
      <c:spPr>
        <a:noFill/>
        <a:ln w="12700">
          <a:solidFill>
            <a:srgbClr val="000000"/>
          </a:solidFill>
          <a:prstDash val="solid"/>
        </a:ln>
      </c:spPr>
    </c:plotArea>
    <c:legend>
      <c:legendPos val="r"/>
      <c:legendEntry>
        <c:idx val="0"/>
        <c:delete val="1"/>
      </c:legendEntry>
      <c:legendEntry>
        <c:idx val="1"/>
        <c:delete val="1"/>
      </c:legendEntry>
      <c:legendEntry>
        <c:idx val="4"/>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54446707399864225"/>
          <c:y val="1.1636952788308869E-2"/>
          <c:w val="0.42161617781484029"/>
          <c:h val="0.1936244732065249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591943</xdr:colOff>
      <xdr:row>16</xdr:row>
      <xdr:rowOff>19050</xdr:rowOff>
    </xdr:from>
    <xdr:to>
      <xdr:col>2</xdr:col>
      <xdr:colOff>552450</xdr:colOff>
      <xdr:row>25</xdr:row>
      <xdr:rowOff>21135</xdr:rowOff>
    </xdr:to>
    <xdr:pic>
      <xdr:nvPicPr>
        <xdr:cNvPr id="8" name="Picture 7"/>
        <xdr:cNvPicPr>
          <a:picLocks noChangeAspect="1"/>
        </xdr:cNvPicPr>
      </xdr:nvPicPr>
      <xdr:blipFill>
        <a:blip xmlns:r="http://schemas.openxmlformats.org/officeDocument/2006/relationships" r:embed="rId1"/>
        <a:stretch>
          <a:fillRect/>
        </a:stretch>
      </xdr:blipFill>
      <xdr:spPr>
        <a:xfrm>
          <a:off x="591943" y="4086225"/>
          <a:ext cx="1265432" cy="1621335"/>
        </a:xfrm>
        <a:prstGeom prst="rect">
          <a:avLst/>
        </a:prstGeom>
        <a:effectLst>
          <a:outerShdw blurRad="50800" dist="127000" dir="2700000" algn="ctr" rotWithShape="0">
            <a:schemeClr val="tx1">
              <a:alpha val="43000"/>
            </a:schemeClr>
          </a:outerShdw>
        </a:effectLst>
      </xdr:spPr>
    </xdr:pic>
    <xdr:clientData/>
  </xdr:twoCellAnchor>
  <xdr:twoCellAnchor editAs="oneCell">
    <xdr:from>
      <xdr:col>3</xdr:col>
      <xdr:colOff>383911</xdr:colOff>
      <xdr:row>58</xdr:row>
      <xdr:rowOff>2372</xdr:rowOff>
    </xdr:from>
    <xdr:to>
      <xdr:col>5</xdr:col>
      <xdr:colOff>476251</xdr:colOff>
      <xdr:row>67</xdr:row>
      <xdr:rowOff>141549</xdr:rowOff>
    </xdr:to>
    <xdr:pic>
      <xdr:nvPicPr>
        <xdr:cNvPr id="2"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2374636" y="9908372"/>
          <a:ext cx="1273440" cy="1596502"/>
        </a:xfrm>
        <a:prstGeom prst="rect">
          <a:avLst/>
        </a:prstGeom>
        <a:noFill/>
        <a:ln w="9525">
          <a:noFill/>
          <a:miter lim="800000"/>
          <a:headEnd/>
          <a:tailEnd/>
        </a:ln>
        <a:effectLst>
          <a:outerShdw blurRad="50800" dist="127000" dir="2700000" algn="ctr" rotWithShape="0">
            <a:srgbClr val="000000">
              <a:alpha val="43137"/>
            </a:srgbClr>
          </a:outerShdw>
        </a:effectLst>
      </xdr:spPr>
    </xdr:pic>
    <xdr:clientData/>
  </xdr:twoCellAnchor>
  <xdr:twoCellAnchor editAs="oneCell">
    <xdr:from>
      <xdr:col>0</xdr:col>
      <xdr:colOff>595841</xdr:colOff>
      <xdr:row>50</xdr:row>
      <xdr:rowOff>160642</xdr:rowOff>
    </xdr:from>
    <xdr:to>
      <xdr:col>2</xdr:col>
      <xdr:colOff>561975</xdr:colOff>
      <xdr:row>61</xdr:row>
      <xdr:rowOff>26553</xdr:rowOff>
    </xdr:to>
    <xdr:pic>
      <xdr:nvPicPr>
        <xdr:cNvPr id="3" name="Picture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95841" y="8771242"/>
          <a:ext cx="1271059" cy="1647086"/>
        </a:xfrm>
        <a:prstGeom prst="rect">
          <a:avLst/>
        </a:prstGeom>
        <a:noFill/>
        <a:ln w="9525">
          <a:noFill/>
          <a:miter lim="800000"/>
          <a:headEnd/>
          <a:tailEnd/>
        </a:ln>
        <a:effectLst>
          <a:outerShdw blurRad="50800" dist="127000" dir="2700000" algn="ctr" rotWithShape="0">
            <a:srgbClr val="000000">
              <a:alpha val="43137"/>
            </a:srgbClr>
          </a:outerShdw>
        </a:effectLst>
      </xdr:spPr>
    </xdr:pic>
    <xdr:clientData/>
  </xdr:twoCellAnchor>
  <xdr:twoCellAnchor editAs="oneCell">
    <xdr:from>
      <xdr:col>3</xdr:col>
      <xdr:colOff>393435</xdr:colOff>
      <xdr:row>39</xdr:row>
      <xdr:rowOff>0</xdr:rowOff>
    </xdr:from>
    <xdr:to>
      <xdr:col>5</xdr:col>
      <xdr:colOff>485774</xdr:colOff>
      <xdr:row>48</xdr:row>
      <xdr:rowOff>155332</xdr:rowOff>
    </xdr:to>
    <xdr:pic>
      <xdr:nvPicPr>
        <xdr:cNvPr id="4" name="Picture 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2384160" y="6829425"/>
          <a:ext cx="1273439" cy="1612657"/>
        </a:xfrm>
        <a:prstGeom prst="rect">
          <a:avLst/>
        </a:prstGeom>
        <a:noFill/>
        <a:ln w="19050">
          <a:noFill/>
          <a:miter lim="800000"/>
          <a:headEnd/>
          <a:tailEnd/>
        </a:ln>
        <a:effectLst>
          <a:outerShdw blurRad="50800" dist="127000" dir="2700000" algn="ctr" rotWithShape="0">
            <a:srgbClr val="000000">
              <a:alpha val="43137"/>
            </a:srgbClr>
          </a:outerShdw>
        </a:effectLst>
      </xdr:spPr>
    </xdr:pic>
    <xdr:clientData/>
  </xdr:twoCellAnchor>
  <xdr:twoCellAnchor editAs="oneCell">
    <xdr:from>
      <xdr:col>0</xdr:col>
      <xdr:colOff>588699</xdr:colOff>
      <xdr:row>33</xdr:row>
      <xdr:rowOff>10311</xdr:rowOff>
    </xdr:from>
    <xdr:to>
      <xdr:col>2</xdr:col>
      <xdr:colOff>558970</xdr:colOff>
      <xdr:row>42</xdr:row>
      <xdr:rowOff>142875</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588699" y="5868186"/>
          <a:ext cx="1275196" cy="1608939"/>
        </a:xfrm>
        <a:prstGeom prst="rect">
          <a:avLst/>
        </a:prstGeom>
        <a:effectLst>
          <a:outerShdw blurRad="50800" dist="127000" dir="2700000" algn="ctr" rotWithShape="0">
            <a:srgbClr val="000000">
              <a:alpha val="43137"/>
            </a:srgbClr>
          </a:outerShdw>
        </a:effectLst>
      </xdr:spPr>
    </xdr:pic>
    <xdr:clientData/>
  </xdr:twoCellAnchor>
  <xdr:twoCellAnchor editAs="oneCell">
    <xdr:from>
      <xdr:col>3</xdr:col>
      <xdr:colOff>371476</xdr:colOff>
      <xdr:row>22</xdr:row>
      <xdr:rowOff>11908</xdr:rowOff>
    </xdr:from>
    <xdr:to>
      <xdr:col>5</xdr:col>
      <xdr:colOff>465379</xdr:colOff>
      <xdr:row>31</xdr:row>
      <xdr:rowOff>38101</xdr:rowOff>
    </xdr:to>
    <xdr:pic>
      <xdr:nvPicPr>
        <xdr:cNvPr id="6" name="Picture 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362201" y="3955258"/>
          <a:ext cx="1275003" cy="1616868"/>
        </a:xfrm>
        <a:prstGeom prst="rect">
          <a:avLst/>
        </a:prstGeom>
        <a:effectLst>
          <a:outerShdw blurRad="50800" dist="127000" dir="2700000" algn="ctr" rotWithShape="0">
            <a:schemeClr val="tx1">
              <a:alpha val="43000"/>
            </a:scheme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333375</xdr:colOff>
      <xdr:row>6</xdr:row>
      <xdr:rowOff>38735</xdr:rowOff>
    </xdr:from>
    <xdr:to>
      <xdr:col>17</xdr:col>
      <xdr:colOff>133350</xdr:colOff>
      <xdr:row>30</xdr:row>
      <xdr:rowOff>10160</xdr:rowOff>
    </xdr:to>
    <xdr:graphicFrame macro="">
      <xdr:nvGraphicFramePr>
        <xdr:cNvPr id="542180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333375</xdr:colOff>
      <xdr:row>31</xdr:row>
      <xdr:rowOff>3810</xdr:rowOff>
    </xdr:from>
    <xdr:to>
      <xdr:col>17</xdr:col>
      <xdr:colOff>142875</xdr:colOff>
      <xdr:row>54</xdr:row>
      <xdr:rowOff>152400</xdr:rowOff>
    </xdr:to>
    <xdr:graphicFrame macro="">
      <xdr:nvGraphicFramePr>
        <xdr:cNvPr id="542180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422275</xdr:colOff>
      <xdr:row>6</xdr:row>
      <xdr:rowOff>38735</xdr:rowOff>
    </xdr:from>
    <xdr:to>
      <xdr:col>8</xdr:col>
      <xdr:colOff>231775</xdr:colOff>
      <xdr:row>29</xdr:row>
      <xdr:rowOff>168910</xdr:rowOff>
    </xdr:to>
    <xdr:graphicFrame macro="">
      <xdr:nvGraphicFramePr>
        <xdr:cNvPr id="5421805"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37</xdr:col>
      <xdr:colOff>43815</xdr:colOff>
      <xdr:row>31</xdr:row>
      <xdr:rowOff>3810</xdr:rowOff>
    </xdr:from>
    <xdr:to>
      <xdr:col>44</xdr:col>
      <xdr:colOff>85725</xdr:colOff>
      <xdr:row>52</xdr:row>
      <xdr:rowOff>121920</xdr:rowOff>
    </xdr:to>
    <xdr:graphicFrame macro="">
      <xdr:nvGraphicFramePr>
        <xdr:cNvPr id="5421806"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409575</xdr:colOff>
      <xdr:row>31</xdr:row>
      <xdr:rowOff>3810</xdr:rowOff>
    </xdr:from>
    <xdr:to>
      <xdr:col>8</xdr:col>
      <xdr:colOff>257175</xdr:colOff>
      <xdr:row>55</xdr:row>
      <xdr:rowOff>3810</xdr:rowOff>
    </xdr:to>
    <xdr:graphicFrame macro="">
      <xdr:nvGraphicFramePr>
        <xdr:cNvPr id="5421807"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36</xdr:col>
      <xdr:colOff>428625</xdr:colOff>
      <xdr:row>6</xdr:row>
      <xdr:rowOff>38735</xdr:rowOff>
    </xdr:from>
    <xdr:to>
      <xdr:col>44</xdr:col>
      <xdr:colOff>19050</xdr:colOff>
      <xdr:row>27</xdr:row>
      <xdr:rowOff>0</xdr:rowOff>
    </xdr:to>
    <xdr:graphicFrame macro="">
      <xdr:nvGraphicFramePr>
        <xdr:cNvPr id="5421808"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45</xdr:col>
      <xdr:colOff>381000</xdr:colOff>
      <xdr:row>6</xdr:row>
      <xdr:rowOff>32385</xdr:rowOff>
    </xdr:from>
    <xdr:to>
      <xdr:col>53</xdr:col>
      <xdr:colOff>390525</xdr:colOff>
      <xdr:row>27</xdr:row>
      <xdr:rowOff>51435</xdr:rowOff>
    </xdr:to>
    <xdr:graphicFrame macro="">
      <xdr:nvGraphicFramePr>
        <xdr:cNvPr id="542181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409575</xdr:colOff>
      <xdr:row>31</xdr:row>
      <xdr:rowOff>3810</xdr:rowOff>
    </xdr:from>
    <xdr:to>
      <xdr:col>35</xdr:col>
      <xdr:colOff>38100</xdr:colOff>
      <xdr:row>52</xdr:row>
      <xdr:rowOff>121920</xdr:rowOff>
    </xdr:to>
    <xdr:graphicFrame macro="">
      <xdr:nvGraphicFramePr>
        <xdr:cNvPr id="542181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xdr:col>
      <xdr:colOff>307340</xdr:colOff>
      <xdr:row>6</xdr:row>
      <xdr:rowOff>38735</xdr:rowOff>
    </xdr:from>
    <xdr:to>
      <xdr:col>26</xdr:col>
      <xdr:colOff>107315</xdr:colOff>
      <xdr:row>30</xdr:row>
      <xdr:rowOff>10160</xdr:rowOff>
    </xdr:to>
    <xdr:graphicFrame macro="">
      <xdr:nvGraphicFramePr>
        <xdr:cNvPr id="1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18</xdr:col>
      <xdr:colOff>292100</xdr:colOff>
      <xdr:row>31</xdr:row>
      <xdr:rowOff>3810</xdr:rowOff>
    </xdr:from>
    <xdr:to>
      <xdr:col>26</xdr:col>
      <xdr:colOff>92075</xdr:colOff>
      <xdr:row>52</xdr:row>
      <xdr:rowOff>161925</xdr:rowOff>
    </xdr:to>
    <xdr:graphicFrame macro="">
      <xdr:nvGraphicFramePr>
        <xdr:cNvPr id="12"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25</xdr:col>
      <xdr:colOff>0</xdr:colOff>
      <xdr:row>18</xdr:row>
      <xdr:rowOff>152400</xdr:rowOff>
    </xdr:from>
    <xdr:ext cx="429541" cy="217560"/>
    <xdr:sp macro="" textlink="">
      <xdr:nvSpPr>
        <xdr:cNvPr id="2" name="TextBox 1"/>
        <xdr:cNvSpPr txBox="1"/>
      </xdr:nvSpPr>
      <xdr:spPr>
        <a:xfrm>
          <a:off x="15240000" y="3474720"/>
          <a:ext cx="42954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t>500 ft</a:t>
          </a:r>
        </a:p>
      </xdr:txBody>
    </xdr:sp>
    <xdr:clientData/>
  </xdr:oneCellAnchor>
  <xdr:oneCellAnchor>
    <xdr:from>
      <xdr:col>25</xdr:col>
      <xdr:colOff>0</xdr:colOff>
      <xdr:row>20</xdr:row>
      <xdr:rowOff>55245</xdr:rowOff>
    </xdr:from>
    <xdr:ext cx="429541" cy="217560"/>
    <xdr:sp macro="" textlink="">
      <xdr:nvSpPr>
        <xdr:cNvPr id="14" name="TextBox 13"/>
        <xdr:cNvSpPr txBox="1"/>
      </xdr:nvSpPr>
      <xdr:spPr>
        <a:xfrm>
          <a:off x="15240000" y="3712845"/>
          <a:ext cx="42954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t>400 ft</a:t>
          </a:r>
        </a:p>
      </xdr:txBody>
    </xdr:sp>
    <xdr:clientData/>
  </xdr:oneCellAnchor>
  <xdr:oneCellAnchor>
    <xdr:from>
      <xdr:col>25</xdr:col>
      <xdr:colOff>0</xdr:colOff>
      <xdr:row>21</xdr:row>
      <xdr:rowOff>125730</xdr:rowOff>
    </xdr:from>
    <xdr:ext cx="429541" cy="217560"/>
    <xdr:sp macro="" textlink="">
      <xdr:nvSpPr>
        <xdr:cNvPr id="15" name="TextBox 14"/>
        <xdr:cNvSpPr txBox="1"/>
      </xdr:nvSpPr>
      <xdr:spPr>
        <a:xfrm>
          <a:off x="15240000" y="3950970"/>
          <a:ext cx="42954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t>300 ft</a:t>
          </a:r>
        </a:p>
      </xdr:txBody>
    </xdr:sp>
    <xdr:clientData/>
  </xdr:oneCellAnchor>
  <xdr:oneCellAnchor>
    <xdr:from>
      <xdr:col>25</xdr:col>
      <xdr:colOff>0</xdr:colOff>
      <xdr:row>23</xdr:row>
      <xdr:rowOff>28575</xdr:rowOff>
    </xdr:from>
    <xdr:ext cx="429541" cy="217560"/>
    <xdr:sp macro="" textlink="">
      <xdr:nvSpPr>
        <xdr:cNvPr id="16" name="TextBox 15"/>
        <xdr:cNvSpPr txBox="1"/>
      </xdr:nvSpPr>
      <xdr:spPr>
        <a:xfrm>
          <a:off x="15240000" y="4189095"/>
          <a:ext cx="42954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t>200 ft</a:t>
          </a:r>
        </a:p>
      </xdr:txBody>
    </xdr:sp>
    <xdr:clientData/>
  </xdr:oneCellAnchor>
  <xdr:oneCellAnchor>
    <xdr:from>
      <xdr:col>25</xdr:col>
      <xdr:colOff>0</xdr:colOff>
      <xdr:row>24</xdr:row>
      <xdr:rowOff>99060</xdr:rowOff>
    </xdr:from>
    <xdr:ext cx="429541" cy="217560"/>
    <xdr:sp macro="" textlink="">
      <xdr:nvSpPr>
        <xdr:cNvPr id="17" name="TextBox 16"/>
        <xdr:cNvSpPr txBox="1"/>
      </xdr:nvSpPr>
      <xdr:spPr>
        <a:xfrm>
          <a:off x="15240000" y="4427220"/>
          <a:ext cx="42954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00"/>
            <a:t>100 ft</a:t>
          </a:r>
        </a:p>
      </xdr:txBody>
    </xdr:sp>
    <xdr:clientData/>
  </xdr:oneCellAnchor>
  <xdr:twoCellAnchor>
    <xdr:from>
      <xdr:col>27</xdr:col>
      <xdr:colOff>426720</xdr:colOff>
      <xdr:row>6</xdr:row>
      <xdr:rowOff>38735</xdr:rowOff>
    </xdr:from>
    <xdr:to>
      <xdr:col>35</xdr:col>
      <xdr:colOff>55245</xdr:colOff>
      <xdr:row>27</xdr:row>
      <xdr:rowOff>84455</xdr:rowOff>
    </xdr:to>
    <xdr:graphicFrame macro="">
      <xdr:nvGraphicFramePr>
        <xdr:cNvPr id="1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0.86314</cdr:x>
      <cdr:y>0.37836</cdr:y>
    </cdr:from>
    <cdr:to>
      <cdr:x>0.96885</cdr:x>
      <cdr:y>0.43815</cdr:y>
    </cdr:to>
    <cdr:sp macro="" textlink="">
      <cdr:nvSpPr>
        <cdr:cNvPr id="2" name="TextBox 15"/>
        <cdr:cNvSpPr txBox="1"/>
      </cdr:nvSpPr>
      <cdr:spPr>
        <a:xfrm xmlns:a="http://schemas.openxmlformats.org/drawingml/2006/main">
          <a:off x="4257040" y="1376680"/>
          <a:ext cx="521361"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t>200 mi</a:t>
          </a:r>
          <a:r>
            <a:rPr lang="en-US" sz="800" baseline="30000"/>
            <a:t>2</a:t>
          </a:r>
        </a:p>
      </cdr:txBody>
    </cdr:sp>
  </cdr:relSizeAnchor>
  <cdr:relSizeAnchor xmlns:cdr="http://schemas.openxmlformats.org/drawingml/2006/chartDrawing">
    <cdr:from>
      <cdr:x>0.86314</cdr:x>
      <cdr:y>0.47521</cdr:y>
    </cdr:from>
    <cdr:to>
      <cdr:x>0.96534</cdr:x>
      <cdr:y>0.53501</cdr:y>
    </cdr:to>
    <cdr:sp macro="" textlink="">
      <cdr:nvSpPr>
        <cdr:cNvPr id="3" name="TextBox 16"/>
        <cdr:cNvSpPr txBox="1"/>
      </cdr:nvSpPr>
      <cdr:spPr>
        <a:xfrm xmlns:a="http://schemas.openxmlformats.org/drawingml/2006/main">
          <a:off x="4257040" y="1729092"/>
          <a:ext cx="504049"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t>100</a:t>
          </a:r>
          <a:r>
            <a:rPr lang="en-US" sz="800">
              <a:solidFill>
                <a:schemeClr val="tx1"/>
              </a:solidFill>
              <a:effectLst/>
              <a:latin typeface="+mn-lt"/>
              <a:ea typeface="+mn-ea"/>
              <a:cs typeface="+mn-cs"/>
            </a:rPr>
            <a:t> mi</a:t>
          </a:r>
          <a:r>
            <a:rPr lang="en-US" sz="800" baseline="30000">
              <a:solidFill>
                <a:schemeClr val="tx1"/>
              </a:solidFill>
              <a:effectLst/>
              <a:latin typeface="+mn-lt"/>
              <a:ea typeface="+mn-ea"/>
              <a:cs typeface="+mn-cs"/>
            </a:rPr>
            <a:t>2</a:t>
          </a:r>
          <a:endParaRPr lang="en-US" sz="800"/>
        </a:p>
      </cdr:txBody>
    </cdr:sp>
  </cdr:relSizeAnchor>
</c:userShapes>
</file>

<file path=xl/drawings/drawing4.xml><?xml version="1.0" encoding="utf-8"?>
<c:userShapes xmlns:c="http://schemas.openxmlformats.org/drawingml/2006/chart">
  <cdr:relSizeAnchor xmlns:cdr="http://schemas.openxmlformats.org/drawingml/2006/chartDrawing">
    <cdr:from>
      <cdr:x>0.87441</cdr:x>
      <cdr:y>0.43639</cdr:y>
    </cdr:from>
    <cdr:to>
      <cdr:x>0.96625</cdr:x>
      <cdr:y>0.49553</cdr:y>
    </cdr:to>
    <cdr:sp macro="" textlink="">
      <cdr:nvSpPr>
        <cdr:cNvPr id="2" name="TextBox 1"/>
        <cdr:cNvSpPr txBox="1"/>
      </cdr:nvSpPr>
      <cdr:spPr>
        <a:xfrm xmlns:a="http://schemas.openxmlformats.org/drawingml/2006/main">
          <a:off x="4089400" y="1605280"/>
          <a:ext cx="429541"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t>500 ft</a:t>
          </a:r>
        </a:p>
      </cdr:txBody>
    </cdr:sp>
  </cdr:relSizeAnchor>
  <cdr:relSizeAnchor xmlns:cdr="http://schemas.openxmlformats.org/drawingml/2006/chartDrawing">
    <cdr:from>
      <cdr:x>0.87441</cdr:x>
      <cdr:y>0.51562</cdr:y>
    </cdr:from>
    <cdr:to>
      <cdr:x>0.96625</cdr:x>
      <cdr:y>0.57477</cdr:y>
    </cdr:to>
    <cdr:sp macro="" textlink="">
      <cdr:nvSpPr>
        <cdr:cNvPr id="3" name="TextBox 13"/>
        <cdr:cNvSpPr txBox="1"/>
      </cdr:nvSpPr>
      <cdr:spPr>
        <a:xfrm xmlns:a="http://schemas.openxmlformats.org/drawingml/2006/main">
          <a:off x="4089400" y="1896745"/>
          <a:ext cx="429541"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t>400 ft</a:t>
          </a:r>
        </a:p>
      </cdr:txBody>
    </cdr:sp>
  </cdr:relSizeAnchor>
  <cdr:relSizeAnchor xmlns:cdr="http://schemas.openxmlformats.org/drawingml/2006/chartDrawing">
    <cdr:from>
      <cdr:x>0.87441</cdr:x>
      <cdr:y>0.59486</cdr:y>
    </cdr:from>
    <cdr:to>
      <cdr:x>0.96625</cdr:x>
      <cdr:y>0.654</cdr:y>
    </cdr:to>
    <cdr:sp macro="" textlink="">
      <cdr:nvSpPr>
        <cdr:cNvPr id="4" name="TextBox 14"/>
        <cdr:cNvSpPr txBox="1"/>
      </cdr:nvSpPr>
      <cdr:spPr>
        <a:xfrm xmlns:a="http://schemas.openxmlformats.org/drawingml/2006/main">
          <a:off x="4089400" y="2188210"/>
          <a:ext cx="429541"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t>300 ft</a:t>
          </a:r>
        </a:p>
      </cdr:txBody>
    </cdr:sp>
  </cdr:relSizeAnchor>
  <cdr:relSizeAnchor xmlns:cdr="http://schemas.openxmlformats.org/drawingml/2006/chartDrawing">
    <cdr:from>
      <cdr:x>0.87441</cdr:x>
      <cdr:y>0.67409</cdr:y>
    </cdr:from>
    <cdr:to>
      <cdr:x>0.96625</cdr:x>
      <cdr:y>0.73323</cdr:y>
    </cdr:to>
    <cdr:sp macro="" textlink="">
      <cdr:nvSpPr>
        <cdr:cNvPr id="5" name="TextBox 15"/>
        <cdr:cNvSpPr txBox="1"/>
      </cdr:nvSpPr>
      <cdr:spPr>
        <a:xfrm xmlns:a="http://schemas.openxmlformats.org/drawingml/2006/main">
          <a:off x="4089400" y="2479675"/>
          <a:ext cx="429541"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t>200 ft</a:t>
          </a:r>
        </a:p>
      </cdr:txBody>
    </cdr:sp>
  </cdr:relSizeAnchor>
  <cdr:relSizeAnchor xmlns:cdr="http://schemas.openxmlformats.org/drawingml/2006/chartDrawing">
    <cdr:from>
      <cdr:x>0.87441</cdr:x>
      <cdr:y>0.75332</cdr:y>
    </cdr:from>
    <cdr:to>
      <cdr:x>0.96625</cdr:x>
      <cdr:y>0.81247</cdr:y>
    </cdr:to>
    <cdr:sp macro="" textlink="">
      <cdr:nvSpPr>
        <cdr:cNvPr id="6" name="TextBox 16"/>
        <cdr:cNvSpPr txBox="1"/>
      </cdr:nvSpPr>
      <cdr:spPr>
        <a:xfrm xmlns:a="http://schemas.openxmlformats.org/drawingml/2006/main">
          <a:off x="4089400" y="2771140"/>
          <a:ext cx="429541"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t>100 ft</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pubs.usgs.gov/sir/2005/5289/" TargetMode="External"/><Relationship Id="rId7" Type="http://schemas.openxmlformats.org/officeDocument/2006/relationships/hyperlink" Target="https://pubs.er.usgs.gov/publication/sir20165121" TargetMode="External"/><Relationship Id="rId2" Type="http://schemas.openxmlformats.org/officeDocument/2006/relationships/hyperlink" Target="http://pubs.usgs.gov/wri/wri034064/" TargetMode="External"/><Relationship Id="rId1" Type="http://schemas.openxmlformats.org/officeDocument/2006/relationships/printerSettings" Target="../printerSettings/printerSettings1.bin"/><Relationship Id="rId6" Type="http://schemas.openxmlformats.org/officeDocument/2006/relationships/hyperlink" Target="http://pubs.usgs.gov/sir/2009/5099/" TargetMode="External"/><Relationship Id="rId5" Type="http://schemas.openxmlformats.org/officeDocument/2006/relationships/hyperlink" Target="http://pubs.usgs.gov/ds/0845/" TargetMode="External"/><Relationship Id="rId4" Type="http://schemas.openxmlformats.org/officeDocument/2006/relationships/hyperlink" Target="http://pubs.usgs.gov/sir/2012/5029/"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9"/>
  <sheetViews>
    <sheetView tabSelected="1" zoomScaleNormal="100" workbookViewId="0"/>
  </sheetViews>
  <sheetFormatPr defaultColWidth="8.85546875" defaultRowHeight="12.75" x14ac:dyDescent="0.2"/>
  <cols>
    <col min="1" max="1" width="10.7109375" style="614" customWidth="1"/>
    <col min="2" max="2" width="8.85546875" style="614"/>
    <col min="3" max="3" width="10.28515625" style="614" customWidth="1"/>
    <col min="4" max="16" width="8.85546875" style="614"/>
    <col min="17" max="17" width="12.7109375" style="615" customWidth="1"/>
    <col min="18" max="16384" width="8.85546875" style="614"/>
  </cols>
  <sheetData>
    <row r="1" spans="1:28" x14ac:dyDescent="0.2">
      <c r="A1" s="620"/>
      <c r="B1" s="621"/>
      <c r="C1" s="621"/>
      <c r="D1" s="621"/>
      <c r="E1" s="621"/>
      <c r="F1" s="621"/>
      <c r="G1" s="621"/>
      <c r="H1" s="621"/>
      <c r="I1" s="621"/>
      <c r="J1" s="621"/>
      <c r="K1" s="621"/>
      <c r="L1" s="621"/>
      <c r="M1" s="621"/>
      <c r="N1" s="622"/>
      <c r="O1" s="620"/>
      <c r="P1" s="621"/>
      <c r="Q1" s="653"/>
      <c r="R1" s="621"/>
      <c r="S1" s="621"/>
      <c r="T1" s="621"/>
      <c r="U1" s="621"/>
      <c r="V1" s="621"/>
      <c r="W1" s="621"/>
      <c r="X1" s="621"/>
      <c r="Y1" s="621"/>
      <c r="Z1" s="621"/>
      <c r="AA1" s="621"/>
      <c r="AB1" s="622"/>
    </row>
    <row r="2" spans="1:28" s="415" customFormat="1" ht="23.25" x14ac:dyDescent="0.35">
      <c r="A2" s="623"/>
      <c r="B2" s="624"/>
      <c r="C2" s="624"/>
      <c r="D2" s="855" t="s">
        <v>328</v>
      </c>
      <c r="E2" s="855"/>
      <c r="F2" s="855"/>
      <c r="G2" s="855"/>
      <c r="H2" s="855"/>
      <c r="I2" s="855"/>
      <c r="J2" s="855"/>
      <c r="K2" s="855"/>
      <c r="L2" s="624"/>
      <c r="M2" s="624"/>
      <c r="N2" s="625"/>
      <c r="O2" s="623"/>
      <c r="P2" s="624"/>
      <c r="Q2" s="654"/>
      <c r="R2" s="624"/>
      <c r="S2" s="624"/>
      <c r="T2" s="624"/>
      <c r="U2" s="624"/>
      <c r="V2" s="624"/>
      <c r="W2" s="624"/>
      <c r="X2" s="624"/>
      <c r="Y2" s="624"/>
      <c r="Z2" s="624"/>
      <c r="AA2" s="624"/>
      <c r="AB2" s="625"/>
    </row>
    <row r="3" spans="1:28" s="415" customFormat="1" ht="23.25" x14ac:dyDescent="0.35">
      <c r="A3" s="623"/>
      <c r="B3" s="624"/>
      <c r="C3" s="626"/>
      <c r="D3" s="855" t="s">
        <v>327</v>
      </c>
      <c r="E3" s="855"/>
      <c r="F3" s="855"/>
      <c r="G3" s="855"/>
      <c r="H3" s="855"/>
      <c r="I3" s="855"/>
      <c r="J3" s="855"/>
      <c r="K3" s="855"/>
      <c r="L3" s="624"/>
      <c r="M3" s="624"/>
      <c r="N3" s="625"/>
      <c r="O3" s="623"/>
      <c r="P3" s="624"/>
      <c r="Q3" s="654"/>
      <c r="R3" s="624"/>
      <c r="S3" s="655"/>
      <c r="T3" s="655"/>
      <c r="U3" s="655"/>
      <c r="V3" s="655"/>
      <c r="W3" s="655"/>
      <c r="X3" s="655"/>
      <c r="Y3" s="655"/>
      <c r="Z3" s="624"/>
      <c r="AA3" s="624"/>
      <c r="AB3" s="625"/>
    </row>
    <row r="4" spans="1:28" s="416" customFormat="1" ht="18" x14ac:dyDescent="0.25">
      <c r="A4" s="627"/>
      <c r="B4" s="628"/>
      <c r="C4" s="629"/>
      <c r="D4" s="856" t="s">
        <v>573</v>
      </c>
      <c r="E4" s="856"/>
      <c r="F4" s="856"/>
      <c r="G4" s="856"/>
      <c r="H4" s="856"/>
      <c r="I4" s="856"/>
      <c r="J4" s="856"/>
      <c r="K4" s="856"/>
      <c r="L4" s="628"/>
      <c r="M4" s="628"/>
      <c r="N4" s="630"/>
      <c r="O4" s="627"/>
      <c r="P4" s="628"/>
      <c r="Q4" s="628"/>
      <c r="R4" s="628"/>
      <c r="S4" s="628"/>
      <c r="T4" s="628"/>
      <c r="U4" s="628"/>
      <c r="V4" s="628"/>
      <c r="W4" s="628"/>
      <c r="X4" s="628"/>
      <c r="Y4" s="628"/>
      <c r="Z4" s="628"/>
      <c r="AA4" s="628"/>
      <c r="AB4" s="630"/>
    </row>
    <row r="5" spans="1:28" s="416" customFormat="1" ht="18" x14ac:dyDescent="0.25">
      <c r="A5" s="627"/>
      <c r="B5" s="628"/>
      <c r="C5" s="628"/>
      <c r="D5" s="856"/>
      <c r="E5" s="856"/>
      <c r="F5" s="856"/>
      <c r="G5" s="856"/>
      <c r="H5" s="856"/>
      <c r="I5" s="856"/>
      <c r="J5" s="856"/>
      <c r="K5" s="856"/>
      <c r="L5" s="628"/>
      <c r="M5" s="628"/>
      <c r="N5" s="630"/>
      <c r="O5" s="627"/>
      <c r="P5" s="628"/>
      <c r="Q5" s="628"/>
      <c r="R5" s="628"/>
      <c r="S5" s="628"/>
      <c r="T5" s="628"/>
      <c r="U5" s="628"/>
      <c r="V5" s="628"/>
      <c r="W5" s="628"/>
      <c r="X5" s="628"/>
      <c r="Y5" s="628"/>
      <c r="Z5" s="628"/>
      <c r="AA5" s="628"/>
      <c r="AB5" s="630"/>
    </row>
    <row r="6" spans="1:28" ht="18" x14ac:dyDescent="0.25">
      <c r="A6" s="631"/>
      <c r="B6" s="632"/>
      <c r="C6" s="632"/>
      <c r="D6" s="632"/>
      <c r="E6" s="632"/>
      <c r="F6" s="632"/>
      <c r="G6" s="632"/>
      <c r="H6" s="632"/>
      <c r="I6" s="632"/>
      <c r="J6" s="632"/>
      <c r="K6" s="632"/>
      <c r="L6" s="632"/>
      <c r="M6" s="632"/>
      <c r="N6" s="633"/>
      <c r="O6" s="627"/>
      <c r="P6" s="628"/>
      <c r="Q6" s="628"/>
      <c r="R6" s="628"/>
      <c r="S6" s="628"/>
      <c r="T6" s="628"/>
      <c r="U6" s="628"/>
      <c r="V6" s="628"/>
      <c r="W6" s="628"/>
      <c r="X6" s="628"/>
      <c r="Y6" s="628"/>
      <c r="Z6" s="628"/>
      <c r="AA6" s="628"/>
      <c r="AB6" s="630"/>
    </row>
    <row r="7" spans="1:28" ht="27.95" customHeight="1" x14ac:dyDescent="0.25">
      <c r="A7" s="631"/>
      <c r="B7" s="860" t="s">
        <v>558</v>
      </c>
      <c r="C7" s="869"/>
      <c r="D7" s="869"/>
      <c r="E7" s="869"/>
      <c r="F7" s="869"/>
      <c r="G7" s="869"/>
      <c r="H7" s="869"/>
      <c r="I7" s="869"/>
      <c r="J7" s="869"/>
      <c r="K7" s="869"/>
      <c r="L7" s="869"/>
      <c r="M7" s="870"/>
      <c r="N7" s="633"/>
      <c r="O7" s="627"/>
      <c r="P7" s="628"/>
      <c r="Q7" s="655" t="s">
        <v>496</v>
      </c>
      <c r="R7" s="628"/>
      <c r="S7" s="628"/>
      <c r="T7" s="628"/>
      <c r="U7" s="628"/>
      <c r="V7" s="628"/>
      <c r="W7" s="628"/>
      <c r="X7" s="628"/>
      <c r="Y7" s="628"/>
      <c r="Z7" s="628"/>
      <c r="AA7" s="628"/>
      <c r="AB7" s="630"/>
    </row>
    <row r="8" spans="1:28" ht="27.95" customHeight="1" x14ac:dyDescent="0.25">
      <c r="A8" s="631"/>
      <c r="B8" s="871"/>
      <c r="C8" s="872"/>
      <c r="D8" s="872"/>
      <c r="E8" s="872"/>
      <c r="F8" s="872"/>
      <c r="G8" s="872"/>
      <c r="H8" s="872"/>
      <c r="I8" s="872"/>
      <c r="J8" s="872"/>
      <c r="K8" s="872"/>
      <c r="L8" s="872"/>
      <c r="M8" s="873"/>
      <c r="N8" s="633"/>
      <c r="O8" s="627"/>
      <c r="P8" s="628"/>
      <c r="Q8" s="860" t="s">
        <v>497</v>
      </c>
      <c r="R8" s="861"/>
      <c r="S8" s="861"/>
      <c r="T8" s="861"/>
      <c r="U8" s="861"/>
      <c r="V8" s="861"/>
      <c r="W8" s="861"/>
      <c r="X8" s="861"/>
      <c r="Y8" s="862"/>
      <c r="Z8" s="628"/>
      <c r="AA8" s="628"/>
      <c r="AB8" s="630"/>
    </row>
    <row r="9" spans="1:28" ht="27.95" customHeight="1" x14ac:dyDescent="0.25">
      <c r="A9" s="631"/>
      <c r="B9" s="863" t="s">
        <v>560</v>
      </c>
      <c r="C9" s="864"/>
      <c r="D9" s="864"/>
      <c r="E9" s="864"/>
      <c r="F9" s="864"/>
      <c r="G9" s="864"/>
      <c r="H9" s="864"/>
      <c r="I9" s="864"/>
      <c r="J9" s="864"/>
      <c r="K9" s="864"/>
      <c r="L9" s="864"/>
      <c r="M9" s="865"/>
      <c r="N9" s="633"/>
      <c r="O9" s="627"/>
      <c r="P9" s="628"/>
      <c r="Q9" s="863"/>
      <c r="R9" s="864"/>
      <c r="S9" s="864"/>
      <c r="T9" s="864"/>
      <c r="U9" s="864"/>
      <c r="V9" s="864"/>
      <c r="W9" s="864"/>
      <c r="X9" s="864"/>
      <c r="Y9" s="865"/>
      <c r="Z9" s="628"/>
      <c r="AA9" s="628"/>
      <c r="AB9" s="630"/>
    </row>
    <row r="10" spans="1:28" ht="27.95" customHeight="1" x14ac:dyDescent="0.25">
      <c r="A10" s="631"/>
      <c r="B10" s="871"/>
      <c r="C10" s="872"/>
      <c r="D10" s="872"/>
      <c r="E10" s="872"/>
      <c r="F10" s="872"/>
      <c r="G10" s="872"/>
      <c r="H10" s="872"/>
      <c r="I10" s="872"/>
      <c r="J10" s="872"/>
      <c r="K10" s="872"/>
      <c r="L10" s="872"/>
      <c r="M10" s="873"/>
      <c r="N10" s="633"/>
      <c r="O10" s="627"/>
      <c r="P10" s="628"/>
      <c r="Q10" s="863"/>
      <c r="R10" s="864"/>
      <c r="S10" s="864"/>
      <c r="T10" s="864"/>
      <c r="U10" s="864"/>
      <c r="V10" s="864"/>
      <c r="W10" s="864"/>
      <c r="X10" s="864"/>
      <c r="Y10" s="865"/>
      <c r="Z10" s="628"/>
      <c r="AA10" s="628"/>
      <c r="AB10" s="630"/>
    </row>
    <row r="11" spans="1:28" ht="27.95" customHeight="1" x14ac:dyDescent="0.25">
      <c r="A11" s="631"/>
      <c r="B11" s="871"/>
      <c r="C11" s="872"/>
      <c r="D11" s="872"/>
      <c r="E11" s="872"/>
      <c r="F11" s="872"/>
      <c r="G11" s="872"/>
      <c r="H11" s="872"/>
      <c r="I11" s="872"/>
      <c r="J11" s="872"/>
      <c r="K11" s="872"/>
      <c r="L11" s="872"/>
      <c r="M11" s="873"/>
      <c r="N11" s="633"/>
      <c r="O11" s="627"/>
      <c r="P11" s="628"/>
      <c r="Q11" s="866"/>
      <c r="R11" s="867"/>
      <c r="S11" s="867"/>
      <c r="T11" s="867"/>
      <c r="U11" s="867"/>
      <c r="V11" s="867"/>
      <c r="W11" s="867"/>
      <c r="X11" s="867"/>
      <c r="Y11" s="868"/>
      <c r="Z11" s="628"/>
      <c r="AA11" s="628"/>
      <c r="AB11" s="630"/>
    </row>
    <row r="12" spans="1:28" ht="27.95" customHeight="1" x14ac:dyDescent="0.25">
      <c r="A12" s="631"/>
      <c r="B12" s="871"/>
      <c r="C12" s="872"/>
      <c r="D12" s="872"/>
      <c r="E12" s="872"/>
      <c r="F12" s="872"/>
      <c r="G12" s="872"/>
      <c r="H12" s="872"/>
      <c r="I12" s="872"/>
      <c r="J12" s="872"/>
      <c r="K12" s="872"/>
      <c r="L12" s="872"/>
      <c r="M12" s="873"/>
      <c r="N12" s="633"/>
      <c r="O12" s="627"/>
      <c r="P12" s="628"/>
      <c r="Q12" s="628"/>
      <c r="R12" s="628"/>
      <c r="S12" s="628"/>
      <c r="T12" s="628"/>
      <c r="U12" s="628"/>
      <c r="V12" s="628"/>
      <c r="W12" s="628"/>
      <c r="X12" s="628"/>
      <c r="Y12" s="628"/>
      <c r="Z12" s="628"/>
      <c r="AA12" s="628"/>
      <c r="AB12" s="630"/>
    </row>
    <row r="13" spans="1:28" ht="27.95" customHeight="1" x14ac:dyDescent="0.25">
      <c r="A13" s="631"/>
      <c r="B13" s="871"/>
      <c r="C13" s="872"/>
      <c r="D13" s="872"/>
      <c r="E13" s="872"/>
      <c r="F13" s="872"/>
      <c r="G13" s="872"/>
      <c r="H13" s="872"/>
      <c r="I13" s="872"/>
      <c r="J13" s="872"/>
      <c r="K13" s="872"/>
      <c r="L13" s="872"/>
      <c r="M13" s="873"/>
      <c r="N13" s="633"/>
      <c r="O13" s="627"/>
      <c r="P13" s="628"/>
      <c r="Q13" s="655" t="s">
        <v>356</v>
      </c>
      <c r="R13" s="628"/>
      <c r="S13" s="628"/>
      <c r="T13" s="628"/>
      <c r="U13" s="628"/>
      <c r="V13" s="628"/>
      <c r="W13" s="628"/>
      <c r="X13" s="628"/>
      <c r="Y13" s="628"/>
      <c r="Z13" s="628"/>
      <c r="AA13" s="628"/>
      <c r="AB13" s="630"/>
    </row>
    <row r="14" spans="1:28" ht="16.5" customHeight="1" x14ac:dyDescent="0.25">
      <c r="A14" s="631"/>
      <c r="B14" s="863" t="s">
        <v>559</v>
      </c>
      <c r="C14" s="864"/>
      <c r="D14" s="864"/>
      <c r="E14" s="864"/>
      <c r="F14" s="864"/>
      <c r="G14" s="864"/>
      <c r="H14" s="864"/>
      <c r="I14" s="864"/>
      <c r="J14" s="864"/>
      <c r="K14" s="864"/>
      <c r="L14" s="864"/>
      <c r="M14" s="865"/>
      <c r="N14" s="765"/>
      <c r="O14" s="627"/>
      <c r="P14" s="628"/>
      <c r="Q14" s="672"/>
      <c r="R14" s="628"/>
      <c r="S14" s="628"/>
      <c r="T14" s="628"/>
      <c r="U14" s="628"/>
      <c r="V14" s="628"/>
      <c r="W14" s="628"/>
      <c r="X14" s="628"/>
      <c r="Y14" s="628"/>
      <c r="Z14" s="628"/>
      <c r="AA14" s="628"/>
      <c r="AB14" s="630"/>
    </row>
    <row r="15" spans="1:28" ht="16.5" customHeight="1" x14ac:dyDescent="0.25">
      <c r="A15" s="631"/>
      <c r="B15" s="874"/>
      <c r="C15" s="875"/>
      <c r="D15" s="875"/>
      <c r="E15" s="875"/>
      <c r="F15" s="875"/>
      <c r="G15" s="875"/>
      <c r="H15" s="875"/>
      <c r="I15" s="875"/>
      <c r="J15" s="875"/>
      <c r="K15" s="875"/>
      <c r="L15" s="875"/>
      <c r="M15" s="876"/>
      <c r="N15" s="765"/>
      <c r="O15" s="627"/>
      <c r="P15" s="628"/>
      <c r="Q15" s="656" t="s">
        <v>285</v>
      </c>
      <c r="R15" s="657" t="s">
        <v>358</v>
      </c>
      <c r="S15" s="628"/>
      <c r="T15" s="628"/>
      <c r="U15" s="628"/>
      <c r="V15" s="628"/>
      <c r="W15" s="628"/>
      <c r="X15" s="628"/>
      <c r="Y15" s="628"/>
      <c r="Z15" s="628"/>
      <c r="AA15" s="628"/>
      <c r="AB15" s="630"/>
    </row>
    <row r="16" spans="1:28" ht="14.25" x14ac:dyDescent="0.2">
      <c r="A16" s="631"/>
      <c r="B16" s="417"/>
      <c r="C16" s="417"/>
      <c r="D16" s="417"/>
      <c r="E16" s="417"/>
      <c r="F16" s="417"/>
      <c r="G16" s="417"/>
      <c r="H16" s="417"/>
      <c r="I16" s="417"/>
      <c r="J16" s="417"/>
      <c r="K16" s="417"/>
      <c r="L16" s="417"/>
      <c r="M16" s="417"/>
      <c r="N16" s="633"/>
      <c r="O16" s="631"/>
      <c r="P16" s="671"/>
      <c r="Q16" s="656" t="s">
        <v>89</v>
      </c>
      <c r="R16" s="657" t="s">
        <v>597</v>
      </c>
      <c r="S16" s="671"/>
      <c r="T16" s="671"/>
      <c r="U16" s="671"/>
      <c r="V16" s="671"/>
      <c r="W16" s="671"/>
      <c r="X16" s="671"/>
      <c r="Y16" s="671"/>
      <c r="Z16" s="671"/>
      <c r="AA16" s="671"/>
      <c r="AB16" s="633"/>
    </row>
    <row r="17" spans="1:28" ht="14.25" customHeight="1" x14ac:dyDescent="0.2">
      <c r="A17" s="634"/>
      <c r="B17" s="525"/>
      <c r="C17" s="506"/>
      <c r="D17" s="859" t="s">
        <v>595</v>
      </c>
      <c r="E17" s="859"/>
      <c r="F17" s="859"/>
      <c r="G17" s="859"/>
      <c r="H17" s="859"/>
      <c r="I17" s="859"/>
      <c r="J17" s="859"/>
      <c r="K17" s="636"/>
      <c r="L17" s="636"/>
      <c r="M17" s="636"/>
      <c r="N17" s="635"/>
      <c r="O17" s="631"/>
      <c r="P17" s="671"/>
      <c r="Q17" s="656" t="s">
        <v>374</v>
      </c>
      <c r="R17" s="657" t="s">
        <v>375</v>
      </c>
      <c r="S17" s="671"/>
      <c r="T17" s="671"/>
      <c r="U17" s="671"/>
      <c r="V17" s="671"/>
      <c r="W17" s="671"/>
      <c r="X17" s="671"/>
      <c r="Y17" s="671"/>
      <c r="Z17" s="671"/>
      <c r="AA17" s="671"/>
      <c r="AB17" s="633"/>
    </row>
    <row r="18" spans="1:28" ht="14.25" x14ac:dyDescent="0.2">
      <c r="A18" s="631"/>
      <c r="B18" s="418"/>
      <c r="C18" s="418"/>
      <c r="D18" s="859"/>
      <c r="E18" s="859"/>
      <c r="F18" s="859"/>
      <c r="G18" s="859"/>
      <c r="H18" s="859"/>
      <c r="I18" s="859"/>
      <c r="J18" s="859"/>
      <c r="K18" s="636"/>
      <c r="L18" s="636"/>
      <c r="M18" s="636"/>
      <c r="N18" s="633"/>
      <c r="O18" s="631"/>
      <c r="P18" s="671"/>
      <c r="Q18" s="656" t="s">
        <v>381</v>
      </c>
      <c r="R18" s="657" t="s">
        <v>382</v>
      </c>
      <c r="S18" s="671"/>
      <c r="T18" s="671"/>
      <c r="U18" s="671"/>
      <c r="V18" s="671"/>
      <c r="W18" s="671"/>
      <c r="X18" s="671"/>
      <c r="Y18" s="671"/>
      <c r="Z18" s="671"/>
      <c r="AA18" s="671"/>
      <c r="AB18" s="633"/>
    </row>
    <row r="19" spans="1:28" ht="14.25" customHeight="1" x14ac:dyDescent="0.25">
      <c r="A19" s="631"/>
      <c r="B19" s="632"/>
      <c r="C19" s="632"/>
      <c r="D19" s="859"/>
      <c r="E19" s="859"/>
      <c r="F19" s="859"/>
      <c r="G19" s="859"/>
      <c r="H19" s="859"/>
      <c r="I19" s="859"/>
      <c r="J19" s="859"/>
      <c r="K19" s="615"/>
      <c r="L19" s="615"/>
      <c r="M19" s="615"/>
      <c r="N19" s="633"/>
      <c r="O19" s="631"/>
      <c r="P19" s="671"/>
      <c r="Q19" s="656" t="s">
        <v>92</v>
      </c>
      <c r="R19" s="657" t="s">
        <v>357</v>
      </c>
      <c r="S19" s="628"/>
      <c r="T19" s="628"/>
      <c r="U19" s="671"/>
      <c r="V19" s="671"/>
      <c r="W19" s="671"/>
      <c r="X19" s="671"/>
      <c r="Y19" s="671"/>
      <c r="Z19" s="671"/>
      <c r="AA19" s="671"/>
      <c r="AB19" s="633"/>
    </row>
    <row r="20" spans="1:28" s="615" customFormat="1" ht="14.25" x14ac:dyDescent="0.2">
      <c r="A20" s="631"/>
      <c r="B20" s="632"/>
      <c r="C20" s="632"/>
      <c r="D20" s="757" t="s">
        <v>661</v>
      </c>
      <c r="E20" s="758"/>
      <c r="F20" s="758"/>
      <c r="G20" s="758"/>
      <c r="H20" s="759"/>
      <c r="I20" s="669"/>
      <c r="J20" s="669"/>
      <c r="K20" s="669"/>
      <c r="L20" s="669"/>
      <c r="M20" s="669"/>
      <c r="N20" s="633"/>
      <c r="O20" s="631"/>
      <c r="P20" s="671"/>
      <c r="Q20" s="656" t="s">
        <v>354</v>
      </c>
      <c r="R20" s="657" t="s">
        <v>355</v>
      </c>
      <c r="S20" s="671"/>
      <c r="T20" s="671"/>
      <c r="U20" s="671"/>
      <c r="V20" s="671"/>
      <c r="W20" s="671"/>
      <c r="X20" s="671"/>
      <c r="Y20" s="671"/>
      <c r="Z20" s="671"/>
      <c r="AA20" s="671"/>
      <c r="AB20" s="633"/>
    </row>
    <row r="21" spans="1:28" ht="14.25" x14ac:dyDescent="0.2">
      <c r="A21" s="631"/>
      <c r="B21" s="632"/>
      <c r="C21" s="632"/>
      <c r="D21" s="632"/>
      <c r="E21" s="632"/>
      <c r="F21" s="632"/>
      <c r="G21" s="632"/>
      <c r="H21" s="632"/>
      <c r="I21" s="632"/>
      <c r="J21" s="632"/>
      <c r="K21" s="632"/>
      <c r="L21" s="632"/>
      <c r="M21" s="632"/>
      <c r="N21" s="633"/>
      <c r="O21" s="631"/>
      <c r="P21" s="671"/>
      <c r="Q21" s="656" t="s">
        <v>7</v>
      </c>
      <c r="R21" s="657" t="s">
        <v>335</v>
      </c>
      <c r="S21" s="671"/>
      <c r="T21" s="671"/>
      <c r="U21" s="671"/>
      <c r="V21" s="671"/>
      <c r="W21" s="671"/>
      <c r="X21" s="671"/>
      <c r="Y21" s="671"/>
      <c r="Z21" s="671"/>
      <c r="AA21" s="671"/>
      <c r="AB21" s="633"/>
    </row>
    <row r="22" spans="1:28" ht="15" customHeight="1" x14ac:dyDescent="0.2">
      <c r="A22" s="631"/>
      <c r="B22" s="632"/>
      <c r="C22" s="632"/>
      <c r="D22" s="632"/>
      <c r="E22" s="632"/>
      <c r="F22" s="632"/>
      <c r="G22" s="632"/>
      <c r="H22" s="632"/>
      <c r="I22" s="632"/>
      <c r="J22" s="632"/>
      <c r="K22" s="632"/>
      <c r="L22" s="632"/>
      <c r="M22" s="632"/>
      <c r="N22" s="633"/>
      <c r="O22" s="631"/>
      <c r="P22" s="671"/>
      <c r="Q22" s="656" t="s">
        <v>399</v>
      </c>
      <c r="R22" s="657" t="s">
        <v>594</v>
      </c>
      <c r="S22" s="671"/>
      <c r="T22" s="671"/>
      <c r="U22" s="671"/>
      <c r="V22" s="671"/>
      <c r="W22" s="671"/>
      <c r="X22" s="671"/>
      <c r="Y22" s="671"/>
      <c r="Z22" s="671"/>
      <c r="AA22" s="671"/>
      <c r="AB22" s="633"/>
    </row>
    <row r="23" spans="1:28" ht="14.25" x14ac:dyDescent="0.2">
      <c r="A23" s="631"/>
      <c r="B23" s="632"/>
      <c r="C23" s="632"/>
      <c r="D23" s="636"/>
      <c r="E23" s="636"/>
      <c r="F23" s="636"/>
      <c r="G23" s="858" t="s">
        <v>439</v>
      </c>
      <c r="H23" s="858"/>
      <c r="I23" s="858"/>
      <c r="J23" s="858"/>
      <c r="K23" s="858"/>
      <c r="L23" s="858"/>
      <c r="M23" s="858"/>
      <c r="N23" s="637"/>
      <c r="O23" s="631"/>
      <c r="P23" s="671"/>
      <c r="Q23" s="656" t="s">
        <v>339</v>
      </c>
      <c r="R23" s="657" t="s">
        <v>340</v>
      </c>
      <c r="S23" s="671"/>
      <c r="T23" s="671"/>
      <c r="U23" s="671"/>
      <c r="V23" s="671"/>
      <c r="W23" s="671"/>
      <c r="X23" s="671"/>
      <c r="Y23" s="671"/>
      <c r="Z23" s="671"/>
      <c r="AA23" s="671"/>
      <c r="AB23" s="633"/>
    </row>
    <row r="24" spans="1:28" ht="14.25" customHeight="1" x14ac:dyDescent="0.2">
      <c r="A24" s="631"/>
      <c r="B24" s="632"/>
      <c r="C24" s="632"/>
      <c r="D24" s="617"/>
      <c r="E24" s="617"/>
      <c r="F24" s="617"/>
      <c r="G24" s="858"/>
      <c r="H24" s="858"/>
      <c r="I24" s="858"/>
      <c r="J24" s="858"/>
      <c r="K24" s="858"/>
      <c r="L24" s="858"/>
      <c r="M24" s="858"/>
      <c r="N24" s="637"/>
      <c r="O24" s="631"/>
      <c r="P24" s="671"/>
      <c r="Q24" s="835" t="s">
        <v>128</v>
      </c>
      <c r="R24" s="836" t="s">
        <v>598</v>
      </c>
      <c r="S24" s="671"/>
      <c r="T24" s="671"/>
      <c r="U24" s="671"/>
      <c r="V24" s="671"/>
      <c r="W24" s="671"/>
      <c r="X24" s="671"/>
      <c r="Y24" s="671"/>
      <c r="Z24" s="671"/>
      <c r="AA24" s="671"/>
      <c r="AB24" s="633"/>
    </row>
    <row r="25" spans="1:28" ht="13.15" customHeight="1" x14ac:dyDescent="0.2">
      <c r="A25" s="631"/>
      <c r="B25" s="632"/>
      <c r="C25" s="632"/>
      <c r="D25" s="617"/>
      <c r="E25" s="617"/>
      <c r="F25" s="617"/>
      <c r="G25" s="858"/>
      <c r="H25" s="858"/>
      <c r="I25" s="858"/>
      <c r="J25" s="858"/>
      <c r="K25" s="858"/>
      <c r="L25" s="858"/>
      <c r="M25" s="858"/>
      <c r="N25" s="637"/>
      <c r="O25" s="631"/>
      <c r="P25" s="671"/>
      <c r="Q25" s="656" t="s">
        <v>343</v>
      </c>
      <c r="R25" s="657" t="s">
        <v>344</v>
      </c>
      <c r="S25" s="671"/>
      <c r="T25" s="671"/>
      <c r="U25" s="671"/>
      <c r="V25" s="671"/>
      <c r="W25" s="671"/>
      <c r="X25" s="671"/>
      <c r="Y25" s="671"/>
      <c r="Z25" s="671"/>
      <c r="AA25" s="671"/>
      <c r="AB25" s="633"/>
    </row>
    <row r="26" spans="1:28" ht="12.75" customHeight="1" x14ac:dyDescent="0.2">
      <c r="A26" s="631"/>
      <c r="B26" s="632"/>
      <c r="C26" s="632"/>
      <c r="D26" s="617"/>
      <c r="E26" s="617"/>
      <c r="F26" s="617"/>
      <c r="G26" s="638" t="s">
        <v>440</v>
      </c>
      <c r="H26" s="632"/>
      <c r="I26" s="632"/>
      <c r="J26" s="632"/>
      <c r="K26" s="632"/>
      <c r="L26" s="632"/>
      <c r="M26" s="632"/>
      <c r="N26" s="633"/>
      <c r="O26" s="631"/>
      <c r="P26" s="671"/>
      <c r="Q26" s="656" t="s">
        <v>347</v>
      </c>
      <c r="R26" s="657" t="s">
        <v>348</v>
      </c>
      <c r="S26" s="671"/>
      <c r="T26" s="671"/>
      <c r="U26" s="671"/>
      <c r="V26" s="671"/>
      <c r="W26" s="671"/>
      <c r="X26" s="671"/>
      <c r="Y26" s="671"/>
      <c r="Z26" s="671"/>
      <c r="AA26" s="671"/>
      <c r="AB26" s="633"/>
    </row>
    <row r="27" spans="1:28" ht="14.25" x14ac:dyDescent="0.2">
      <c r="A27" s="631"/>
      <c r="B27" s="632"/>
      <c r="C27" s="632"/>
      <c r="D27" s="632"/>
      <c r="E27" s="632"/>
      <c r="F27" s="632"/>
      <c r="G27" s="632"/>
      <c r="H27" s="632"/>
      <c r="I27" s="632"/>
      <c r="J27" s="632"/>
      <c r="K27" s="632"/>
      <c r="L27" s="632"/>
      <c r="M27" s="632"/>
      <c r="N27" s="633"/>
      <c r="O27" s="631"/>
      <c r="P27" s="671"/>
      <c r="Q27" s="835" t="s">
        <v>129</v>
      </c>
      <c r="R27" s="836" t="s">
        <v>599</v>
      </c>
      <c r="S27" s="671"/>
      <c r="T27" s="671"/>
      <c r="U27" s="671"/>
      <c r="V27" s="671"/>
      <c r="W27" s="671"/>
      <c r="X27" s="671"/>
      <c r="Y27" s="671"/>
      <c r="Z27" s="671"/>
      <c r="AA27" s="671"/>
      <c r="AB27" s="633"/>
    </row>
    <row r="28" spans="1:28" ht="14.25" x14ac:dyDescent="0.2">
      <c r="A28" s="631"/>
      <c r="B28" s="632"/>
      <c r="C28" s="632"/>
      <c r="D28" s="632"/>
      <c r="E28" s="632"/>
      <c r="F28" s="632"/>
      <c r="G28" s="632"/>
      <c r="H28" s="632"/>
      <c r="I28" s="632"/>
      <c r="J28" s="632"/>
      <c r="K28" s="632"/>
      <c r="L28" s="632"/>
      <c r="M28" s="632"/>
      <c r="N28" s="633"/>
      <c r="O28" s="634"/>
      <c r="P28" s="672"/>
      <c r="Q28" s="656" t="s">
        <v>603</v>
      </c>
      <c r="R28" s="657" t="s">
        <v>351</v>
      </c>
      <c r="S28" s="671"/>
      <c r="T28" s="671"/>
      <c r="U28" s="672"/>
      <c r="V28" s="672"/>
      <c r="W28" s="672"/>
      <c r="X28" s="672"/>
      <c r="Y28" s="672"/>
      <c r="Z28" s="672"/>
      <c r="AA28" s="672"/>
      <c r="AB28" s="635"/>
    </row>
    <row r="29" spans="1:28" ht="14.25" x14ac:dyDescent="0.2">
      <c r="A29" s="631"/>
      <c r="B29" s="632"/>
      <c r="C29" s="632"/>
      <c r="D29" s="632"/>
      <c r="E29" s="632"/>
      <c r="F29" s="632"/>
      <c r="G29" s="632"/>
      <c r="H29" s="632"/>
      <c r="I29" s="632"/>
      <c r="J29" s="632"/>
      <c r="K29" s="632"/>
      <c r="L29" s="632"/>
      <c r="M29" s="632"/>
      <c r="N29" s="633"/>
      <c r="O29" s="631"/>
      <c r="P29" s="671"/>
      <c r="Q29" s="656" t="s">
        <v>376</v>
      </c>
      <c r="R29" s="657" t="s">
        <v>377</v>
      </c>
      <c r="S29" s="671"/>
      <c r="T29" s="671"/>
      <c r="U29" s="671"/>
      <c r="V29" s="671"/>
      <c r="W29" s="671"/>
      <c r="X29" s="671"/>
      <c r="Y29" s="671"/>
      <c r="Z29" s="671"/>
      <c r="AA29" s="671"/>
      <c r="AB29" s="633"/>
    </row>
    <row r="30" spans="1:28" ht="14.25" x14ac:dyDescent="0.2">
      <c r="A30" s="631"/>
      <c r="B30" s="632"/>
      <c r="C30" s="632"/>
      <c r="D30" s="632"/>
      <c r="E30" s="632"/>
      <c r="F30" s="632"/>
      <c r="G30" s="632"/>
      <c r="H30" s="632"/>
      <c r="I30" s="632"/>
      <c r="J30" s="632"/>
      <c r="K30" s="632"/>
      <c r="L30" s="632"/>
      <c r="M30" s="632"/>
      <c r="N30" s="633"/>
      <c r="O30" s="631"/>
      <c r="P30" s="671"/>
      <c r="Q30" s="835" t="s">
        <v>131</v>
      </c>
      <c r="R30" s="836" t="s">
        <v>600</v>
      </c>
      <c r="S30" s="671"/>
      <c r="T30" s="671"/>
      <c r="U30" s="671"/>
      <c r="V30" s="671"/>
      <c r="W30" s="671"/>
      <c r="X30" s="671"/>
      <c r="Y30" s="671"/>
      <c r="Z30" s="671"/>
      <c r="AA30" s="671"/>
      <c r="AB30" s="633"/>
    </row>
    <row r="31" spans="1:28" ht="14.25" x14ac:dyDescent="0.2">
      <c r="A31" s="631"/>
      <c r="B31" s="632"/>
      <c r="C31" s="632"/>
      <c r="D31" s="632"/>
      <c r="E31" s="632"/>
      <c r="F31" s="632"/>
      <c r="G31" s="632"/>
      <c r="H31" s="632"/>
      <c r="I31" s="632"/>
      <c r="J31" s="632"/>
      <c r="K31" s="632"/>
      <c r="L31" s="632"/>
      <c r="M31" s="632"/>
      <c r="N31" s="633"/>
      <c r="O31" s="658"/>
      <c r="P31" s="659"/>
      <c r="Q31" s="656" t="s">
        <v>345</v>
      </c>
      <c r="R31" s="657" t="s">
        <v>346</v>
      </c>
      <c r="S31" s="671"/>
      <c r="T31" s="671"/>
      <c r="U31" s="671"/>
      <c r="V31" s="671"/>
      <c r="W31" s="671"/>
      <c r="X31" s="671"/>
      <c r="Y31" s="671"/>
      <c r="Z31" s="671"/>
      <c r="AA31" s="671"/>
      <c r="AB31" s="633"/>
    </row>
    <row r="32" spans="1:28" ht="14.25" x14ac:dyDescent="0.2">
      <c r="A32" s="631"/>
      <c r="B32" s="632"/>
      <c r="C32" s="632"/>
      <c r="D32" s="632"/>
      <c r="E32" s="632"/>
      <c r="F32" s="632"/>
      <c r="G32" s="632"/>
      <c r="H32" s="632"/>
      <c r="I32" s="632"/>
      <c r="J32" s="632"/>
      <c r="K32" s="632"/>
      <c r="L32" s="632"/>
      <c r="M32" s="632"/>
      <c r="N32" s="633"/>
      <c r="O32" s="658"/>
      <c r="P32" s="659"/>
      <c r="Q32" s="835" t="s">
        <v>130</v>
      </c>
      <c r="R32" s="836" t="s">
        <v>601</v>
      </c>
      <c r="S32" s="671"/>
      <c r="T32" s="671"/>
      <c r="U32" s="671"/>
      <c r="V32" s="671"/>
      <c r="W32" s="671"/>
      <c r="X32" s="671"/>
      <c r="Y32" s="671"/>
      <c r="Z32" s="671"/>
      <c r="AA32" s="671"/>
      <c r="AB32" s="633"/>
    </row>
    <row r="33" spans="1:28" s="616" customFormat="1" ht="13.15" customHeight="1" x14ac:dyDescent="0.2">
      <c r="A33" s="631"/>
      <c r="B33" s="632"/>
      <c r="C33" s="632"/>
      <c r="E33" s="641"/>
      <c r="F33" s="641"/>
      <c r="G33" s="641"/>
      <c r="H33" s="641"/>
      <c r="I33" s="641"/>
      <c r="J33" s="641"/>
      <c r="K33" s="641"/>
      <c r="L33" s="641"/>
      <c r="M33" s="641"/>
      <c r="N33" s="633"/>
      <c r="O33" s="658"/>
      <c r="P33" s="659"/>
      <c r="Q33" s="656" t="s">
        <v>349</v>
      </c>
      <c r="R33" s="657" t="s">
        <v>350</v>
      </c>
      <c r="S33" s="672"/>
      <c r="T33" s="672"/>
      <c r="U33" s="671"/>
      <c r="V33" s="671"/>
      <c r="W33" s="671"/>
      <c r="X33" s="671"/>
      <c r="Y33" s="671"/>
      <c r="Z33" s="671"/>
      <c r="AA33" s="671"/>
      <c r="AB33" s="633"/>
    </row>
    <row r="34" spans="1:28" ht="12.75" customHeight="1" x14ac:dyDescent="0.2">
      <c r="A34" s="631"/>
      <c r="B34" s="632"/>
      <c r="C34" s="632"/>
      <c r="D34" s="880" t="s">
        <v>401</v>
      </c>
      <c r="E34" s="880"/>
      <c r="F34" s="880"/>
      <c r="G34" s="880"/>
      <c r="H34" s="880"/>
      <c r="I34" s="880"/>
      <c r="J34" s="880"/>
      <c r="K34" s="641"/>
      <c r="L34" s="641"/>
      <c r="M34" s="641"/>
      <c r="N34" s="633"/>
      <c r="O34" s="631"/>
      <c r="P34" s="671"/>
      <c r="Q34" s="656" t="s">
        <v>337</v>
      </c>
      <c r="R34" s="656" t="s">
        <v>338</v>
      </c>
      <c r="S34" s="671"/>
      <c r="T34" s="671"/>
      <c r="U34" s="671"/>
      <c r="V34" s="671"/>
      <c r="W34" s="671"/>
      <c r="X34" s="671"/>
      <c r="Y34" s="671"/>
      <c r="Z34" s="671"/>
      <c r="AA34" s="671"/>
      <c r="AB34" s="633"/>
    </row>
    <row r="35" spans="1:28" ht="14.25" x14ac:dyDescent="0.2">
      <c r="A35" s="631"/>
      <c r="B35" s="632"/>
      <c r="C35" s="632"/>
      <c r="D35" s="880"/>
      <c r="E35" s="880"/>
      <c r="F35" s="880"/>
      <c r="G35" s="880"/>
      <c r="H35" s="880"/>
      <c r="I35" s="880"/>
      <c r="J35" s="880"/>
      <c r="K35" s="641"/>
      <c r="L35" s="641"/>
      <c r="M35" s="641"/>
      <c r="N35" s="633"/>
      <c r="O35" s="631"/>
      <c r="P35" s="671"/>
      <c r="Q35" s="656" t="s">
        <v>58</v>
      </c>
      <c r="R35" s="657" t="s">
        <v>336</v>
      </c>
      <c r="S35" s="671"/>
      <c r="T35" s="671"/>
      <c r="U35" s="671"/>
      <c r="V35" s="671"/>
      <c r="W35" s="671"/>
      <c r="X35" s="671"/>
      <c r="Y35" s="671"/>
      <c r="Z35" s="671"/>
      <c r="AA35" s="671"/>
      <c r="AB35" s="633"/>
    </row>
    <row r="36" spans="1:28" ht="12.75" customHeight="1" x14ac:dyDescent="0.2">
      <c r="A36" s="631"/>
      <c r="B36" s="632"/>
      <c r="C36" s="632"/>
      <c r="D36" s="880"/>
      <c r="E36" s="880"/>
      <c r="F36" s="880"/>
      <c r="G36" s="880"/>
      <c r="H36" s="880"/>
      <c r="I36" s="880"/>
      <c r="J36" s="880"/>
      <c r="K36" s="640"/>
      <c r="L36" s="640"/>
      <c r="M36" s="640"/>
      <c r="N36" s="633"/>
      <c r="O36" s="631"/>
      <c r="P36" s="4"/>
      <c r="Q36" s="656" t="s">
        <v>352</v>
      </c>
      <c r="R36" s="657" t="s">
        <v>353</v>
      </c>
      <c r="S36" s="671"/>
      <c r="T36" s="671"/>
      <c r="U36" s="4"/>
      <c r="V36" s="4"/>
      <c r="W36" s="4"/>
      <c r="X36" s="4"/>
      <c r="Y36" s="4"/>
      <c r="Z36" s="671"/>
      <c r="AA36" s="671"/>
      <c r="AB36" s="633"/>
    </row>
    <row r="37" spans="1:28" ht="13.15" customHeight="1" x14ac:dyDescent="0.2">
      <c r="A37" s="631"/>
      <c r="B37" s="632"/>
      <c r="C37" s="632"/>
      <c r="D37" s="639" t="s">
        <v>400</v>
      </c>
      <c r="E37" s="632"/>
      <c r="F37" s="632"/>
      <c r="G37" s="632"/>
      <c r="H37" s="632"/>
      <c r="I37" s="632"/>
      <c r="J37" s="632"/>
      <c r="K37" s="632"/>
      <c r="L37" s="632"/>
      <c r="M37" s="632"/>
      <c r="N37" s="633"/>
      <c r="O37" s="631"/>
      <c r="P37" s="4"/>
      <c r="Q37" s="660" t="s">
        <v>383</v>
      </c>
      <c r="R37" s="661" t="s">
        <v>384</v>
      </c>
      <c r="S37" s="671"/>
      <c r="T37" s="671"/>
      <c r="U37" s="4"/>
      <c r="V37" s="4"/>
      <c r="W37" s="4"/>
      <c r="X37" s="4"/>
      <c r="Y37" s="4"/>
      <c r="Z37" s="671"/>
      <c r="AA37" s="671"/>
      <c r="AB37" s="633"/>
    </row>
    <row r="38" spans="1:28" ht="12.75" customHeight="1" x14ac:dyDescent="0.2">
      <c r="A38" s="631"/>
      <c r="B38" s="632"/>
      <c r="C38" s="632"/>
      <c r="D38" s="632"/>
      <c r="E38" s="632"/>
      <c r="F38" s="632"/>
      <c r="G38" s="632"/>
      <c r="H38" s="632"/>
      <c r="I38" s="632"/>
      <c r="J38" s="632"/>
      <c r="K38" s="632"/>
      <c r="L38" s="632"/>
      <c r="M38" s="632"/>
      <c r="N38" s="633"/>
      <c r="O38" s="631"/>
      <c r="P38" s="659"/>
      <c r="Q38" s="662" t="s">
        <v>341</v>
      </c>
      <c r="R38" s="663" t="s">
        <v>342</v>
      </c>
      <c r="S38" s="671"/>
      <c r="T38" s="671"/>
      <c r="U38" s="4"/>
      <c r="V38" s="4"/>
      <c r="W38" s="4"/>
      <c r="X38" s="4"/>
      <c r="Y38" s="671"/>
      <c r="Z38" s="671"/>
      <c r="AA38" s="671"/>
      <c r="AB38" s="633"/>
    </row>
    <row r="39" spans="1:28" ht="13.15" customHeight="1" x14ac:dyDescent="0.2">
      <c r="A39" s="631"/>
      <c r="B39" s="632"/>
      <c r="C39" s="632"/>
      <c r="D39" s="632"/>
      <c r="E39" s="632"/>
      <c r="F39" s="632"/>
      <c r="H39" s="641"/>
      <c r="I39" s="641"/>
      <c r="J39" s="641"/>
      <c r="K39" s="641"/>
      <c r="L39" s="641"/>
      <c r="M39" s="641"/>
      <c r="N39" s="642"/>
      <c r="O39" s="631"/>
      <c r="P39" s="4"/>
      <c r="Q39" s="659"/>
      <c r="R39" s="671"/>
      <c r="S39" s="671"/>
      <c r="T39" s="671"/>
      <c r="U39" s="671"/>
      <c r="V39" s="671"/>
      <c r="W39" s="671"/>
      <c r="X39" s="671"/>
      <c r="Y39" s="4"/>
      <c r="Z39" s="671"/>
      <c r="AA39" s="671"/>
      <c r="AB39" s="633"/>
    </row>
    <row r="40" spans="1:28" ht="13.15" customHeight="1" x14ac:dyDescent="0.2">
      <c r="A40" s="631"/>
      <c r="B40" s="632"/>
      <c r="C40" s="632"/>
      <c r="D40" s="632"/>
      <c r="E40" s="632"/>
      <c r="F40" s="632"/>
      <c r="G40" s="880" t="s">
        <v>333</v>
      </c>
      <c r="H40" s="880"/>
      <c r="I40" s="880"/>
      <c r="J40" s="880"/>
      <c r="K40" s="880"/>
      <c r="L40" s="880"/>
      <c r="M40" s="880"/>
      <c r="N40" s="642"/>
      <c r="O40" s="631"/>
      <c r="P40" s="4"/>
      <c r="Q40" s="664" t="s">
        <v>398</v>
      </c>
      <c r="R40" s="664"/>
      <c r="S40" s="664"/>
      <c r="T40" s="664"/>
      <c r="U40" s="664"/>
      <c r="V40" s="664"/>
      <c r="W40" s="664"/>
      <c r="X40" s="664"/>
      <c r="Y40" s="4"/>
      <c r="Z40" s="671"/>
      <c r="AA40" s="671"/>
      <c r="AB40" s="633"/>
    </row>
    <row r="41" spans="1:28" ht="13.15" customHeight="1" x14ac:dyDescent="0.2">
      <c r="A41" s="631"/>
      <c r="B41" s="632"/>
      <c r="C41" s="632"/>
      <c r="D41" s="632"/>
      <c r="E41" s="632"/>
      <c r="F41" s="632"/>
      <c r="G41" s="880"/>
      <c r="H41" s="880"/>
      <c r="I41" s="880"/>
      <c r="J41" s="880"/>
      <c r="K41" s="880"/>
      <c r="L41" s="880"/>
      <c r="M41" s="880"/>
      <c r="N41" s="642"/>
      <c r="O41" s="631"/>
      <c r="P41" s="4"/>
      <c r="Q41" s="672"/>
      <c r="R41" s="671"/>
      <c r="S41" s="671"/>
      <c r="T41" s="671"/>
      <c r="U41" s="671"/>
      <c r="V41" s="671"/>
      <c r="W41" s="671"/>
      <c r="X41" s="671"/>
      <c r="Y41" s="4"/>
      <c r="Z41" s="644"/>
      <c r="AA41" s="644"/>
      <c r="AB41" s="665"/>
    </row>
    <row r="42" spans="1:28" ht="12.75" customHeight="1" x14ac:dyDescent="0.2">
      <c r="A42" s="643"/>
      <c r="B42" s="644"/>
      <c r="C42" s="644"/>
      <c r="D42" s="632"/>
      <c r="E42" s="632"/>
      <c r="F42" s="632"/>
      <c r="G42" s="880"/>
      <c r="H42" s="880"/>
      <c r="I42" s="880"/>
      <c r="J42" s="880"/>
      <c r="K42" s="880"/>
      <c r="L42" s="880"/>
      <c r="M42" s="880"/>
      <c r="N42" s="642"/>
      <c r="O42" s="631"/>
      <c r="P42" s="4"/>
      <c r="Q42" s="879" t="s">
        <v>479</v>
      </c>
      <c r="R42" s="879"/>
      <c r="S42" s="879"/>
      <c r="T42" s="879"/>
      <c r="U42" s="879"/>
      <c r="V42" s="879"/>
      <c r="W42" s="879"/>
      <c r="X42" s="879"/>
      <c r="Y42" s="4"/>
      <c r="Z42" s="671"/>
      <c r="AA42" s="671"/>
      <c r="AB42" s="633"/>
    </row>
    <row r="43" spans="1:28" x14ac:dyDescent="0.2">
      <c r="A43" s="631"/>
      <c r="B43" s="632"/>
      <c r="C43" s="632"/>
      <c r="D43" s="632"/>
      <c r="E43" s="632"/>
      <c r="F43" s="632"/>
      <c r="G43" s="880"/>
      <c r="H43" s="880"/>
      <c r="I43" s="880"/>
      <c r="J43" s="880"/>
      <c r="K43" s="880"/>
      <c r="L43" s="880"/>
      <c r="M43" s="880"/>
      <c r="N43" s="642"/>
      <c r="O43" s="631"/>
      <c r="P43" s="4"/>
      <c r="Q43" s="879"/>
      <c r="R43" s="879"/>
      <c r="S43" s="879"/>
      <c r="T43" s="879"/>
      <c r="U43" s="879"/>
      <c r="V43" s="879"/>
      <c r="W43" s="879"/>
      <c r="X43" s="879"/>
      <c r="Y43" s="4"/>
      <c r="Z43" s="671"/>
      <c r="AA43" s="671"/>
      <c r="AB43" s="633"/>
    </row>
    <row r="44" spans="1:28" x14ac:dyDescent="0.2">
      <c r="A44" s="631"/>
      <c r="B44" s="632"/>
      <c r="C44" s="632"/>
      <c r="D44" s="632"/>
      <c r="E44" s="632"/>
      <c r="F44" s="632"/>
      <c r="G44" s="639" t="s">
        <v>334</v>
      </c>
      <c r="H44" s="632"/>
      <c r="I44" s="632"/>
      <c r="J44" s="632"/>
      <c r="K44" s="632"/>
      <c r="L44" s="632"/>
      <c r="M44" s="632"/>
      <c r="N44" s="633"/>
      <c r="O44" s="631"/>
      <c r="P44" s="4"/>
      <c r="Q44" s="879"/>
      <c r="R44" s="879"/>
      <c r="S44" s="879"/>
      <c r="T44" s="879"/>
      <c r="U44" s="879"/>
      <c r="V44" s="879"/>
      <c r="W44" s="879"/>
      <c r="X44" s="879"/>
      <c r="Y44" s="4"/>
      <c r="Z44" s="671"/>
      <c r="AA44" s="671"/>
      <c r="AB44" s="633"/>
    </row>
    <row r="45" spans="1:28" x14ac:dyDescent="0.2">
      <c r="A45" s="631"/>
      <c r="B45" s="632"/>
      <c r="C45" s="632"/>
      <c r="D45" s="632"/>
      <c r="E45" s="632"/>
      <c r="F45" s="632"/>
      <c r="G45" s="632"/>
      <c r="H45" s="632"/>
      <c r="I45" s="632"/>
      <c r="J45" s="632"/>
      <c r="K45" s="632"/>
      <c r="L45" s="632"/>
      <c r="M45" s="632"/>
      <c r="N45" s="633"/>
      <c r="O45" s="631"/>
      <c r="P45" s="4"/>
      <c r="Q45" s="4"/>
      <c r="R45" s="4"/>
      <c r="S45" s="4"/>
      <c r="T45" s="4"/>
      <c r="U45" s="4"/>
      <c r="V45" s="4"/>
      <c r="W45" s="4"/>
      <c r="X45" s="4"/>
      <c r="Y45" s="4"/>
      <c r="Z45" s="671"/>
      <c r="AA45" s="671"/>
      <c r="AB45" s="633"/>
    </row>
    <row r="46" spans="1:28" x14ac:dyDescent="0.2">
      <c r="A46" s="631"/>
      <c r="B46" s="632"/>
      <c r="C46" s="632"/>
      <c r="D46" s="632"/>
      <c r="E46" s="632"/>
      <c r="F46" s="632"/>
      <c r="G46" s="632"/>
      <c r="H46" s="632"/>
      <c r="I46" s="632"/>
      <c r="J46" s="632"/>
      <c r="K46" s="632"/>
      <c r="L46" s="632"/>
      <c r="M46" s="632"/>
      <c r="N46" s="633"/>
      <c r="O46" s="631"/>
      <c r="P46" s="4"/>
      <c r="Q46" s="857" t="s">
        <v>402</v>
      </c>
      <c r="R46" s="857"/>
      <c r="S46" s="857"/>
      <c r="T46" s="857"/>
      <c r="U46" s="857"/>
      <c r="V46" s="857"/>
      <c r="W46" s="857"/>
      <c r="X46" s="857"/>
      <c r="Y46" s="4"/>
      <c r="Z46" s="671"/>
      <c r="AA46" s="671"/>
      <c r="AB46" s="633"/>
    </row>
    <row r="47" spans="1:28" ht="12.75" customHeight="1" x14ac:dyDescent="0.2">
      <c r="A47" s="631"/>
      <c r="B47" s="632"/>
      <c r="C47" s="632"/>
      <c r="D47" s="632"/>
      <c r="E47" s="632"/>
      <c r="F47" s="632"/>
      <c r="G47" s="632"/>
      <c r="H47" s="632"/>
      <c r="I47" s="632"/>
      <c r="J47" s="632"/>
      <c r="K47" s="632"/>
      <c r="L47" s="632"/>
      <c r="M47" s="632"/>
      <c r="N47" s="633"/>
      <c r="O47" s="631"/>
      <c r="P47" s="4"/>
      <c r="Q47" s="857"/>
      <c r="R47" s="857"/>
      <c r="S47" s="857"/>
      <c r="T47" s="857"/>
      <c r="U47" s="857"/>
      <c r="V47" s="857"/>
      <c r="W47" s="857"/>
      <c r="X47" s="857"/>
      <c r="Y47" s="4"/>
      <c r="Z47" s="671"/>
      <c r="AA47" s="671"/>
      <c r="AB47" s="633"/>
    </row>
    <row r="48" spans="1:28" ht="12.75" customHeight="1" x14ac:dyDescent="0.2">
      <c r="A48" s="631"/>
      <c r="B48" s="632"/>
      <c r="C48" s="632"/>
      <c r="D48" s="632"/>
      <c r="E48" s="640"/>
      <c r="F48" s="640"/>
      <c r="G48" s="640"/>
      <c r="H48" s="640"/>
      <c r="I48" s="640"/>
      <c r="J48" s="640"/>
      <c r="K48" s="640"/>
      <c r="L48" s="640"/>
      <c r="M48" s="640"/>
      <c r="N48" s="633"/>
      <c r="O48" s="666"/>
      <c r="P48" s="641"/>
      <c r="Q48" s="857"/>
      <c r="R48" s="857"/>
      <c r="S48" s="857"/>
      <c r="T48" s="857"/>
      <c r="U48" s="857"/>
      <c r="V48" s="857"/>
      <c r="W48" s="857"/>
      <c r="X48" s="857"/>
      <c r="Y48" s="4"/>
      <c r="Z48" s="671"/>
      <c r="AA48" s="671"/>
      <c r="AB48" s="633"/>
    </row>
    <row r="49" spans="1:28" ht="13.15" customHeight="1" x14ac:dyDescent="0.2">
      <c r="A49" s="631"/>
      <c r="B49" s="632"/>
      <c r="C49" s="632"/>
      <c r="D49" s="632"/>
      <c r="E49" s="632"/>
      <c r="F49" s="632"/>
      <c r="G49" s="632"/>
      <c r="H49" s="632"/>
      <c r="I49" s="632"/>
      <c r="J49" s="632"/>
      <c r="K49" s="632"/>
      <c r="L49" s="632"/>
      <c r="M49" s="632"/>
      <c r="N49" s="633"/>
      <c r="O49" s="666"/>
      <c r="P49" s="641"/>
      <c r="Q49" s="4"/>
      <c r="R49" s="4"/>
      <c r="S49" s="4"/>
      <c r="T49" s="4"/>
      <c r="U49" s="4"/>
      <c r="V49" s="4"/>
      <c r="W49" s="4"/>
      <c r="X49" s="4"/>
      <c r="Y49" s="4"/>
      <c r="Z49" s="671"/>
      <c r="AA49" s="671"/>
      <c r="AB49" s="633"/>
    </row>
    <row r="50" spans="1:28" ht="12.75" customHeight="1" x14ac:dyDescent="0.2">
      <c r="A50" s="631"/>
      <c r="B50" s="632"/>
      <c r="C50" s="632"/>
      <c r="E50" s="641"/>
      <c r="F50" s="641"/>
      <c r="G50" s="641"/>
      <c r="H50" s="641"/>
      <c r="I50" s="641"/>
      <c r="J50" s="641"/>
      <c r="K50" s="641"/>
      <c r="L50" s="641"/>
      <c r="M50" s="641"/>
      <c r="N50" s="633"/>
      <c r="O50" s="666"/>
      <c r="P50" s="641"/>
      <c r="Q50" s="857" t="s">
        <v>332</v>
      </c>
      <c r="R50" s="857"/>
      <c r="S50" s="857"/>
      <c r="T50" s="857"/>
      <c r="U50" s="857"/>
      <c r="V50" s="857"/>
      <c r="W50" s="857"/>
      <c r="X50" s="857"/>
      <c r="Y50" s="4"/>
      <c r="Z50" s="671"/>
      <c r="AA50" s="671"/>
      <c r="AB50" s="633"/>
    </row>
    <row r="51" spans="1:28" ht="12.75" customHeight="1" x14ac:dyDescent="0.2">
      <c r="A51" s="631"/>
      <c r="B51" s="632"/>
      <c r="C51" s="632"/>
      <c r="E51" s="641"/>
      <c r="F51" s="641"/>
      <c r="G51" s="641"/>
      <c r="H51" s="641"/>
      <c r="I51" s="641"/>
      <c r="J51" s="641"/>
      <c r="K51" s="641"/>
      <c r="L51" s="641"/>
      <c r="M51" s="641"/>
      <c r="N51" s="633"/>
      <c r="O51" s="666"/>
      <c r="P51" s="641"/>
      <c r="Q51" s="857"/>
      <c r="R51" s="857"/>
      <c r="S51" s="857"/>
      <c r="T51" s="857"/>
      <c r="U51" s="857"/>
      <c r="V51" s="857"/>
      <c r="W51" s="857"/>
      <c r="X51" s="857"/>
      <c r="Y51" s="4"/>
      <c r="Z51" s="671"/>
      <c r="AA51" s="671"/>
      <c r="AB51" s="633"/>
    </row>
    <row r="52" spans="1:28" ht="13.15" customHeight="1" x14ac:dyDescent="0.2">
      <c r="A52" s="631"/>
      <c r="B52" s="632"/>
      <c r="C52" s="632"/>
      <c r="D52" s="880" t="s">
        <v>332</v>
      </c>
      <c r="E52" s="880"/>
      <c r="F52" s="880"/>
      <c r="G52" s="880"/>
      <c r="H52" s="880"/>
      <c r="I52" s="880"/>
      <c r="J52" s="880"/>
      <c r="K52" s="641"/>
      <c r="L52" s="641"/>
      <c r="M52" s="641"/>
      <c r="N52" s="633"/>
      <c r="O52" s="631"/>
      <c r="P52" s="671"/>
      <c r="Q52" s="857"/>
      <c r="R52" s="857"/>
      <c r="S52" s="857"/>
      <c r="T52" s="857"/>
      <c r="U52" s="857"/>
      <c r="V52" s="857"/>
      <c r="W52" s="857"/>
      <c r="X52" s="857"/>
      <c r="Y52" s="4"/>
      <c r="Z52" s="671"/>
      <c r="AA52" s="671"/>
      <c r="AB52" s="633"/>
    </row>
    <row r="53" spans="1:28" ht="12.75" customHeight="1" x14ac:dyDescent="0.2">
      <c r="A53" s="631"/>
      <c r="B53" s="632"/>
      <c r="C53" s="632"/>
      <c r="D53" s="880"/>
      <c r="E53" s="880"/>
      <c r="F53" s="880"/>
      <c r="G53" s="880"/>
      <c r="H53" s="880"/>
      <c r="I53" s="880"/>
      <c r="J53" s="880"/>
      <c r="K53" s="645"/>
      <c r="L53" s="645"/>
      <c r="M53" s="645"/>
      <c r="N53" s="633"/>
      <c r="O53" s="631"/>
      <c r="P53" s="4"/>
      <c r="Q53" s="812"/>
      <c r="R53" s="812"/>
      <c r="S53" s="812"/>
      <c r="T53" s="812"/>
      <c r="U53" s="812"/>
      <c r="V53" s="812"/>
      <c r="W53" s="812"/>
      <c r="X53" s="812"/>
      <c r="Y53" s="4"/>
      <c r="Z53" s="671"/>
      <c r="AA53" s="671"/>
      <c r="AB53" s="633"/>
    </row>
    <row r="54" spans="1:28" x14ac:dyDescent="0.2">
      <c r="A54" s="631"/>
      <c r="B54" s="632"/>
      <c r="C54" s="632"/>
      <c r="D54" s="880"/>
      <c r="E54" s="880"/>
      <c r="F54" s="880"/>
      <c r="G54" s="880"/>
      <c r="H54" s="880"/>
      <c r="I54" s="880"/>
      <c r="J54" s="880"/>
      <c r="K54" s="632"/>
      <c r="L54" s="632"/>
      <c r="M54" s="632"/>
      <c r="N54" s="633"/>
      <c r="O54" s="631"/>
      <c r="P54" s="4"/>
      <c r="Q54" s="857" t="s">
        <v>333</v>
      </c>
      <c r="R54" s="857"/>
      <c r="S54" s="857"/>
      <c r="T54" s="857"/>
      <c r="U54" s="857"/>
      <c r="V54" s="857"/>
      <c r="W54" s="857"/>
      <c r="X54" s="857"/>
      <c r="Y54" s="4"/>
      <c r="Z54" s="671"/>
      <c r="AA54" s="671"/>
      <c r="AB54" s="633"/>
    </row>
    <row r="55" spans="1:28" ht="12.75" customHeight="1" x14ac:dyDescent="0.2">
      <c r="A55" s="631"/>
      <c r="B55" s="632"/>
      <c r="C55" s="632"/>
      <c r="D55" s="880"/>
      <c r="E55" s="880"/>
      <c r="F55" s="880"/>
      <c r="G55" s="880"/>
      <c r="H55" s="880"/>
      <c r="I55" s="880"/>
      <c r="J55" s="880"/>
      <c r="K55" s="632"/>
      <c r="L55" s="632"/>
      <c r="M55" s="632"/>
      <c r="N55" s="633"/>
      <c r="O55" s="631"/>
      <c r="P55" s="4"/>
      <c r="Q55" s="857"/>
      <c r="R55" s="857"/>
      <c r="S55" s="857"/>
      <c r="T55" s="857"/>
      <c r="U55" s="857"/>
      <c r="V55" s="857"/>
      <c r="W55" s="857"/>
      <c r="X55" s="857"/>
      <c r="Y55" s="4"/>
      <c r="Z55" s="671"/>
      <c r="AA55" s="671"/>
      <c r="AB55" s="633"/>
    </row>
    <row r="56" spans="1:28" ht="12.75" customHeight="1" x14ac:dyDescent="0.2">
      <c r="A56" s="631"/>
      <c r="B56" s="632"/>
      <c r="C56" s="632"/>
      <c r="D56" s="638" t="s">
        <v>331</v>
      </c>
      <c r="E56" s="632"/>
      <c r="F56" s="632"/>
      <c r="H56" s="640"/>
      <c r="I56" s="640"/>
      <c r="J56" s="640"/>
      <c r="K56" s="640"/>
      <c r="L56" s="640"/>
      <c r="M56" s="640"/>
      <c r="N56" s="633"/>
      <c r="O56" s="631"/>
      <c r="P56" s="4"/>
      <c r="Q56" s="857"/>
      <c r="R56" s="857"/>
      <c r="S56" s="857"/>
      <c r="T56" s="857"/>
      <c r="U56" s="857"/>
      <c r="V56" s="857"/>
      <c r="W56" s="857"/>
      <c r="X56" s="857"/>
      <c r="Y56" s="4"/>
      <c r="Z56" s="671"/>
      <c r="AA56" s="671"/>
      <c r="AB56" s="633"/>
    </row>
    <row r="57" spans="1:28" x14ac:dyDescent="0.2">
      <c r="A57" s="631"/>
      <c r="B57" s="632"/>
      <c r="C57" s="632"/>
      <c r="D57" s="632"/>
      <c r="E57" s="632"/>
      <c r="F57" s="632"/>
      <c r="H57" s="640"/>
      <c r="I57" s="640"/>
      <c r="J57" s="640"/>
      <c r="K57" s="640"/>
      <c r="L57" s="640"/>
      <c r="M57" s="640"/>
      <c r="N57" s="646"/>
      <c r="O57" s="631"/>
      <c r="P57" s="4"/>
      <c r="Q57" s="833"/>
      <c r="R57" s="616"/>
      <c r="S57" s="616"/>
      <c r="T57" s="616"/>
      <c r="U57" s="616"/>
      <c r="V57" s="616"/>
      <c r="W57" s="616"/>
      <c r="X57" s="616"/>
      <c r="Y57" s="4"/>
      <c r="Z57" s="671"/>
      <c r="AA57" s="671"/>
      <c r="AB57" s="633"/>
    </row>
    <row r="58" spans="1:28" x14ac:dyDescent="0.2">
      <c r="A58" s="631"/>
      <c r="B58" s="632"/>
      <c r="C58" s="632"/>
      <c r="D58" s="632"/>
      <c r="E58" s="632"/>
      <c r="F58" s="632"/>
      <c r="H58" s="640"/>
      <c r="I58" s="640"/>
      <c r="J58" s="640"/>
      <c r="K58" s="640"/>
      <c r="L58" s="640"/>
      <c r="M58" s="640"/>
      <c r="N58" s="646"/>
      <c r="O58" s="631"/>
      <c r="P58" s="4"/>
      <c r="Q58" s="857" t="s">
        <v>596</v>
      </c>
      <c r="R58" s="857"/>
      <c r="S58" s="857"/>
      <c r="T58" s="857"/>
      <c r="U58" s="857"/>
      <c r="V58" s="857"/>
      <c r="W58" s="857"/>
      <c r="X58" s="857"/>
      <c r="Y58" s="4"/>
      <c r="Z58" s="671"/>
      <c r="AA58" s="671"/>
      <c r="AB58" s="633"/>
    </row>
    <row r="59" spans="1:28" x14ac:dyDescent="0.2">
      <c r="A59" s="631"/>
      <c r="B59" s="632"/>
      <c r="C59" s="632"/>
      <c r="D59" s="632"/>
      <c r="E59" s="632"/>
      <c r="F59" s="632"/>
      <c r="G59" s="878" t="s">
        <v>329</v>
      </c>
      <c r="H59" s="878"/>
      <c r="I59" s="878"/>
      <c r="J59" s="878"/>
      <c r="K59" s="878"/>
      <c r="L59" s="878"/>
      <c r="M59" s="878"/>
      <c r="N59" s="646"/>
      <c r="O59" s="631"/>
      <c r="P59" s="4"/>
      <c r="Q59" s="857"/>
      <c r="R59" s="857"/>
      <c r="S59" s="857"/>
      <c r="T59" s="857"/>
      <c r="U59" s="857"/>
      <c r="V59" s="857"/>
      <c r="W59" s="857"/>
      <c r="X59" s="857"/>
      <c r="Y59" s="4"/>
      <c r="Z59" s="671"/>
      <c r="AA59" s="671"/>
      <c r="AB59" s="633"/>
    </row>
    <row r="60" spans="1:28" ht="12.75" customHeight="1" x14ac:dyDescent="0.2">
      <c r="A60" s="631"/>
      <c r="B60" s="632"/>
      <c r="C60" s="632"/>
      <c r="D60" s="632"/>
      <c r="E60" s="632"/>
      <c r="F60" s="632"/>
      <c r="G60" s="878"/>
      <c r="H60" s="878"/>
      <c r="I60" s="878"/>
      <c r="J60" s="878"/>
      <c r="K60" s="878"/>
      <c r="L60" s="878"/>
      <c r="M60" s="878"/>
      <c r="N60" s="646"/>
      <c r="O60" s="631"/>
      <c r="P60" s="4"/>
      <c r="Q60" s="857"/>
      <c r="R60" s="857"/>
      <c r="S60" s="857"/>
      <c r="T60" s="857"/>
      <c r="U60" s="857"/>
      <c r="V60" s="857"/>
      <c r="W60" s="857"/>
      <c r="X60" s="857"/>
      <c r="Y60" s="687"/>
      <c r="Z60" s="672"/>
      <c r="AA60" s="672"/>
      <c r="AB60" s="635"/>
    </row>
    <row r="61" spans="1:28" ht="12.75" customHeight="1" x14ac:dyDescent="0.2">
      <c r="A61" s="631"/>
      <c r="B61" s="632"/>
      <c r="C61" s="632"/>
      <c r="D61" s="632"/>
      <c r="E61" s="632"/>
      <c r="F61" s="632"/>
      <c r="G61" s="878"/>
      <c r="H61" s="878"/>
      <c r="I61" s="878"/>
      <c r="J61" s="878"/>
      <c r="K61" s="878"/>
      <c r="L61" s="878"/>
      <c r="M61" s="878"/>
      <c r="N61" s="649"/>
      <c r="O61" s="631"/>
      <c r="P61" s="4"/>
      <c r="Y61" s="4"/>
      <c r="Z61" s="671"/>
      <c r="AA61" s="671"/>
      <c r="AB61" s="633"/>
    </row>
    <row r="62" spans="1:28" ht="13.15" customHeight="1" x14ac:dyDescent="0.2">
      <c r="A62" s="631"/>
      <c r="B62" s="632"/>
      <c r="C62" s="632"/>
      <c r="D62" s="632"/>
      <c r="E62" s="632"/>
      <c r="F62" s="632"/>
      <c r="G62" s="878"/>
      <c r="H62" s="878"/>
      <c r="I62" s="878"/>
      <c r="J62" s="878"/>
      <c r="K62" s="878"/>
      <c r="L62" s="878"/>
      <c r="M62" s="878"/>
      <c r="N62" s="633"/>
      <c r="O62" s="631"/>
      <c r="P62" s="4"/>
      <c r="Q62" s="877" t="s">
        <v>439</v>
      </c>
      <c r="R62" s="877"/>
      <c r="S62" s="877"/>
      <c r="T62" s="877"/>
      <c r="U62" s="877"/>
      <c r="V62" s="877"/>
      <c r="W62" s="877"/>
      <c r="X62" s="877"/>
      <c r="Y62" s="4"/>
      <c r="Z62" s="671"/>
      <c r="AA62" s="671"/>
      <c r="AB62" s="633"/>
    </row>
    <row r="63" spans="1:28" ht="13.15" customHeight="1" x14ac:dyDescent="0.2">
      <c r="A63" s="631"/>
      <c r="B63" s="632"/>
      <c r="C63" s="632"/>
      <c r="D63" s="632"/>
      <c r="E63" s="632"/>
      <c r="F63" s="632"/>
      <c r="G63" s="639" t="s">
        <v>330</v>
      </c>
      <c r="H63" s="632"/>
      <c r="I63" s="632"/>
      <c r="J63" s="632"/>
      <c r="K63" s="632"/>
      <c r="L63" s="632"/>
      <c r="M63" s="632"/>
      <c r="N63" s="633"/>
      <c r="O63" s="631"/>
      <c r="P63" s="671"/>
      <c r="Q63" s="877"/>
      <c r="R63" s="877"/>
      <c r="S63" s="877"/>
      <c r="T63" s="877"/>
      <c r="U63" s="877"/>
      <c r="V63" s="877"/>
      <c r="W63" s="877"/>
      <c r="X63" s="877"/>
      <c r="Y63" s="671"/>
      <c r="Z63" s="671"/>
      <c r="AA63" s="671"/>
      <c r="AB63" s="633"/>
    </row>
    <row r="64" spans="1:28" ht="13.15" customHeight="1" x14ac:dyDescent="0.2">
      <c r="A64" s="631"/>
      <c r="B64" s="632"/>
      <c r="C64" s="632"/>
      <c r="D64" s="632"/>
      <c r="E64" s="632"/>
      <c r="F64" s="632"/>
      <c r="H64" s="632"/>
      <c r="I64" s="632"/>
      <c r="J64" s="632"/>
      <c r="K64" s="632"/>
      <c r="L64" s="632"/>
      <c r="M64" s="632"/>
      <c r="N64" s="633"/>
      <c r="O64" s="631"/>
      <c r="P64" s="671"/>
      <c r="Q64" s="834"/>
      <c r="R64" s="834"/>
      <c r="S64" s="834"/>
      <c r="T64" s="834"/>
      <c r="U64" s="834"/>
      <c r="V64" s="834"/>
      <c r="W64" s="834"/>
      <c r="X64" s="834"/>
      <c r="Y64" s="687"/>
      <c r="Z64" s="672"/>
      <c r="AA64" s="672"/>
      <c r="AB64" s="635"/>
    </row>
    <row r="65" spans="1:28" ht="13.15" customHeight="1" x14ac:dyDescent="0.2">
      <c r="A65" s="631"/>
      <c r="B65" s="632"/>
      <c r="C65" s="632"/>
      <c r="D65" s="632"/>
      <c r="E65" s="632"/>
      <c r="F65" s="632"/>
      <c r="H65" s="632"/>
      <c r="I65" s="632"/>
      <c r="J65" s="632"/>
      <c r="K65" s="632"/>
      <c r="L65" s="632"/>
      <c r="M65" s="632"/>
      <c r="N65" s="633"/>
      <c r="O65" s="667"/>
      <c r="P65" s="648"/>
      <c r="Q65" s="877" t="s">
        <v>595</v>
      </c>
      <c r="R65" s="877"/>
      <c r="S65" s="877"/>
      <c r="T65" s="877"/>
      <c r="U65" s="877"/>
      <c r="V65" s="877"/>
      <c r="W65" s="877"/>
      <c r="X65" s="877"/>
      <c r="Y65" s="671"/>
      <c r="Z65" s="671"/>
      <c r="AA65" s="671"/>
      <c r="AB65" s="633"/>
    </row>
    <row r="66" spans="1:28" ht="12.75" customHeight="1" x14ac:dyDescent="0.2">
      <c r="A66" s="631"/>
      <c r="B66" s="632"/>
      <c r="C66" s="632"/>
      <c r="D66" s="632"/>
      <c r="E66" s="641"/>
      <c r="F66" s="641"/>
      <c r="H66" s="641"/>
      <c r="I66" s="641"/>
      <c r="J66" s="641"/>
      <c r="K66" s="641"/>
      <c r="L66" s="641"/>
      <c r="M66" s="641"/>
      <c r="N66" s="633"/>
      <c r="O66" s="667"/>
      <c r="P66" s="648"/>
      <c r="Q66" s="877"/>
      <c r="R66" s="877"/>
      <c r="S66" s="877"/>
      <c r="T66" s="877"/>
      <c r="U66" s="877"/>
      <c r="V66" s="877"/>
      <c r="W66" s="877"/>
      <c r="X66" s="877"/>
      <c r="Y66" s="671"/>
      <c r="Z66" s="671"/>
      <c r="AA66" s="671"/>
      <c r="AB66" s="633"/>
    </row>
    <row r="67" spans="1:28" ht="12.75" customHeight="1" x14ac:dyDescent="0.2">
      <c r="A67" s="631"/>
      <c r="B67" s="632"/>
      <c r="C67" s="632"/>
      <c r="D67" s="641"/>
      <c r="E67" s="641"/>
      <c r="F67" s="641"/>
      <c r="G67" s="641"/>
      <c r="H67" s="641"/>
      <c r="I67" s="641"/>
      <c r="J67" s="641"/>
      <c r="K67" s="641"/>
      <c r="L67" s="641"/>
      <c r="M67" s="641"/>
      <c r="N67" s="633"/>
      <c r="O67" s="667"/>
      <c r="P67" s="648"/>
      <c r="Q67" s="877"/>
      <c r="R67" s="877"/>
      <c r="S67" s="877"/>
      <c r="T67" s="877"/>
      <c r="U67" s="877"/>
      <c r="V67" s="877"/>
      <c r="W67" s="877"/>
      <c r="X67" s="877"/>
      <c r="Y67" s="671"/>
      <c r="Z67" s="671"/>
      <c r="AA67" s="671"/>
      <c r="AB67" s="633"/>
    </row>
    <row r="68" spans="1:28" ht="12.75" customHeight="1" x14ac:dyDescent="0.2">
      <c r="A68" s="631"/>
      <c r="B68" s="632"/>
      <c r="C68" s="632"/>
      <c r="D68" s="641"/>
      <c r="E68" s="641"/>
      <c r="F68" s="641"/>
      <c r="G68" s="641"/>
      <c r="H68" s="641"/>
      <c r="I68" s="641"/>
      <c r="J68" s="641"/>
      <c r="K68" s="641"/>
      <c r="L68" s="641"/>
      <c r="M68" s="641"/>
      <c r="N68" s="633"/>
      <c r="O68" s="667"/>
      <c r="P68" s="648"/>
      <c r="Y68" s="671"/>
      <c r="Z68" s="671"/>
      <c r="AA68" s="671"/>
      <c r="AB68" s="633"/>
    </row>
    <row r="69" spans="1:28" x14ac:dyDescent="0.2">
      <c r="A69" s="631"/>
      <c r="B69" s="632"/>
      <c r="C69" s="632"/>
      <c r="D69" s="632"/>
      <c r="E69" s="641"/>
      <c r="F69" s="641"/>
      <c r="G69" s="641"/>
      <c r="H69" s="641"/>
      <c r="I69" s="641"/>
      <c r="J69" s="641"/>
      <c r="K69" s="641"/>
      <c r="L69" s="641"/>
      <c r="M69" s="641"/>
      <c r="N69" s="633"/>
      <c r="O69" s="668"/>
      <c r="P69" s="647"/>
      <c r="Y69" s="671"/>
      <c r="Z69" s="671"/>
      <c r="AA69" s="671"/>
      <c r="AB69" s="633"/>
    </row>
    <row r="70" spans="1:28" x14ac:dyDescent="0.2">
      <c r="A70" s="631"/>
      <c r="B70" s="632"/>
      <c r="C70" s="632"/>
      <c r="D70" s="632"/>
      <c r="E70" s="632"/>
      <c r="F70" s="632"/>
      <c r="G70" s="632"/>
      <c r="H70" s="632"/>
      <c r="I70" s="632"/>
      <c r="J70" s="632"/>
      <c r="K70" s="632"/>
      <c r="L70" s="632"/>
      <c r="M70" s="632"/>
      <c r="N70" s="633"/>
      <c r="O70" s="631"/>
      <c r="P70" s="671"/>
      <c r="Y70" s="671"/>
      <c r="Z70" s="671"/>
      <c r="AA70" s="671"/>
      <c r="AB70" s="633"/>
    </row>
    <row r="71" spans="1:28" ht="13.5" thickBot="1" x14ac:dyDescent="0.25">
      <c r="A71" s="650"/>
      <c r="B71" s="651"/>
      <c r="C71" s="651"/>
      <c r="D71" s="651"/>
      <c r="E71" s="651"/>
      <c r="F71" s="651"/>
      <c r="G71" s="651"/>
      <c r="H71" s="651"/>
      <c r="I71" s="651"/>
      <c r="J71" s="651"/>
      <c r="K71" s="651"/>
      <c r="L71" s="651"/>
      <c r="M71" s="651"/>
      <c r="N71" s="652"/>
      <c r="O71" s="650"/>
      <c r="P71" s="651"/>
      <c r="Q71" s="706"/>
      <c r="R71" s="706"/>
      <c r="S71" s="706"/>
      <c r="T71" s="706"/>
      <c r="U71" s="706"/>
      <c r="V71" s="706"/>
      <c r="W71" s="706"/>
      <c r="X71" s="706"/>
      <c r="Y71" s="651"/>
      <c r="Z71" s="651"/>
      <c r="AA71" s="651"/>
      <c r="AB71" s="652"/>
    </row>
    <row r="73" spans="1:28" x14ac:dyDescent="0.2">
      <c r="P73" s="617"/>
    </row>
    <row r="74" spans="1:28" ht="12.75" customHeight="1" x14ac:dyDescent="0.2">
      <c r="P74" s="617"/>
      <c r="Q74" s="617"/>
      <c r="R74" s="617"/>
      <c r="S74" s="617"/>
    </row>
    <row r="75" spans="1:28" ht="12.75" customHeight="1" x14ac:dyDescent="0.2">
      <c r="P75" s="617"/>
      <c r="Q75" s="617"/>
      <c r="R75" s="617"/>
      <c r="S75" s="617"/>
    </row>
    <row r="76" spans="1:28" ht="12.75" customHeight="1" x14ac:dyDescent="0.2">
      <c r="P76" s="617"/>
      <c r="Q76" s="383"/>
      <c r="R76" s="383"/>
      <c r="S76" s="617"/>
    </row>
    <row r="77" spans="1:28" ht="15" customHeight="1" x14ac:dyDescent="0.2">
      <c r="P77" s="617"/>
      <c r="Q77" s="383"/>
      <c r="R77" s="383"/>
      <c r="S77" s="617"/>
    </row>
    <row r="78" spans="1:28" ht="12.75" customHeight="1" x14ac:dyDescent="0.2">
      <c r="P78" s="617"/>
      <c r="Q78" s="383"/>
      <c r="R78" s="383"/>
      <c r="S78" s="617"/>
    </row>
    <row r="79" spans="1:28" x14ac:dyDescent="0.2">
      <c r="D79" s="619"/>
      <c r="E79" s="619"/>
      <c r="F79" s="619"/>
      <c r="G79" s="619"/>
      <c r="H79" s="619"/>
      <c r="I79" s="619"/>
      <c r="J79" s="619"/>
      <c r="K79" s="619"/>
      <c r="L79" s="619"/>
      <c r="M79" s="619"/>
      <c r="Q79" s="617"/>
      <c r="R79" s="617"/>
      <c r="S79" s="617"/>
    </row>
    <row r="80" spans="1:28" x14ac:dyDescent="0.2">
      <c r="D80" s="619"/>
      <c r="E80" s="619"/>
      <c r="F80" s="619"/>
      <c r="G80" s="619"/>
      <c r="H80" s="619"/>
      <c r="I80" s="619"/>
      <c r="J80" s="619"/>
      <c r="K80" s="619"/>
      <c r="L80" s="619"/>
      <c r="M80" s="619"/>
    </row>
    <row r="81" spans="4:13" x14ac:dyDescent="0.2">
      <c r="D81" s="619"/>
      <c r="E81" s="619"/>
      <c r="F81" s="619"/>
      <c r="G81" s="619"/>
      <c r="H81" s="619"/>
      <c r="I81" s="619"/>
      <c r="J81" s="619"/>
      <c r="K81" s="619"/>
      <c r="L81" s="619"/>
      <c r="M81" s="619"/>
    </row>
    <row r="82" spans="4:13" x14ac:dyDescent="0.2">
      <c r="D82" s="618"/>
      <c r="E82" s="615"/>
      <c r="F82" s="615"/>
      <c r="G82" s="615"/>
      <c r="H82" s="529"/>
      <c r="I82" s="615"/>
      <c r="J82" s="615"/>
      <c r="K82" s="615"/>
      <c r="L82" s="615"/>
      <c r="M82" s="615"/>
    </row>
    <row r="87" spans="4:13" ht="12.75" customHeight="1" x14ac:dyDescent="0.2"/>
    <row r="88" spans="4:13" ht="12.75" customHeight="1" x14ac:dyDescent="0.2"/>
    <row r="89" spans="4:13" ht="12.75" customHeight="1" x14ac:dyDescent="0.2"/>
  </sheetData>
  <sheetProtection algorithmName="SHA-512" hashValue="tI9YO3W8Uvtryqld9gzlB6ErQVI2J2QC7bPs52WKOjRehlKTyD6WaZrUOc97+as8G9NfkEvQh6yW6fa8wwFacA==" saltValue="jFZjTro/+1AX2G89J96G6w==" spinCount="100000" sheet="1" objects="1" scenarios="1"/>
  <sortState ref="Q7:R24">
    <sortCondition ref="Q7:Q24"/>
  </sortState>
  <customSheetViews>
    <customSheetView guid="{1D46CCF0-D0A9-4A4B-AB32-CC50C778381E}" showPageBreaks="1" printArea="1">
      <pageMargins left="0.7" right="0.7" top="0.75" bottom="0.75" header="0.3" footer="0.3"/>
      <pageSetup scale="72" orientation="portrait" r:id="rId1"/>
      <headerFooter>
        <oddFooter>Page &amp;P of &amp;N</oddFooter>
      </headerFooter>
    </customSheetView>
  </customSheetViews>
  <mergeCells count="21">
    <mergeCell ref="Q65:X67"/>
    <mergeCell ref="G59:M62"/>
    <mergeCell ref="Q42:X44"/>
    <mergeCell ref="D34:J36"/>
    <mergeCell ref="G40:M43"/>
    <mergeCell ref="D52:J55"/>
    <mergeCell ref="Q50:X52"/>
    <mergeCell ref="Q54:X56"/>
    <mergeCell ref="Q58:X60"/>
    <mergeCell ref="Q62:X63"/>
    <mergeCell ref="D2:K2"/>
    <mergeCell ref="D3:K3"/>
    <mergeCell ref="D4:K4"/>
    <mergeCell ref="D5:K5"/>
    <mergeCell ref="Q46:X48"/>
    <mergeCell ref="G23:M25"/>
    <mergeCell ref="D17:J19"/>
    <mergeCell ref="Q8:Y11"/>
    <mergeCell ref="B7:M8"/>
    <mergeCell ref="B9:M13"/>
    <mergeCell ref="B14:M15"/>
  </mergeCells>
  <hyperlinks>
    <hyperlink ref="G63" r:id="rId2"/>
    <hyperlink ref="D56" r:id="rId3"/>
    <hyperlink ref="D37" r:id="rId4"/>
    <hyperlink ref="G26" r:id="rId5"/>
    <hyperlink ref="G44" r:id="rId6"/>
    <hyperlink ref="D20" r:id="rId7"/>
  </hyperlinks>
  <pageMargins left="0.7" right="0.7" top="0.75" bottom="0.75" header="0.3" footer="0.3"/>
  <pageSetup scale="72" orientation="portrait" r:id="rId8"/>
  <headerFooter>
    <oddFooter>Page &amp;P of &amp;N</oddFooter>
  </headerFooter>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C59"/>
  <sheetViews>
    <sheetView zoomScaleNormal="100" zoomScaleSheetLayoutView="50" zoomScalePageLayoutView="50" workbookViewId="0"/>
  </sheetViews>
  <sheetFormatPr defaultRowHeight="12.75" x14ac:dyDescent="0.2"/>
  <cols>
    <col min="29" max="35" width="9.7109375" customWidth="1"/>
    <col min="38" max="38" width="12.42578125" customWidth="1"/>
  </cols>
  <sheetData>
    <row r="1" spans="1:55" x14ac:dyDescent="0.2">
      <c r="A1" s="1" t="s">
        <v>0</v>
      </c>
      <c r="C1" s="6">
        <f>+'Site Info'!E6</f>
        <v>0</v>
      </c>
      <c r="I1" s="613">
        <v>1</v>
      </c>
      <c r="J1" s="1" t="s">
        <v>0</v>
      </c>
      <c r="L1" s="6">
        <f>+C1</f>
        <v>0</v>
      </c>
      <c r="R1" s="613">
        <v>2</v>
      </c>
      <c r="S1" s="1" t="s">
        <v>0</v>
      </c>
      <c r="U1" s="8">
        <f>C1</f>
        <v>0</v>
      </c>
      <c r="AA1" s="613">
        <v>3</v>
      </c>
      <c r="AB1" s="1" t="s">
        <v>0</v>
      </c>
      <c r="AD1" s="6">
        <f>+C1</f>
        <v>0</v>
      </c>
      <c r="AF1" s="6"/>
      <c r="AI1" s="6"/>
      <c r="AJ1" s="613">
        <v>4</v>
      </c>
      <c r="AK1" s="1" t="s">
        <v>0</v>
      </c>
      <c r="AM1" s="8">
        <f>+C1</f>
        <v>0</v>
      </c>
      <c r="AR1" s="9"/>
      <c r="AS1" s="613">
        <v>5</v>
      </c>
      <c r="AT1" s="1" t="s">
        <v>0</v>
      </c>
      <c r="AV1" s="8">
        <f>+AD1</f>
        <v>0</v>
      </c>
      <c r="BA1" s="9"/>
      <c r="BC1" s="1">
        <v>6</v>
      </c>
    </row>
    <row r="2" spans="1:55" x14ac:dyDescent="0.2">
      <c r="A2" s="1" t="s">
        <v>1</v>
      </c>
      <c r="C2" s="6">
        <f>+'Site Info'!E7</f>
        <v>0</v>
      </c>
      <c r="J2" s="1" t="s">
        <v>1</v>
      </c>
      <c r="L2" s="6">
        <f>+C2</f>
        <v>0</v>
      </c>
      <c r="S2" s="1" t="s">
        <v>1</v>
      </c>
      <c r="U2" s="8">
        <f t="shared" ref="U2:U4" si="0">C2</f>
        <v>0</v>
      </c>
      <c r="AB2" s="1" t="s">
        <v>1</v>
      </c>
      <c r="AD2" s="6">
        <f>+C2</f>
        <v>0</v>
      </c>
      <c r="AK2" s="1" t="s">
        <v>1</v>
      </c>
      <c r="AM2" s="8">
        <f>+C2</f>
        <v>0</v>
      </c>
      <c r="AT2" s="1" t="s">
        <v>1</v>
      </c>
      <c r="AV2" s="8">
        <f>+AD2</f>
        <v>0</v>
      </c>
    </row>
    <row r="3" spans="1:55" x14ac:dyDescent="0.2">
      <c r="A3" s="1" t="s">
        <v>2</v>
      </c>
      <c r="C3" s="6">
        <f>+'Site Info'!I6</f>
        <v>0</v>
      </c>
      <c r="J3" s="1" t="s">
        <v>2</v>
      </c>
      <c r="L3" s="6">
        <f>+C3</f>
        <v>0</v>
      </c>
      <c r="S3" s="1" t="s">
        <v>2</v>
      </c>
      <c r="U3" s="8">
        <f t="shared" si="0"/>
        <v>0</v>
      </c>
      <c r="AB3" s="1" t="s">
        <v>2</v>
      </c>
      <c r="AD3" s="6">
        <f>+C3</f>
        <v>0</v>
      </c>
      <c r="AK3" s="1" t="s">
        <v>2</v>
      </c>
      <c r="AM3" s="8">
        <f>+C3</f>
        <v>0</v>
      </c>
      <c r="AT3" s="1" t="s">
        <v>2</v>
      </c>
      <c r="AV3" s="8">
        <f>+AD3</f>
        <v>0</v>
      </c>
    </row>
    <row r="4" spans="1:55" x14ac:dyDescent="0.2">
      <c r="A4" s="1" t="s">
        <v>3</v>
      </c>
      <c r="C4" s="6">
        <f>+'Site Info'!I7</f>
        <v>0</v>
      </c>
      <c r="J4" s="1" t="s">
        <v>3</v>
      </c>
      <c r="L4" s="6">
        <f>+C4</f>
        <v>0</v>
      </c>
      <c r="S4" s="1" t="s">
        <v>3</v>
      </c>
      <c r="U4" s="8">
        <f t="shared" si="0"/>
        <v>0</v>
      </c>
      <c r="AB4" s="1" t="s">
        <v>3</v>
      </c>
      <c r="AD4" s="6">
        <f>+C4</f>
        <v>0</v>
      </c>
      <c r="AK4" s="1" t="s">
        <v>3</v>
      </c>
      <c r="AM4" s="8">
        <f>+C4</f>
        <v>0</v>
      </c>
      <c r="AT4" s="1" t="s">
        <v>3</v>
      </c>
      <c r="AV4" s="8">
        <f>+AD4</f>
        <v>0</v>
      </c>
    </row>
    <row r="5" spans="1:55" x14ac:dyDescent="0.2">
      <c r="A5" s="1" t="s">
        <v>215</v>
      </c>
      <c r="C5" s="6">
        <f>'Site Info'!G9</f>
        <v>0</v>
      </c>
      <c r="J5" s="1" t="s">
        <v>215</v>
      </c>
      <c r="L5" s="6">
        <f>C5</f>
        <v>0</v>
      </c>
      <c r="S5" s="1" t="s">
        <v>215</v>
      </c>
      <c r="U5" s="6">
        <f>C5</f>
        <v>0</v>
      </c>
      <c r="AB5" s="1" t="s">
        <v>215</v>
      </c>
      <c r="AD5" s="6">
        <f>C5</f>
        <v>0</v>
      </c>
      <c r="AK5" s="1" t="s">
        <v>215</v>
      </c>
      <c r="AM5" s="6">
        <f>C5</f>
        <v>0</v>
      </c>
      <c r="AT5" s="1" t="s">
        <v>215</v>
      </c>
      <c r="AV5" s="6">
        <f>C5</f>
        <v>0</v>
      </c>
    </row>
    <row r="6" spans="1:55" s="414" customFormat="1" ht="30" customHeight="1" x14ac:dyDescent="0.2">
      <c r="B6" s="1068" t="s">
        <v>527</v>
      </c>
      <c r="C6" s="1068"/>
      <c r="D6" s="1068"/>
      <c r="E6" s="1068"/>
      <c r="F6" s="1068"/>
      <c r="G6" s="1068"/>
      <c r="H6" s="1068"/>
      <c r="K6" s="1068" t="s">
        <v>527</v>
      </c>
      <c r="L6" s="1068"/>
      <c r="M6" s="1068"/>
      <c r="N6" s="1068"/>
      <c r="O6" s="1068"/>
      <c r="P6" s="1068"/>
      <c r="Q6" s="1068"/>
      <c r="T6" s="1068" t="s">
        <v>528</v>
      </c>
      <c r="U6" s="1068"/>
      <c r="V6" s="1068"/>
      <c r="W6" s="1068"/>
      <c r="X6" s="1068"/>
      <c r="Y6" s="1068"/>
      <c r="Z6" s="1068"/>
      <c r="AC6" s="1068" t="s">
        <v>529</v>
      </c>
      <c r="AD6" s="1068"/>
      <c r="AE6" s="1068"/>
      <c r="AF6" s="1068"/>
      <c r="AG6" s="1068"/>
      <c r="AH6" s="1068"/>
      <c r="AI6" s="1068"/>
      <c r="AL6" s="1068" t="s">
        <v>530</v>
      </c>
      <c r="AM6" s="1068"/>
      <c r="AN6" s="1068"/>
      <c r="AO6" s="1068"/>
      <c r="AP6" s="1068"/>
      <c r="AQ6" s="1068"/>
      <c r="AR6" s="295"/>
      <c r="AX6" s="294" t="s">
        <v>122</v>
      </c>
    </row>
    <row r="7" spans="1:55" ht="13.15" customHeight="1" x14ac:dyDescent="0.2">
      <c r="AL7" s="295"/>
      <c r="AM7" s="295"/>
      <c r="AN7" s="295"/>
      <c r="AO7" s="295"/>
      <c r="AP7" s="295"/>
      <c r="AQ7" s="295"/>
      <c r="AR7" s="295"/>
    </row>
    <row r="9" spans="1:55" ht="13.15" customHeight="1" x14ac:dyDescent="0.2"/>
    <row r="13" spans="1:55" ht="18" customHeight="1" x14ac:dyDescent="0.2"/>
    <row r="14" spans="1:55" ht="18" customHeight="1" x14ac:dyDescent="0.2"/>
    <row r="15" spans="1:55" ht="18" customHeight="1" x14ac:dyDescent="0.2"/>
    <row r="17" spans="29:44" ht="18" customHeight="1" x14ac:dyDescent="0.2"/>
    <row r="18" spans="29:44" ht="18" customHeight="1" x14ac:dyDescent="0.2"/>
    <row r="19" spans="29:44" ht="18" customHeight="1" x14ac:dyDescent="0.2"/>
    <row r="21" spans="29:44" ht="13.15" customHeight="1" x14ac:dyDescent="0.2"/>
    <row r="25" spans="29:44" ht="13.15" customHeight="1" x14ac:dyDescent="0.2"/>
    <row r="28" spans="29:44" ht="15.6" customHeight="1" x14ac:dyDescent="0.2">
      <c r="AD28" s="295"/>
      <c r="AE28" s="295"/>
      <c r="AF28" s="295"/>
      <c r="AG28" s="295"/>
      <c r="AH28" s="295"/>
      <c r="AI28" s="295"/>
    </row>
    <row r="29" spans="29:44" ht="19.149999999999999" customHeight="1" x14ac:dyDescent="0.2">
      <c r="AC29" s="1069" t="s">
        <v>531</v>
      </c>
      <c r="AD29" s="1069"/>
      <c r="AE29" s="1069"/>
      <c r="AF29" s="1069"/>
      <c r="AG29" s="1069"/>
      <c r="AH29" s="1069"/>
      <c r="AI29" s="1069"/>
      <c r="AL29" s="1070" t="s">
        <v>532</v>
      </c>
      <c r="AM29" s="1070"/>
      <c r="AN29" s="1070"/>
      <c r="AO29" s="1070"/>
      <c r="AP29" s="1070"/>
      <c r="AQ29" s="1070"/>
      <c r="AR29" s="1070"/>
    </row>
    <row r="30" spans="29:44" ht="13.15" customHeight="1" x14ac:dyDescent="0.2">
      <c r="AC30" s="1069"/>
      <c r="AD30" s="1069"/>
      <c r="AE30" s="1069"/>
      <c r="AF30" s="1069"/>
      <c r="AG30" s="1069"/>
      <c r="AH30" s="1069"/>
      <c r="AI30" s="1069"/>
      <c r="AL30" s="1070"/>
      <c r="AM30" s="1070"/>
      <c r="AN30" s="1070"/>
      <c r="AO30" s="1070"/>
      <c r="AP30" s="1070"/>
      <c r="AQ30" s="1070"/>
      <c r="AR30" s="1070"/>
    </row>
    <row r="31" spans="29:44" ht="13.15" customHeight="1" x14ac:dyDescent="0.25">
      <c r="AL31" s="316"/>
      <c r="AM31" s="316"/>
      <c r="AN31" s="316"/>
      <c r="AO31" s="316"/>
      <c r="AP31" s="316"/>
      <c r="AQ31" s="316"/>
      <c r="AR31" s="316"/>
    </row>
    <row r="32" spans="29:44" ht="13.15" customHeight="1" x14ac:dyDescent="0.2"/>
    <row r="57" spans="38:40" x14ac:dyDescent="0.2">
      <c r="AL57" s="383"/>
      <c r="AM57" s="383"/>
      <c r="AN57" s="383"/>
    </row>
    <row r="58" spans="38:40" x14ac:dyDescent="0.2">
      <c r="AL58" s="383"/>
      <c r="AM58" s="383"/>
      <c r="AN58" s="383"/>
    </row>
    <row r="59" spans="38:40" x14ac:dyDescent="0.2">
      <c r="AL59" s="383"/>
      <c r="AM59" s="383"/>
      <c r="AN59" s="383"/>
    </row>
  </sheetData>
  <sheetProtection algorithmName="SHA-512" hashValue="72gAkCtN5+H1I2DHRccZJlmS293OscBndo0beYhfYCbRFeXmQuwRivAOj9un4tSXcGXFjQEYkocXEqJdF0yd7A==" saltValue="REFv5fu0jfKuYik29M+r2w==" spinCount="100000" sheet="1" objects="1" scenarios="1"/>
  <customSheetViews>
    <customSheetView guid="{1D46CCF0-D0A9-4A4B-AB32-CC50C778381E}" showPageBreaks="1">
      <colBreaks count="5" manualBreakCount="5">
        <brk id="9" max="1048575" man="1"/>
        <brk id="18" max="1048575" man="1"/>
        <brk id="27" max="1048575" man="1"/>
        <brk id="36" max="1048575" man="1"/>
        <brk id="45" max="1048575" man="1"/>
      </colBreaks>
      <pageMargins left="0.75" right="0.67" top="0.5" bottom="0.5" header="0" footer="0.5"/>
      <pageSetup scale="95" fitToWidth="7" orientation="portrait" r:id="rId1"/>
      <headerFooter scaleWithDoc="0" alignWithMargins="0">
        <oddHeader>&amp;C&amp;8 Bridge-Scour Envelope Curve Template</oddHeader>
        <oddFooter>&amp;C&amp;A&amp;RPage  &amp;P  of  &amp;N</oddFooter>
      </headerFooter>
    </customSheetView>
  </customSheetViews>
  <mergeCells count="7">
    <mergeCell ref="AL6:AQ6"/>
    <mergeCell ref="AC29:AI30"/>
    <mergeCell ref="AL29:AR30"/>
    <mergeCell ref="B6:H6"/>
    <mergeCell ref="K6:Q6"/>
    <mergeCell ref="T6:Z6"/>
    <mergeCell ref="AC6:AI6"/>
  </mergeCells>
  <phoneticPr fontId="0" type="noConversion"/>
  <pageMargins left="0.75" right="0.67" top="0.5" bottom="0.5" header="0" footer="0.5"/>
  <pageSetup scale="95" fitToWidth="7" orientation="portrait" r:id="rId2"/>
  <headerFooter scaleWithDoc="0" alignWithMargins="0">
    <oddHeader>&amp;C&amp;8 Bridge-Scour Envelope Curve Template</oddHeader>
    <oddFooter>&amp;C&amp;A&amp;RPage  &amp;P  of  &amp;N</oddFooter>
  </headerFooter>
  <colBreaks count="5" manualBreakCount="5">
    <brk id="9" max="1048575" man="1"/>
    <brk id="18" max="1048575" man="1"/>
    <brk id="27" max="1048575" man="1"/>
    <brk id="36" max="1048575" man="1"/>
    <brk id="45"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C204"/>
  <sheetViews>
    <sheetView zoomScaleNormal="100" zoomScalePageLayoutView="80" workbookViewId="0"/>
  </sheetViews>
  <sheetFormatPr defaultColWidth="9.140625" defaultRowHeight="12.75" x14ac:dyDescent="0.2"/>
  <cols>
    <col min="1" max="4" width="9.140625" style="51"/>
    <col min="5" max="5" width="11.140625" style="51" customWidth="1"/>
    <col min="6" max="6" width="12" style="51" customWidth="1"/>
    <col min="7" max="9" width="9.140625" style="51"/>
    <col min="10" max="10" width="12.140625" style="51" customWidth="1"/>
    <col min="11" max="12" width="9.140625" style="51"/>
    <col min="13" max="13" width="11.7109375" style="51" customWidth="1"/>
    <col min="14" max="15" width="9.140625" style="51"/>
    <col min="16" max="16" width="14.5703125" style="51" customWidth="1"/>
    <col min="17" max="17" width="12.28515625" style="51" customWidth="1"/>
    <col min="18" max="21" width="10.7109375" style="69" customWidth="1"/>
    <col min="22" max="22" width="10.85546875" style="51" bestFit="1" customWidth="1"/>
    <col min="23" max="16384" width="9.140625" style="51"/>
  </cols>
  <sheetData>
    <row r="1" spans="1:21" ht="20.25" x14ac:dyDescent="0.3">
      <c r="D1" s="71" t="s">
        <v>15</v>
      </c>
    </row>
    <row r="2" spans="1:21" ht="20.25" x14ac:dyDescent="0.3">
      <c r="D2" s="71"/>
    </row>
    <row r="3" spans="1:21" s="586" customFormat="1" ht="15.75" x14ac:dyDescent="0.25">
      <c r="A3" s="680" t="s">
        <v>533</v>
      </c>
      <c r="D3" s="680"/>
      <c r="R3" s="681"/>
      <c r="S3" s="681"/>
      <c r="T3" s="681"/>
      <c r="U3" s="681"/>
    </row>
    <row r="4" spans="1:21" ht="20.25" x14ac:dyDescent="0.3">
      <c r="D4" s="71"/>
    </row>
    <row r="5" spans="1:21" ht="20.25" x14ac:dyDescent="0.3">
      <c r="A5" s="52" t="s">
        <v>22</v>
      </c>
      <c r="D5" s="71"/>
      <c r="F5" s="72">
        <f>'CW Abutment Scour'!F10</f>
        <v>0</v>
      </c>
      <c r="J5" s="72">
        <f>'CW Abutment Scour'!F10</f>
        <v>0</v>
      </c>
    </row>
    <row r="6" spans="1:21" ht="20.25" x14ac:dyDescent="0.3">
      <c r="D6" s="71"/>
    </row>
    <row r="7" spans="1:21" x14ac:dyDescent="0.2">
      <c r="F7" s="51" t="s">
        <v>4</v>
      </c>
      <c r="J7" s="51" t="s">
        <v>5</v>
      </c>
      <c r="M7" s="63" t="s">
        <v>107</v>
      </c>
    </row>
    <row r="8" spans="1:21" ht="13.5" thickBot="1" x14ac:dyDescent="0.25"/>
    <row r="9" spans="1:21" x14ac:dyDescent="0.2">
      <c r="F9" s="73" t="s">
        <v>323</v>
      </c>
      <c r="G9" s="536" t="s">
        <v>16</v>
      </c>
      <c r="J9" s="94" t="s">
        <v>323</v>
      </c>
      <c r="K9" s="536" t="s">
        <v>16</v>
      </c>
      <c r="M9" s="73" t="s">
        <v>323</v>
      </c>
      <c r="N9" s="536" t="s">
        <v>16</v>
      </c>
    </row>
    <row r="10" spans="1:21" x14ac:dyDescent="0.2">
      <c r="F10" s="74" t="s">
        <v>13</v>
      </c>
      <c r="G10" s="538" t="s">
        <v>17</v>
      </c>
      <c r="J10" s="96" t="s">
        <v>13</v>
      </c>
      <c r="K10" s="538" t="s">
        <v>17</v>
      </c>
      <c r="M10" s="74" t="s">
        <v>13</v>
      </c>
      <c r="N10" s="538" t="s">
        <v>17</v>
      </c>
    </row>
    <row r="11" spans="1:21" ht="13.5" thickBot="1" x14ac:dyDescent="0.25">
      <c r="F11" s="75" t="s">
        <v>12</v>
      </c>
      <c r="G11" s="534" t="s">
        <v>12</v>
      </c>
      <c r="J11" s="93" t="s">
        <v>12</v>
      </c>
      <c r="K11" s="534" t="s">
        <v>12</v>
      </c>
      <c r="M11" s="75" t="s">
        <v>12</v>
      </c>
      <c r="N11" s="534" t="s">
        <v>12</v>
      </c>
    </row>
    <row r="12" spans="1:21" ht="15.75" x14ac:dyDescent="0.25">
      <c r="A12" s="52" t="s">
        <v>322</v>
      </c>
      <c r="F12" s="74">
        <v>0</v>
      </c>
      <c r="G12" s="539" t="str">
        <f>'CW Abutment Scour'!J86</f>
        <v>N/A</v>
      </c>
      <c r="J12" s="74">
        <v>0</v>
      </c>
      <c r="K12" s="539" t="str">
        <f>'CW Abutment Scour'!M86</f>
        <v>N/A</v>
      </c>
      <c r="M12" s="73">
        <v>0</v>
      </c>
      <c r="N12" s="536">
        <v>5</v>
      </c>
    </row>
    <row r="13" spans="1:21" ht="13.5" thickBot="1" x14ac:dyDescent="0.25">
      <c r="F13" s="76" t="str">
        <f>'CW Abutment Scour'!K54</f>
        <v>No Data</v>
      </c>
      <c r="G13" s="539" t="str">
        <f>'CW Abutment Scour'!J86</f>
        <v>N/A</v>
      </c>
      <c r="J13" s="76" t="str">
        <f>'CW Abutment Scour'!N54</f>
        <v>No Data</v>
      </c>
      <c r="K13" s="539" t="str">
        <f>'CW Abutment Scour'!M86</f>
        <v>N/A</v>
      </c>
      <c r="M13" s="75">
        <v>194</v>
      </c>
      <c r="N13" s="534">
        <v>5</v>
      </c>
    </row>
    <row r="14" spans="1:21" ht="13.5" thickBot="1" x14ac:dyDescent="0.25">
      <c r="F14" s="77" t="str">
        <f>'CW Abutment Scour'!K54</f>
        <v>No Data</v>
      </c>
      <c r="G14" s="534">
        <v>0</v>
      </c>
      <c r="J14" s="77" t="str">
        <f>'CW Abutment Scour'!N54</f>
        <v>No Data</v>
      </c>
      <c r="K14" s="534">
        <v>0</v>
      </c>
    </row>
    <row r="15" spans="1:21" x14ac:dyDescent="0.2">
      <c r="F15" s="69"/>
      <c r="G15" s="69"/>
    </row>
    <row r="16" spans="1:21" x14ac:dyDescent="0.2">
      <c r="F16" s="51" t="s">
        <v>4</v>
      </c>
      <c r="J16" s="51" t="s">
        <v>5</v>
      </c>
      <c r="M16" s="63" t="s">
        <v>107</v>
      </c>
    </row>
    <row r="17" spans="1:21" ht="13.5" thickBot="1" x14ac:dyDescent="0.25"/>
    <row r="18" spans="1:21" x14ac:dyDescent="0.2">
      <c r="F18" s="73" t="s">
        <v>603</v>
      </c>
      <c r="G18" s="536" t="s">
        <v>16</v>
      </c>
      <c r="J18" s="73" t="s">
        <v>603</v>
      </c>
      <c r="K18" s="536" t="s">
        <v>16</v>
      </c>
      <c r="M18" s="73" t="s">
        <v>603</v>
      </c>
      <c r="N18" s="536" t="s">
        <v>16</v>
      </c>
    </row>
    <row r="19" spans="1:21" x14ac:dyDescent="0.2">
      <c r="F19" s="74"/>
      <c r="G19" s="538" t="s">
        <v>17</v>
      </c>
      <c r="J19" s="74"/>
      <c r="K19" s="538" t="s">
        <v>17</v>
      </c>
      <c r="M19" s="74"/>
      <c r="N19" s="538" t="s">
        <v>17</v>
      </c>
    </row>
    <row r="20" spans="1:21" ht="13.5" thickBot="1" x14ac:dyDescent="0.25">
      <c r="F20" s="75"/>
      <c r="G20" s="534" t="s">
        <v>12</v>
      </c>
      <c r="J20" s="75"/>
      <c r="K20" s="534" t="s">
        <v>12</v>
      </c>
      <c r="M20" s="75"/>
      <c r="N20" s="534" t="s">
        <v>12</v>
      </c>
    </row>
    <row r="21" spans="1:21" ht="15.75" x14ac:dyDescent="0.25">
      <c r="A21" s="52" t="s">
        <v>656</v>
      </c>
      <c r="F21" s="74">
        <v>0</v>
      </c>
      <c r="G21" s="539" t="str">
        <f>'CW Abutment Scour'!J87</f>
        <v>N/A</v>
      </c>
      <c r="J21" s="74">
        <v>0</v>
      </c>
      <c r="K21" s="539" t="str">
        <f>'CW Abutment Scour'!J87</f>
        <v>N/A</v>
      </c>
      <c r="M21" s="73">
        <v>0</v>
      </c>
      <c r="N21" s="536">
        <v>5</v>
      </c>
    </row>
    <row r="22" spans="1:21" ht="13.5" thickBot="1" x14ac:dyDescent="0.25">
      <c r="F22" s="78" t="str">
        <f>'CW Abutment Scour'!J25</f>
        <v>No Data</v>
      </c>
      <c r="G22" s="539" t="str">
        <f>'CW Abutment Scour'!J87</f>
        <v>N/A</v>
      </c>
      <c r="J22" s="78" t="str">
        <f>'CW Abutment Scour'!J25</f>
        <v>No Data</v>
      </c>
      <c r="K22" s="539" t="str">
        <f>'CW Abutment Scour'!J87</f>
        <v>N/A</v>
      </c>
      <c r="M22" s="75">
        <v>0.37</v>
      </c>
      <c r="N22" s="534">
        <v>5</v>
      </c>
    </row>
    <row r="23" spans="1:21" ht="13.5" thickBot="1" x14ac:dyDescent="0.25">
      <c r="F23" s="79" t="str">
        <f>'CW Abutment Scour'!J25</f>
        <v>No Data</v>
      </c>
      <c r="G23" s="534">
        <v>0</v>
      </c>
      <c r="J23" s="79" t="str">
        <f>'CW Abutment Scour'!J25</f>
        <v>No Data</v>
      </c>
      <c r="K23" s="534">
        <v>0</v>
      </c>
    </row>
    <row r="25" spans="1:21" s="80" customFormat="1" x14ac:dyDescent="0.2">
      <c r="R25" s="81"/>
      <c r="S25" s="81"/>
      <c r="T25" s="81"/>
      <c r="U25" s="81"/>
    </row>
    <row r="27" spans="1:21" s="586" customFormat="1" ht="15.75" x14ac:dyDescent="0.25">
      <c r="A27" s="680" t="s">
        <v>534</v>
      </c>
      <c r="R27" s="681"/>
      <c r="S27" s="681"/>
      <c r="T27" s="681"/>
      <c r="U27" s="681"/>
    </row>
    <row r="28" spans="1:21" x14ac:dyDescent="0.2">
      <c r="O28" s="69"/>
      <c r="P28" s="69"/>
      <c r="Q28" s="69"/>
      <c r="S28" s="51"/>
      <c r="T28" s="51"/>
      <c r="U28" s="51"/>
    </row>
    <row r="29" spans="1:21" ht="15.75" x14ac:dyDescent="0.25">
      <c r="A29" s="52"/>
      <c r="C29" s="72"/>
      <c r="E29" s="56" t="s">
        <v>26</v>
      </c>
      <c r="G29" s="72"/>
      <c r="K29" s="72"/>
      <c r="L29" s="222" t="s">
        <v>21</v>
      </c>
      <c r="O29" s="72"/>
      <c r="Q29" s="69"/>
    </row>
    <row r="30" spans="1:21" ht="15.75" x14ac:dyDescent="0.25">
      <c r="A30" s="52"/>
      <c r="B30" s="305"/>
      <c r="C30" s="313"/>
      <c r="D30" s="406"/>
      <c r="E30" s="398"/>
      <c r="F30" s="406"/>
      <c r="G30" s="313"/>
      <c r="H30" s="404"/>
      <c r="I30" s="305"/>
      <c r="J30" s="406"/>
      <c r="K30" s="313"/>
      <c r="L30" s="398"/>
      <c r="M30" s="406"/>
      <c r="N30" s="406"/>
      <c r="O30" s="314"/>
      <c r="Q30" s="69"/>
    </row>
    <row r="31" spans="1:21" x14ac:dyDescent="0.2">
      <c r="B31" s="138"/>
      <c r="C31" s="54"/>
      <c r="D31" s="54"/>
      <c r="E31" s="388" t="s">
        <v>213</v>
      </c>
      <c r="F31" s="380"/>
      <c r="G31" s="380"/>
      <c r="H31" s="289"/>
      <c r="I31" s="138"/>
      <c r="J31" s="54"/>
      <c r="K31" s="54"/>
      <c r="L31" s="388" t="s">
        <v>213</v>
      </c>
      <c r="M31" s="380"/>
      <c r="N31" s="380"/>
      <c r="O31" s="310"/>
      <c r="P31" s="69"/>
      <c r="Q31" s="69"/>
      <c r="T31" s="51"/>
      <c r="U31" s="51"/>
    </row>
    <row r="32" spans="1:21" x14ac:dyDescent="0.2">
      <c r="B32" s="138"/>
      <c r="C32" s="380" t="s">
        <v>4</v>
      </c>
      <c r="D32" s="380"/>
      <c r="E32" s="380"/>
      <c r="F32" s="380" t="s">
        <v>5</v>
      </c>
      <c r="G32" s="380"/>
      <c r="H32" s="289"/>
      <c r="I32" s="309"/>
      <c r="J32" s="380" t="s">
        <v>4</v>
      </c>
      <c r="K32" s="380"/>
      <c r="L32" s="380"/>
      <c r="M32" s="380" t="s">
        <v>5</v>
      </c>
      <c r="N32" s="380"/>
      <c r="O32" s="310"/>
      <c r="P32" s="69"/>
      <c r="Q32" s="69"/>
      <c r="T32" s="51"/>
      <c r="U32" s="51"/>
    </row>
    <row r="33" spans="1:21" ht="13.5" thickBot="1" x14ac:dyDescent="0.25">
      <c r="B33" s="138"/>
      <c r="C33" s="380"/>
      <c r="D33" s="380"/>
      <c r="E33" s="380"/>
      <c r="F33" s="380"/>
      <c r="G33" s="380"/>
      <c r="H33" s="289"/>
      <c r="I33" s="138"/>
      <c r="J33" s="380"/>
      <c r="K33" s="380"/>
      <c r="L33" s="380"/>
      <c r="M33" s="380"/>
      <c r="N33" s="380"/>
      <c r="O33" s="310"/>
      <c r="P33" s="69"/>
      <c r="Q33" s="69"/>
      <c r="T33" s="51"/>
      <c r="U33" s="51"/>
    </row>
    <row r="34" spans="1:21" x14ac:dyDescent="0.2">
      <c r="B34" s="138"/>
      <c r="C34" s="73" t="s">
        <v>603</v>
      </c>
      <c r="D34" s="536" t="s">
        <v>16</v>
      </c>
      <c r="E34" s="380"/>
      <c r="F34" s="73" t="s">
        <v>603</v>
      </c>
      <c r="G34" s="536" t="s">
        <v>16</v>
      </c>
      <c r="H34" s="289"/>
      <c r="I34" s="311"/>
      <c r="J34" s="73" t="s">
        <v>603</v>
      </c>
      <c r="K34" s="536" t="s">
        <v>16</v>
      </c>
      <c r="L34" s="380"/>
      <c r="M34" s="73" t="s">
        <v>603</v>
      </c>
      <c r="N34" s="536" t="s">
        <v>16</v>
      </c>
      <c r="O34" s="310"/>
      <c r="P34" s="69"/>
      <c r="Q34" s="69"/>
      <c r="T34" s="51"/>
      <c r="U34" s="51"/>
    </row>
    <row r="35" spans="1:21" x14ac:dyDescent="0.2">
      <c r="B35" s="138"/>
      <c r="C35" s="74"/>
      <c r="D35" s="538" t="s">
        <v>17</v>
      </c>
      <c r="E35" s="380"/>
      <c r="F35" s="74"/>
      <c r="G35" s="538" t="s">
        <v>17</v>
      </c>
      <c r="H35" s="289"/>
      <c r="I35" s="311"/>
      <c r="J35" s="74"/>
      <c r="K35" s="538" t="s">
        <v>17</v>
      </c>
      <c r="L35" s="380"/>
      <c r="M35" s="74"/>
      <c r="N35" s="538" t="s">
        <v>17</v>
      </c>
      <c r="O35" s="310"/>
      <c r="P35" s="69"/>
      <c r="Q35" s="69"/>
      <c r="T35" s="51"/>
      <c r="U35" s="51"/>
    </row>
    <row r="36" spans="1:21" ht="13.5" thickBot="1" x14ac:dyDescent="0.25">
      <c r="B36" s="138"/>
      <c r="C36" s="75"/>
      <c r="D36" s="534" t="s">
        <v>12</v>
      </c>
      <c r="E36" s="380"/>
      <c r="F36" s="75"/>
      <c r="G36" s="534" t="s">
        <v>12</v>
      </c>
      <c r="H36" s="289"/>
      <c r="I36" s="311"/>
      <c r="J36" s="75"/>
      <c r="K36" s="534" t="s">
        <v>12</v>
      </c>
      <c r="L36" s="380"/>
      <c r="M36" s="75"/>
      <c r="N36" s="534" t="s">
        <v>12</v>
      </c>
      <c r="O36" s="310"/>
      <c r="P36" s="69"/>
      <c r="Q36" s="69"/>
      <c r="T36" s="51"/>
      <c r="U36" s="51"/>
    </row>
    <row r="37" spans="1:21" ht="15.75" x14ac:dyDescent="0.25">
      <c r="A37" s="52"/>
      <c r="B37" s="138"/>
      <c r="C37" s="74">
        <v>0</v>
      </c>
      <c r="D37" s="539">
        <f>IF('CW Abutment Scour'!F10="Piedmont",'CW Abutment Scour'!J92,0)</f>
        <v>0</v>
      </c>
      <c r="E37" s="380"/>
      <c r="F37" s="74">
        <v>0</v>
      </c>
      <c r="G37" s="539">
        <f>IF('CW Abutment Scour'!F10="Piedmont",'CW Abutment Scour'!M92,0)</f>
        <v>0</v>
      </c>
      <c r="H37" s="289"/>
      <c r="I37" s="311"/>
      <c r="J37" s="74">
        <v>0</v>
      </c>
      <c r="K37" s="539">
        <f>IF('CW Abutment Scour'!F10="Coastal Plain",'CW Abutment Scour'!J92,0)</f>
        <v>0</v>
      </c>
      <c r="L37" s="380"/>
      <c r="M37" s="74">
        <v>0</v>
      </c>
      <c r="N37" s="539">
        <f>IF('CW Abutment Scour'!F10="Coastal Plain",'CW Abutment Scour'!M92,0)</f>
        <v>0</v>
      </c>
      <c r="O37" s="310"/>
      <c r="P37" s="69"/>
      <c r="Q37" s="69"/>
      <c r="T37" s="51"/>
      <c r="U37" s="51"/>
    </row>
    <row r="38" spans="1:21" x14ac:dyDescent="0.2">
      <c r="B38" s="138"/>
      <c r="C38" s="78">
        <f>IF('CW Abutment Scour'!F10="Piedmont",'CW Abutment Scour'!J25,0)</f>
        <v>0</v>
      </c>
      <c r="D38" s="539">
        <f>IF('CW Abutment Scour'!F10="Piedmont",'CW Abutment Scour'!J92,0)</f>
        <v>0</v>
      </c>
      <c r="E38" s="380"/>
      <c r="F38" s="78">
        <f>IF('CW Abutment Scour'!F10="Piedmont",'CW Abutment Scour'!J25,0)</f>
        <v>0</v>
      </c>
      <c r="G38" s="539">
        <f>IF('CW Abutment Scour'!F10="Piedmont",'CW Abutment Scour'!M92,0)</f>
        <v>0</v>
      </c>
      <c r="H38" s="289"/>
      <c r="I38" s="311"/>
      <c r="J38" s="78">
        <f>IF('CW Abutment Scour'!F10="Coastal Plain",'CW Abutment Scour'!J25,0)</f>
        <v>0</v>
      </c>
      <c r="K38" s="539">
        <f>IF('CW Abutment Scour'!F10="Coastal Plain",'CW Abutment Scour'!J92,0)</f>
        <v>0</v>
      </c>
      <c r="L38" s="380"/>
      <c r="M38" s="78">
        <f>IF('CW Abutment Scour'!F10="Coastal Plain",'CW Abutment Scour'!J25,0)</f>
        <v>0</v>
      </c>
      <c r="N38" s="539">
        <f>IF('CW Abutment Scour'!F10="Coastal Plain",'CW Abutment Scour'!M92,0)</f>
        <v>0</v>
      </c>
      <c r="O38" s="310"/>
      <c r="P38" s="69"/>
      <c r="Q38" s="69"/>
      <c r="T38" s="51"/>
      <c r="U38" s="51"/>
    </row>
    <row r="39" spans="1:21" ht="13.5" thickBot="1" x14ac:dyDescent="0.25">
      <c r="B39" s="138"/>
      <c r="C39" s="79">
        <f>IF('CW Abutment Scour'!F10="Piedmont",'CW Abutment Scour'!J25,0)</f>
        <v>0</v>
      </c>
      <c r="D39" s="534">
        <v>0</v>
      </c>
      <c r="E39" s="380"/>
      <c r="F39" s="79">
        <f>IF('CW Abutment Scour'!F10="Piedmont",'CW Abutment Scour'!J25,0)</f>
        <v>0</v>
      </c>
      <c r="G39" s="534">
        <v>0</v>
      </c>
      <c r="H39" s="289"/>
      <c r="I39" s="138"/>
      <c r="J39" s="79">
        <f>IF('CW Abutment Scour'!F10="Coastal Plain",'CW Abutment Scour'!J25,0)</f>
        <v>0</v>
      </c>
      <c r="K39" s="534">
        <v>0</v>
      </c>
      <c r="L39" s="380"/>
      <c r="M39" s="79">
        <f>IF('CW Abutment Scour'!F10="Coastal Plain",'CW Abutment Scour'!J25,0)</f>
        <v>0</v>
      </c>
      <c r="N39" s="534">
        <v>0</v>
      </c>
      <c r="O39" s="310"/>
      <c r="P39" s="69"/>
      <c r="Q39" s="69"/>
      <c r="T39" s="51"/>
      <c r="U39" s="51"/>
    </row>
    <row r="40" spans="1:21" ht="15" x14ac:dyDescent="0.25">
      <c r="A40" s="286"/>
      <c r="B40" s="306"/>
      <c r="C40" s="307"/>
      <c r="D40" s="307"/>
      <c r="E40" s="308"/>
      <c r="F40" s="407"/>
      <c r="G40" s="407"/>
      <c r="H40" s="405"/>
      <c r="I40" s="312"/>
      <c r="J40" s="407"/>
      <c r="K40" s="407"/>
      <c r="L40" s="407"/>
      <c r="M40" s="407"/>
      <c r="N40" s="407"/>
      <c r="O40" s="405"/>
      <c r="P40" s="69"/>
      <c r="Q40" s="69"/>
      <c r="S40" s="51"/>
      <c r="T40" s="51"/>
      <c r="U40" s="51"/>
    </row>
    <row r="41" spans="1:21" ht="15" x14ac:dyDescent="0.25">
      <c r="A41" s="286"/>
      <c r="B41" s="315"/>
      <c r="C41" s="292"/>
      <c r="D41" s="292"/>
      <c r="E41" s="291"/>
      <c r="F41" s="380"/>
      <c r="G41" s="380"/>
      <c r="H41" s="289"/>
      <c r="I41" s="138"/>
      <c r="J41" s="380"/>
      <c r="K41" s="380"/>
      <c r="L41" s="380"/>
      <c r="M41" s="380"/>
      <c r="N41" s="380"/>
      <c r="O41" s="289"/>
      <c r="P41" s="69"/>
      <c r="Q41" s="69"/>
      <c r="S41" s="51"/>
      <c r="T41" s="51"/>
      <c r="U41" s="51"/>
    </row>
    <row r="42" spans="1:21" x14ac:dyDescent="0.2">
      <c r="B42" s="138"/>
      <c r="C42" s="380"/>
      <c r="D42" s="380"/>
      <c r="E42" s="388" t="s">
        <v>235</v>
      </c>
      <c r="F42" s="380"/>
      <c r="G42" s="380"/>
      <c r="H42" s="289"/>
      <c r="I42" s="138"/>
      <c r="J42" s="380"/>
      <c r="K42" s="380"/>
      <c r="L42" s="388" t="s">
        <v>235</v>
      </c>
      <c r="M42" s="380"/>
      <c r="N42" s="380"/>
      <c r="O42" s="310"/>
      <c r="P42" s="69"/>
      <c r="Q42" s="69"/>
      <c r="T42" s="51"/>
      <c r="U42" s="51"/>
    </row>
    <row r="43" spans="1:21" ht="13.5" thickBot="1" x14ac:dyDescent="0.25">
      <c r="B43" s="138"/>
      <c r="C43" s="380"/>
      <c r="D43" s="380"/>
      <c r="E43" s="384"/>
      <c r="F43" s="380"/>
      <c r="G43" s="380"/>
      <c r="H43" s="289"/>
      <c r="I43" s="138"/>
      <c r="J43" s="380"/>
      <c r="K43" s="380"/>
      <c r="L43" s="380"/>
      <c r="M43" s="380"/>
      <c r="N43" s="380"/>
      <c r="O43" s="310"/>
      <c r="P43" s="69"/>
      <c r="Q43" s="69"/>
      <c r="T43" s="51"/>
      <c r="U43" s="51"/>
    </row>
    <row r="44" spans="1:21" x14ac:dyDescent="0.2">
      <c r="B44" s="138"/>
      <c r="C44" s="73" t="s">
        <v>603</v>
      </c>
      <c r="D44" s="536" t="s">
        <v>16</v>
      </c>
      <c r="E44" s="380"/>
      <c r="F44" s="73" t="s">
        <v>603</v>
      </c>
      <c r="G44" s="536" t="s">
        <v>16</v>
      </c>
      <c r="H44" s="289"/>
      <c r="I44" s="311"/>
      <c r="J44" s="73" t="s">
        <v>603</v>
      </c>
      <c r="K44" s="536" t="s">
        <v>16</v>
      </c>
      <c r="L44" s="380"/>
      <c r="M44" s="73" t="s">
        <v>603</v>
      </c>
      <c r="N44" s="536" t="s">
        <v>16</v>
      </c>
      <c r="O44" s="310"/>
      <c r="P44" s="69"/>
      <c r="Q44" s="69"/>
      <c r="T44" s="51"/>
      <c r="U44" s="51"/>
    </row>
    <row r="45" spans="1:21" x14ac:dyDescent="0.2">
      <c r="B45" s="138"/>
      <c r="C45" s="74"/>
      <c r="D45" s="538" t="s">
        <v>17</v>
      </c>
      <c r="E45" s="380"/>
      <c r="F45" s="74"/>
      <c r="G45" s="538" t="s">
        <v>17</v>
      </c>
      <c r="H45" s="289"/>
      <c r="I45" s="311"/>
      <c r="J45" s="74"/>
      <c r="K45" s="538" t="s">
        <v>17</v>
      </c>
      <c r="L45" s="380"/>
      <c r="M45" s="74"/>
      <c r="N45" s="538" t="s">
        <v>17</v>
      </c>
      <c r="O45" s="310"/>
      <c r="P45" s="69"/>
      <c r="Q45" s="69"/>
      <c r="T45" s="51"/>
      <c r="U45" s="51"/>
    </row>
    <row r="46" spans="1:21" ht="13.5" thickBot="1" x14ac:dyDescent="0.25">
      <c r="B46" s="138"/>
      <c r="C46" s="75"/>
      <c r="D46" s="534" t="s">
        <v>12</v>
      </c>
      <c r="E46" s="380"/>
      <c r="F46" s="75"/>
      <c r="G46" s="534" t="s">
        <v>12</v>
      </c>
      <c r="H46" s="289"/>
      <c r="I46" s="311"/>
      <c r="J46" s="75"/>
      <c r="K46" s="534" t="s">
        <v>12</v>
      </c>
      <c r="L46" s="380"/>
      <c r="M46" s="75"/>
      <c r="N46" s="534" t="s">
        <v>12</v>
      </c>
      <c r="O46" s="310"/>
      <c r="P46" s="69"/>
      <c r="Q46" s="69"/>
      <c r="T46" s="51"/>
      <c r="U46" s="51"/>
    </row>
    <row r="47" spans="1:21" ht="15.75" x14ac:dyDescent="0.25">
      <c r="A47" s="52"/>
      <c r="B47" s="138"/>
      <c r="C47" s="74">
        <v>0</v>
      </c>
      <c r="D47" s="539">
        <f>IF('CW Abutment Scour'!F10="Piedmont",'CW Abutment Scour'!J93,0)</f>
        <v>0</v>
      </c>
      <c r="E47" s="380"/>
      <c r="F47" s="74">
        <v>0</v>
      </c>
      <c r="G47" s="539">
        <f>IF('CW Abutment Scour'!F10="Piedmont",'CW Abutment Scour'!M93,0)</f>
        <v>0</v>
      </c>
      <c r="H47" s="289"/>
      <c r="I47" s="311"/>
      <c r="J47" s="74">
        <v>0</v>
      </c>
      <c r="K47" s="539">
        <f>IF('CW Abutment Scour'!F10="Coastal Plain",'CW Abutment Scour'!J93,0)</f>
        <v>0</v>
      </c>
      <c r="L47" s="380"/>
      <c r="M47" s="74">
        <v>0</v>
      </c>
      <c r="N47" s="539">
        <f>IF('CW Abutment Scour'!F10="Coastal Plain",'CW Abutment Scour'!M93,0)</f>
        <v>0</v>
      </c>
      <c r="O47" s="310"/>
      <c r="P47" s="69"/>
      <c r="Q47" s="69"/>
      <c r="T47" s="51"/>
      <c r="U47" s="51"/>
    </row>
    <row r="48" spans="1:21" x14ac:dyDescent="0.2">
      <c r="B48" s="138"/>
      <c r="C48" s="78">
        <f>IF('CW Abutment Scour'!F10="Piedmont",'CW Abutment Scour'!J25,0)</f>
        <v>0</v>
      </c>
      <c r="D48" s="539">
        <f>IF('CW Abutment Scour'!F10="Piedmont",'CW Abutment Scour'!J93,0)</f>
        <v>0</v>
      </c>
      <c r="E48" s="380"/>
      <c r="F48" s="78">
        <f>IF('CW Abutment Scour'!F10="Piedmont",'CW Abutment Scour'!J25,0)</f>
        <v>0</v>
      </c>
      <c r="G48" s="539">
        <f>IF('CW Abutment Scour'!F10="Piedmont",'CW Abutment Scour'!M93,0)</f>
        <v>0</v>
      </c>
      <c r="H48" s="289"/>
      <c r="I48" s="311"/>
      <c r="J48" s="78">
        <f>IF('CW Abutment Scour'!F10="Coastal Plain",'CW Abutment Scour'!J25,0)</f>
        <v>0</v>
      </c>
      <c r="K48" s="539">
        <f>IF('CW Abutment Scour'!F10="Coastal Plain",'CW Abutment Scour'!J93,0)</f>
        <v>0</v>
      </c>
      <c r="L48" s="380"/>
      <c r="M48" s="78">
        <f>IF('CW Abutment Scour'!F10="Coastal Plain",'CW Abutment Scour'!J25,0)</f>
        <v>0</v>
      </c>
      <c r="N48" s="539">
        <f>IF('CW Abutment Scour'!F10="Coastal Plain",'CW Abutment Scour'!M93,0)</f>
        <v>0</v>
      </c>
      <c r="O48" s="310"/>
      <c r="P48" s="69"/>
      <c r="Q48" s="69"/>
      <c r="T48" s="51"/>
      <c r="U48" s="51"/>
    </row>
    <row r="49" spans="1:21" ht="13.5" thickBot="1" x14ac:dyDescent="0.25">
      <c r="B49" s="138"/>
      <c r="C49" s="79">
        <f>IF('CW Abutment Scour'!F10="Piedmont",'CW Abutment Scour'!J25,0)</f>
        <v>0</v>
      </c>
      <c r="D49" s="534">
        <v>0</v>
      </c>
      <c r="E49" s="380"/>
      <c r="F49" s="79">
        <f>IF('CW Abutment Scour'!F10="Piedmont",'CW Abutment Scour'!J25,0)</f>
        <v>0</v>
      </c>
      <c r="G49" s="534">
        <v>0</v>
      </c>
      <c r="H49" s="289"/>
      <c r="I49" s="138"/>
      <c r="J49" s="79">
        <f>IF('CW Abutment Scour'!F10="Coastal Plain",'CW Abutment Scour'!J25,0)</f>
        <v>0</v>
      </c>
      <c r="K49" s="534">
        <v>0</v>
      </c>
      <c r="L49" s="380"/>
      <c r="M49" s="79">
        <f>IF('CW Abutment Scour'!F10="Coastal Plain",'CW Abutment Scour'!J25,0)</f>
        <v>0</v>
      </c>
      <c r="N49" s="534">
        <v>0</v>
      </c>
      <c r="O49" s="310"/>
      <c r="P49" s="69"/>
      <c r="Q49" s="69"/>
      <c r="T49" s="51"/>
      <c r="U49" s="51"/>
    </row>
    <row r="50" spans="1:21" ht="15" x14ac:dyDescent="0.25">
      <c r="A50" s="286"/>
      <c r="B50" s="306"/>
      <c r="C50" s="307"/>
      <c r="D50" s="307"/>
      <c r="E50" s="308"/>
      <c r="F50" s="407"/>
      <c r="G50" s="407"/>
      <c r="H50" s="405"/>
      <c r="I50" s="312"/>
      <c r="J50" s="407"/>
      <c r="K50" s="407"/>
      <c r="L50" s="407"/>
      <c r="M50" s="407"/>
      <c r="N50" s="407"/>
      <c r="O50" s="405"/>
      <c r="P50" s="69"/>
      <c r="Q50" s="69"/>
      <c r="S50" s="51"/>
      <c r="T50" s="51"/>
      <c r="U50" s="51"/>
    </row>
    <row r="51" spans="1:21" x14ac:dyDescent="0.2">
      <c r="C51" s="69"/>
      <c r="D51" s="69"/>
      <c r="E51" s="69"/>
      <c r="R51" s="51"/>
      <c r="S51" s="51"/>
      <c r="T51" s="51"/>
      <c r="U51" s="51"/>
    </row>
    <row r="52" spans="1:21" s="80" customFormat="1" x14ac:dyDescent="0.2">
      <c r="R52" s="81"/>
      <c r="S52" s="81"/>
      <c r="T52" s="81"/>
      <c r="U52" s="81"/>
    </row>
    <row r="54" spans="1:21" s="586" customFormat="1" ht="15.75" customHeight="1" x14ac:dyDescent="0.2">
      <c r="A54" s="1080" t="s">
        <v>657</v>
      </c>
      <c r="B54" s="1080"/>
      <c r="C54" s="1080"/>
      <c r="D54" s="1080"/>
      <c r="E54" s="1080"/>
      <c r="F54" s="1080"/>
      <c r="G54" s="1080"/>
      <c r="H54" s="1080"/>
      <c r="I54" s="1080"/>
      <c r="J54" s="1080"/>
      <c r="K54" s="1080"/>
      <c r="L54" s="1080"/>
      <c r="M54" s="1080"/>
      <c r="N54" s="1080"/>
      <c r="O54" s="1080"/>
      <c r="P54" s="1080"/>
      <c r="R54" s="681"/>
      <c r="S54" s="681"/>
      <c r="T54" s="681"/>
      <c r="U54" s="681"/>
    </row>
    <row r="55" spans="1:21" x14ac:dyDescent="0.2">
      <c r="A55" s="1080"/>
      <c r="B55" s="1080"/>
      <c r="C55" s="1080"/>
      <c r="D55" s="1080"/>
      <c r="E55" s="1080"/>
      <c r="F55" s="1080"/>
      <c r="G55" s="1080"/>
      <c r="H55" s="1080"/>
      <c r="I55" s="1080"/>
      <c r="J55" s="1080"/>
      <c r="K55" s="1080"/>
      <c r="L55" s="1080"/>
      <c r="M55" s="1080"/>
      <c r="N55" s="1080"/>
      <c r="O55" s="1080"/>
      <c r="P55" s="1080"/>
    </row>
    <row r="56" spans="1:21" x14ac:dyDescent="0.2">
      <c r="F56" s="51" t="s">
        <v>18</v>
      </c>
      <c r="J56" s="51" t="s">
        <v>19</v>
      </c>
    </row>
    <row r="57" spans="1:21" ht="13.5" thickBot="1" x14ac:dyDescent="0.25"/>
    <row r="58" spans="1:21" x14ac:dyDescent="0.2">
      <c r="F58" s="535" t="s">
        <v>603</v>
      </c>
      <c r="G58" s="1076" t="s">
        <v>16</v>
      </c>
      <c r="H58" s="1077"/>
      <c r="J58" s="535" t="s">
        <v>603</v>
      </c>
      <c r="K58" s="1076" t="s">
        <v>16</v>
      </c>
      <c r="L58" s="1077"/>
    </row>
    <row r="59" spans="1:21" x14ac:dyDescent="0.2">
      <c r="F59" s="537"/>
      <c r="G59" s="1078" t="s">
        <v>17</v>
      </c>
      <c r="H59" s="1079"/>
      <c r="J59" s="537"/>
      <c r="K59" s="1078" t="s">
        <v>17</v>
      </c>
      <c r="L59" s="1079"/>
    </row>
    <row r="60" spans="1:21" ht="13.5" thickBot="1" x14ac:dyDescent="0.25">
      <c r="F60" s="533"/>
      <c r="G60" s="1074" t="s">
        <v>12</v>
      </c>
      <c r="H60" s="1075"/>
      <c r="J60" s="533"/>
      <c r="K60" s="1074" t="s">
        <v>12</v>
      </c>
      <c r="L60" s="1075"/>
    </row>
    <row r="61" spans="1:21" x14ac:dyDescent="0.2">
      <c r="F61" s="537">
        <v>0</v>
      </c>
      <c r="G61" s="1081" t="str">
        <f>'CW Contraction Scour'!K45</f>
        <v>N/A</v>
      </c>
      <c r="H61" s="1082"/>
      <c r="J61" s="537">
        <v>0</v>
      </c>
      <c r="K61" s="1081" t="str">
        <f>'CW Contraction Scour'!M45</f>
        <v>N/A</v>
      </c>
      <c r="L61" s="1082"/>
    </row>
    <row r="62" spans="1:21" x14ac:dyDescent="0.2">
      <c r="F62" s="82" t="str">
        <f>'CW Contraction Scour'!I22</f>
        <v>No Data</v>
      </c>
      <c r="G62" s="1083" t="str">
        <f>'CW Contraction Scour'!K45</f>
        <v>N/A</v>
      </c>
      <c r="H62" s="1084"/>
      <c r="J62" s="82" t="str">
        <f>'CW Contraction Scour'!I22</f>
        <v>No Data</v>
      </c>
      <c r="K62" s="1083" t="str">
        <f>'CW Contraction Scour'!M45</f>
        <v>N/A</v>
      </c>
      <c r="L62" s="1084"/>
    </row>
    <row r="63" spans="1:21" ht="13.5" thickBot="1" x14ac:dyDescent="0.25">
      <c r="F63" s="83" t="str">
        <f>'CW Contraction Scour'!I22</f>
        <v>No Data</v>
      </c>
      <c r="G63" s="1074">
        <v>0</v>
      </c>
      <c r="H63" s="1075"/>
      <c r="J63" s="83" t="str">
        <f>'CW Contraction Scour'!I22</f>
        <v>No Data</v>
      </c>
      <c r="K63" s="1074">
        <v>0</v>
      </c>
      <c r="L63" s="1075"/>
    </row>
    <row r="65" spans="1:21" s="80" customFormat="1" x14ac:dyDescent="0.2">
      <c r="R65" s="81"/>
      <c r="S65" s="81"/>
      <c r="T65" s="81"/>
      <c r="U65" s="81"/>
    </row>
    <row r="67" spans="1:21" s="586" customFormat="1" ht="15.75" x14ac:dyDescent="0.25">
      <c r="A67" s="52" t="s">
        <v>658</v>
      </c>
      <c r="R67" s="681"/>
      <c r="S67" s="681"/>
      <c r="T67" s="681"/>
      <c r="U67" s="681"/>
    </row>
    <row r="68" spans="1:21" ht="15.75" x14ac:dyDescent="0.25">
      <c r="A68" s="52"/>
    </row>
    <row r="69" spans="1:21" x14ac:dyDescent="0.2">
      <c r="F69" s="56" t="s">
        <v>216</v>
      </c>
      <c r="K69" s="56" t="s">
        <v>217</v>
      </c>
    </row>
    <row r="70" spans="1:21" x14ac:dyDescent="0.2">
      <c r="F70" s="56" t="s">
        <v>205</v>
      </c>
      <c r="J70" s="380"/>
      <c r="K70" s="56" t="s">
        <v>218</v>
      </c>
      <c r="L70" s="380"/>
    </row>
    <row r="71" spans="1:21" ht="13.5" thickBot="1" x14ac:dyDescent="0.25">
      <c r="J71" s="380"/>
      <c r="K71" s="380"/>
      <c r="L71" s="380"/>
    </row>
    <row r="72" spans="1:21" x14ac:dyDescent="0.2">
      <c r="F72" s="94" t="s">
        <v>603</v>
      </c>
      <c r="G72" s="94" t="s">
        <v>16</v>
      </c>
      <c r="H72" s="70"/>
      <c r="J72" s="54"/>
      <c r="K72" s="94" t="s">
        <v>603</v>
      </c>
      <c r="L72" s="94" t="s">
        <v>16</v>
      </c>
    </row>
    <row r="73" spans="1:21" x14ac:dyDescent="0.2">
      <c r="F73" s="96"/>
      <c r="G73" s="96" t="s">
        <v>17</v>
      </c>
      <c r="H73" s="70"/>
      <c r="J73" s="54"/>
      <c r="K73" s="96"/>
      <c r="L73" s="96" t="s">
        <v>17</v>
      </c>
    </row>
    <row r="74" spans="1:21" ht="13.5" thickBot="1" x14ac:dyDescent="0.25">
      <c r="F74" s="93"/>
      <c r="G74" s="93" t="s">
        <v>12</v>
      </c>
      <c r="H74" s="70"/>
      <c r="J74" s="54"/>
      <c r="K74" s="93"/>
      <c r="L74" s="93" t="s">
        <v>12</v>
      </c>
    </row>
    <row r="75" spans="1:21" x14ac:dyDescent="0.2">
      <c r="F75" s="96">
        <v>0</v>
      </c>
      <c r="G75" s="151" t="str">
        <f>'LB Contraction Scour'!L51</f>
        <v>N/A</v>
      </c>
      <c r="H75" s="148"/>
      <c r="J75" s="54"/>
      <c r="K75" s="96">
        <v>0</v>
      </c>
      <c r="L75" s="151" t="str">
        <f>'LB Contraction Scour'!L58</f>
        <v>N/A</v>
      </c>
    </row>
    <row r="76" spans="1:21" x14ac:dyDescent="0.2">
      <c r="F76" s="149" t="str">
        <f>'LB Contraction Scour'!K24</f>
        <v>No Data</v>
      </c>
      <c r="G76" s="151" t="str">
        <f>'LB Contraction Scour'!L51</f>
        <v>N/A</v>
      </c>
      <c r="H76" s="148"/>
      <c r="J76" s="147"/>
      <c r="K76" s="149" t="str">
        <f>'LB Contraction Scour'!K24</f>
        <v>No Data</v>
      </c>
      <c r="L76" s="151" t="str">
        <f>'LB Contraction Scour'!L58</f>
        <v>N/A</v>
      </c>
    </row>
    <row r="77" spans="1:21" ht="13.5" thickBot="1" x14ac:dyDescent="0.25">
      <c r="F77" s="150" t="str">
        <f>'LB Contraction Scour'!K24</f>
        <v>No Data</v>
      </c>
      <c r="G77" s="152">
        <v>0</v>
      </c>
      <c r="H77" s="148"/>
      <c r="J77" s="147"/>
      <c r="K77" s="150" t="str">
        <f>'LB Contraction Scour'!K24</f>
        <v>No Data</v>
      </c>
      <c r="L77" s="152">
        <v>0</v>
      </c>
    </row>
    <row r="79" spans="1:21" s="80" customFormat="1" x14ac:dyDescent="0.2">
      <c r="R79" s="81"/>
      <c r="S79" s="81"/>
      <c r="T79" s="81"/>
      <c r="U79" s="81"/>
    </row>
    <row r="80" spans="1:21" s="387" customFormat="1" x14ac:dyDescent="0.2">
      <c r="R80" s="391"/>
      <c r="S80" s="391"/>
      <c r="T80" s="391"/>
      <c r="U80" s="391"/>
    </row>
    <row r="81" spans="1:21" s="146" customFormat="1" ht="15.75" x14ac:dyDescent="0.25">
      <c r="A81" s="65" t="s">
        <v>535</v>
      </c>
      <c r="R81" s="682"/>
      <c r="S81" s="682"/>
      <c r="T81" s="682"/>
      <c r="U81" s="682"/>
    </row>
    <row r="82" spans="1:21" s="387" customFormat="1" ht="15.75" x14ac:dyDescent="0.25">
      <c r="A82" s="65"/>
      <c r="F82" s="383"/>
      <c r="R82" s="391"/>
      <c r="S82" s="391"/>
      <c r="T82" s="391"/>
      <c r="U82" s="391"/>
    </row>
    <row r="83" spans="1:21" s="387" customFormat="1" ht="20.25" x14ac:dyDescent="0.3">
      <c r="A83" s="52" t="s">
        <v>22</v>
      </c>
      <c r="B83" s="51"/>
      <c r="C83" s="51"/>
      <c r="D83" s="71"/>
      <c r="E83" s="51"/>
      <c r="F83" s="84" t="str">
        <f>+IF('CW Abutment Scour'!J136=1,"Long Bridge", IF('CW Abutment Scour'!J136=2,"Small Swampy Bridges", "ERROR!!"))</f>
        <v>Long Bridge</v>
      </c>
      <c r="G83" s="63"/>
      <c r="H83" s="63"/>
      <c r="I83" s="63"/>
      <c r="J83" s="84" t="str">
        <f>+IF('CW Abutment Scour'!J136=1,"Long Bridge", IF('CW Abutment Scour'!J136=2,"Small Swampy Bridges", "ERROR!!"))</f>
        <v>Long Bridge</v>
      </c>
      <c r="K83" s="63"/>
      <c r="R83" s="391"/>
      <c r="S83" s="391"/>
      <c r="T83" s="391"/>
      <c r="U83" s="391"/>
    </row>
    <row r="84" spans="1:21" s="387" customFormat="1" x14ac:dyDescent="0.2">
      <c r="F84" s="383"/>
      <c r="G84" s="383"/>
      <c r="H84" s="383"/>
      <c r="I84" s="383"/>
      <c r="J84" s="383"/>
      <c r="K84" s="383"/>
      <c r="R84" s="391"/>
      <c r="S84" s="391"/>
      <c r="T84" s="391"/>
      <c r="U84" s="391"/>
    </row>
    <row r="85" spans="1:21" s="387" customFormat="1" x14ac:dyDescent="0.2">
      <c r="F85" s="63" t="s">
        <v>4</v>
      </c>
      <c r="G85" s="63"/>
      <c r="H85" s="63"/>
      <c r="I85" s="63"/>
      <c r="J85" s="63" t="s">
        <v>5</v>
      </c>
      <c r="K85" s="63"/>
      <c r="R85" s="391"/>
      <c r="S85" s="391"/>
      <c r="T85" s="391"/>
      <c r="U85" s="391"/>
    </row>
    <row r="86" spans="1:21" s="387" customFormat="1" ht="13.5" thickBot="1" x14ac:dyDescent="0.25">
      <c r="F86" s="63"/>
      <c r="G86" s="63"/>
      <c r="H86" s="63"/>
      <c r="I86" s="63"/>
      <c r="J86" s="63"/>
      <c r="K86" s="63"/>
      <c r="R86" s="391"/>
      <c r="S86" s="391"/>
      <c r="T86" s="391"/>
      <c r="U86" s="391"/>
    </row>
    <row r="87" spans="1:21" s="387" customFormat="1" x14ac:dyDescent="0.2">
      <c r="F87" s="86" t="s">
        <v>16</v>
      </c>
      <c r="G87" s="483" t="s">
        <v>16</v>
      </c>
      <c r="H87" s="63"/>
      <c r="I87" s="63"/>
      <c r="J87" s="86" t="s">
        <v>16</v>
      </c>
      <c r="K87" s="483" t="s">
        <v>16</v>
      </c>
      <c r="R87" s="391"/>
      <c r="S87" s="391"/>
      <c r="T87" s="391"/>
      <c r="U87" s="391"/>
    </row>
    <row r="88" spans="1:21" s="387" customFormat="1" x14ac:dyDescent="0.2">
      <c r="F88" s="485" t="s">
        <v>17</v>
      </c>
      <c r="G88" s="419" t="s">
        <v>390</v>
      </c>
      <c r="H88" s="63"/>
      <c r="I88" s="63"/>
      <c r="J88" s="485" t="s">
        <v>17</v>
      </c>
      <c r="K88" s="419" t="s">
        <v>390</v>
      </c>
      <c r="R88" s="391"/>
      <c r="S88" s="391"/>
      <c r="T88" s="391"/>
      <c r="U88" s="391"/>
    </row>
    <row r="89" spans="1:21" s="387" customFormat="1" ht="13.5" thickBot="1" x14ac:dyDescent="0.25">
      <c r="F89" s="88" t="s">
        <v>12</v>
      </c>
      <c r="G89" s="486" t="s">
        <v>12</v>
      </c>
      <c r="H89" s="63"/>
      <c r="I89" s="63"/>
      <c r="J89" s="88" t="s">
        <v>12</v>
      </c>
      <c r="K89" s="486" t="s">
        <v>12</v>
      </c>
      <c r="R89" s="391"/>
      <c r="S89" s="391"/>
      <c r="T89" s="391"/>
      <c r="U89" s="391"/>
    </row>
    <row r="90" spans="1:21" s="387" customFormat="1" x14ac:dyDescent="0.2">
      <c r="F90" s="86">
        <v>0</v>
      </c>
      <c r="G90" s="95" t="str">
        <f>'CW Abutment Scour'!J139</f>
        <v>N/A</v>
      </c>
      <c r="H90" s="63"/>
      <c r="I90" s="63"/>
      <c r="J90" s="86">
        <v>0</v>
      </c>
      <c r="K90" s="95" t="str">
        <f>'CW Abutment Scour'!M139</f>
        <v>N/A</v>
      </c>
      <c r="R90" s="391"/>
      <c r="S90" s="391"/>
      <c r="T90" s="391"/>
      <c r="U90" s="391"/>
    </row>
    <row r="91" spans="1:21" s="387" customFormat="1" x14ac:dyDescent="0.2">
      <c r="F91" s="503" t="str">
        <f>'CW Abutment Scour'!J99</f>
        <v>N/A</v>
      </c>
      <c r="G91" s="494" t="str">
        <f>'CW Abutment Scour'!J139</f>
        <v>N/A</v>
      </c>
      <c r="H91" s="63"/>
      <c r="I91" s="63"/>
      <c r="J91" s="503" t="str">
        <f>'CW Abutment Scour'!M99</f>
        <v>N/A</v>
      </c>
      <c r="K91" s="494" t="str">
        <f>'CW Abutment Scour'!M139</f>
        <v>N/A</v>
      </c>
      <c r="R91" s="391"/>
      <c r="S91" s="391"/>
      <c r="T91" s="391"/>
      <c r="U91" s="391"/>
    </row>
    <row r="92" spans="1:21" s="387" customFormat="1" ht="13.5" thickBot="1" x14ac:dyDescent="0.25">
      <c r="F92" s="504" t="str">
        <f>'CW Abutment Scour'!J99</f>
        <v>N/A</v>
      </c>
      <c r="G92" s="486">
        <v>0</v>
      </c>
      <c r="H92" s="63"/>
      <c r="I92" s="63"/>
      <c r="J92" s="504" t="str">
        <f>'CW Abutment Scour'!M99</f>
        <v>N/A</v>
      </c>
      <c r="K92" s="486">
        <v>0</v>
      </c>
      <c r="R92" s="391"/>
      <c r="S92" s="391"/>
      <c r="T92" s="391"/>
      <c r="U92" s="391"/>
    </row>
    <row r="93" spans="1:21" s="387" customFormat="1" ht="13.5" thickBot="1" x14ac:dyDescent="0.25">
      <c r="R93" s="391"/>
      <c r="S93" s="391"/>
      <c r="T93" s="391"/>
      <c r="U93" s="391"/>
    </row>
    <row r="94" spans="1:21" s="298" customFormat="1" ht="13.5" thickBot="1" x14ac:dyDescent="0.25">
      <c r="R94" s="299"/>
      <c r="S94" s="299"/>
      <c r="T94" s="299"/>
      <c r="U94" s="299"/>
    </row>
    <row r="95" spans="1:21" x14ac:dyDescent="0.2">
      <c r="L95" s="289"/>
    </row>
    <row r="96" spans="1:21" s="586" customFormat="1" ht="15.75" x14ac:dyDescent="0.25">
      <c r="A96" s="680" t="s">
        <v>20</v>
      </c>
      <c r="L96" s="683"/>
      <c r="N96" s="680" t="s">
        <v>20</v>
      </c>
      <c r="R96" s="681"/>
      <c r="S96" s="681"/>
      <c r="T96" s="681"/>
      <c r="U96" s="681"/>
    </row>
    <row r="97" spans="1:29" ht="13.5" thickBot="1" x14ac:dyDescent="0.25">
      <c r="L97" s="289"/>
      <c r="X97" s="387"/>
      <c r="Y97" s="387"/>
      <c r="Z97" s="387"/>
      <c r="AA97" s="387"/>
      <c r="AB97" s="387"/>
      <c r="AC97" s="387"/>
    </row>
    <row r="98" spans="1:29" x14ac:dyDescent="0.2">
      <c r="F98" s="84" t="s">
        <v>21</v>
      </c>
      <c r="G98" s="63"/>
      <c r="H98" s="63"/>
      <c r="I98" s="84" t="s">
        <v>26</v>
      </c>
      <c r="J98" s="63"/>
      <c r="K98" s="63"/>
      <c r="L98" s="491"/>
      <c r="M98" s="63"/>
      <c r="N98" s="63"/>
      <c r="O98" s="63"/>
      <c r="P98" s="63"/>
      <c r="Q98" s="63"/>
      <c r="R98" s="86" t="s">
        <v>52</v>
      </c>
      <c r="S98" s="87" t="s">
        <v>52</v>
      </c>
      <c r="T98" s="87"/>
      <c r="U98" s="492"/>
      <c r="V98" s="524"/>
      <c r="X98" s="383"/>
      <c r="Y98" s="383"/>
      <c r="Z98" s="383"/>
      <c r="AA98" s="383"/>
      <c r="AB98" s="383"/>
      <c r="AC98" s="383"/>
    </row>
    <row r="99" spans="1:29" ht="13.5" thickBot="1" x14ac:dyDescent="0.25">
      <c r="F99" s="63"/>
      <c r="G99" s="63"/>
      <c r="H99" s="63"/>
      <c r="I99" s="63"/>
      <c r="J99" s="63"/>
      <c r="K99" s="63"/>
      <c r="L99" s="491"/>
      <c r="M99" s="63"/>
      <c r="N99" s="63"/>
      <c r="O99" s="63"/>
      <c r="P99" s="63"/>
      <c r="Q99" s="63"/>
      <c r="R99" s="88" t="s">
        <v>53</v>
      </c>
      <c r="S99" s="89" t="s">
        <v>54</v>
      </c>
      <c r="T99" s="89" t="s">
        <v>47</v>
      </c>
      <c r="U99" s="90" t="s">
        <v>257</v>
      </c>
      <c r="V99" s="523" t="s">
        <v>436</v>
      </c>
      <c r="X99" s="383"/>
      <c r="Y99" s="383"/>
      <c r="Z99" s="383"/>
      <c r="AA99" s="383"/>
      <c r="AB99" s="383"/>
      <c r="AC99" s="383"/>
    </row>
    <row r="100" spans="1:29" x14ac:dyDescent="0.2">
      <c r="A100" s="56" t="s">
        <v>324</v>
      </c>
      <c r="F100" s="86" t="s">
        <v>23</v>
      </c>
      <c r="G100" s="483" t="s">
        <v>16</v>
      </c>
      <c r="H100" s="484"/>
      <c r="I100" s="86" t="s">
        <v>23</v>
      </c>
      <c r="J100" s="483" t="s">
        <v>16</v>
      </c>
      <c r="K100" s="63"/>
      <c r="L100" s="491"/>
      <c r="M100" s="63"/>
      <c r="N100" s="56" t="s">
        <v>50</v>
      </c>
      <c r="O100" s="63"/>
      <c r="P100" s="63"/>
      <c r="Q100" s="91" t="s">
        <v>51</v>
      </c>
      <c r="R100" s="483" t="s">
        <v>16</v>
      </c>
      <c r="S100" s="483" t="s">
        <v>16</v>
      </c>
      <c r="T100" s="483" t="s">
        <v>16</v>
      </c>
      <c r="U100" s="483" t="s">
        <v>16</v>
      </c>
      <c r="V100" s="521" t="s">
        <v>16</v>
      </c>
      <c r="X100" s="383"/>
      <c r="Y100" s="383"/>
      <c r="Z100" s="383"/>
      <c r="AA100" s="383"/>
      <c r="AB100" s="383"/>
      <c r="AC100" s="383"/>
    </row>
    <row r="101" spans="1:29" x14ac:dyDescent="0.2">
      <c r="A101" s="56" t="s">
        <v>203</v>
      </c>
      <c r="F101" s="485" t="s">
        <v>13</v>
      </c>
      <c r="G101" s="419" t="s">
        <v>17</v>
      </c>
      <c r="H101" s="484"/>
      <c r="I101" s="485" t="s">
        <v>13</v>
      </c>
      <c r="J101" s="419" t="s">
        <v>17</v>
      </c>
      <c r="K101" s="63"/>
      <c r="L101" s="491"/>
      <c r="M101" s="63"/>
      <c r="N101" s="56" t="s">
        <v>326</v>
      </c>
      <c r="O101" s="63"/>
      <c r="P101" s="63"/>
      <c r="Q101" s="92" t="s">
        <v>25</v>
      </c>
      <c r="R101" s="419" t="s">
        <v>17</v>
      </c>
      <c r="S101" s="419" t="s">
        <v>17</v>
      </c>
      <c r="T101" s="419" t="s">
        <v>17</v>
      </c>
      <c r="U101" s="419" t="s">
        <v>17</v>
      </c>
      <c r="V101" s="522" t="s">
        <v>17</v>
      </c>
      <c r="X101" s="387"/>
      <c r="Y101" s="387"/>
      <c r="Z101" s="387"/>
      <c r="AA101" s="387"/>
      <c r="AB101" s="387"/>
      <c r="AC101" s="387"/>
    </row>
    <row r="102" spans="1:29" ht="13.5" thickBot="1" x14ac:dyDescent="0.25">
      <c r="F102" s="88" t="s">
        <v>12</v>
      </c>
      <c r="G102" s="486" t="s">
        <v>12</v>
      </c>
      <c r="H102" s="484"/>
      <c r="I102" s="88" t="s">
        <v>12</v>
      </c>
      <c r="J102" s="486" t="s">
        <v>12</v>
      </c>
      <c r="K102" s="63"/>
      <c r="L102" s="491"/>
      <c r="M102" s="63"/>
      <c r="N102" s="56"/>
      <c r="O102" s="63"/>
      <c r="P102" s="63"/>
      <c r="Q102" s="493" t="s">
        <v>12</v>
      </c>
      <c r="R102" s="486" t="s">
        <v>12</v>
      </c>
      <c r="S102" s="486" t="s">
        <v>12</v>
      </c>
      <c r="T102" s="486" t="s">
        <v>12</v>
      </c>
      <c r="U102" s="486" t="s">
        <v>12</v>
      </c>
      <c r="V102" s="523" t="s">
        <v>12</v>
      </c>
    </row>
    <row r="103" spans="1:29" x14ac:dyDescent="0.2">
      <c r="F103" s="86">
        <v>0</v>
      </c>
      <c r="G103" s="483">
        <v>0</v>
      </c>
      <c r="H103" s="63"/>
      <c r="I103" s="498">
        <v>0</v>
      </c>
      <c r="J103" s="500">
        <v>0</v>
      </c>
      <c r="K103" s="63"/>
      <c r="L103" s="491"/>
      <c r="M103" s="63"/>
      <c r="N103" s="63"/>
      <c r="O103" s="63"/>
      <c r="P103" s="63"/>
      <c r="Q103" s="91">
        <v>0</v>
      </c>
      <c r="R103" s="95">
        <f>1.5*Q103+0.5</f>
        <v>0.5</v>
      </c>
      <c r="S103" s="95">
        <f>1.1*Q103+3.3</f>
        <v>3.3</v>
      </c>
      <c r="T103" s="95">
        <f>1.5*Q103+4.1</f>
        <v>4.0999999999999996</v>
      </c>
      <c r="U103" s="95">
        <f>2.5*Q103</f>
        <v>0</v>
      </c>
      <c r="V103" s="838">
        <f>2.1*Q103^0.9</f>
        <v>0</v>
      </c>
    </row>
    <row r="104" spans="1:29" x14ac:dyDescent="0.2">
      <c r="F104" s="485">
        <v>426.5</v>
      </c>
      <c r="G104" s="419">
        <v>14.4</v>
      </c>
      <c r="H104" s="63"/>
      <c r="I104" s="499">
        <v>18.399999999999999</v>
      </c>
      <c r="J104" s="501">
        <v>0.6</v>
      </c>
      <c r="K104" s="63"/>
      <c r="L104" s="491"/>
      <c r="M104" s="63"/>
      <c r="N104" s="63"/>
      <c r="O104" s="63"/>
      <c r="P104" s="63"/>
      <c r="Q104" s="92">
        <v>2</v>
      </c>
      <c r="R104" s="494">
        <f>1.5*Q104+0.5</f>
        <v>3.5</v>
      </c>
      <c r="S104" s="494">
        <f>1.1*Q104+3.3</f>
        <v>5.5</v>
      </c>
      <c r="T104" s="494">
        <f t="shared" ref="T104:T110" si="0">1.5*Q104+4.1</f>
        <v>7.1</v>
      </c>
      <c r="U104" s="494">
        <f t="shared" ref="U104:U110" si="1">2.5*Q104</f>
        <v>5</v>
      </c>
      <c r="V104" s="151">
        <f t="shared" ref="V104:V111" si="2">2.1*Q104^0.9</f>
        <v>3.9187385644545913</v>
      </c>
    </row>
    <row r="105" spans="1:29" ht="13.5" thickBot="1" x14ac:dyDescent="0.25">
      <c r="F105" s="88">
        <v>7440.6</v>
      </c>
      <c r="G105" s="486">
        <v>23.6</v>
      </c>
      <c r="H105" s="63"/>
      <c r="I105" s="499">
        <v>112.3</v>
      </c>
      <c r="J105" s="501">
        <v>3.1</v>
      </c>
      <c r="K105" s="63"/>
      <c r="L105" s="491"/>
      <c r="M105" s="63"/>
      <c r="N105" s="63"/>
      <c r="O105" s="63"/>
      <c r="P105" s="63"/>
      <c r="Q105" s="92">
        <v>4</v>
      </c>
      <c r="R105" s="494">
        <f>1.5*Q105+0.5</f>
        <v>6.5</v>
      </c>
      <c r="S105" s="494">
        <f>1.1*Q105+3.3</f>
        <v>7.7</v>
      </c>
      <c r="T105" s="494">
        <f t="shared" si="0"/>
        <v>10.1</v>
      </c>
      <c r="U105" s="494">
        <f t="shared" si="1"/>
        <v>10</v>
      </c>
      <c r="V105" s="151">
        <f t="shared" si="2"/>
        <v>7.3126247316874426</v>
      </c>
    </row>
    <row r="106" spans="1:29" x14ac:dyDescent="0.2">
      <c r="F106" s="63"/>
      <c r="G106" s="63"/>
      <c r="H106" s="63"/>
      <c r="I106" s="499">
        <v>181.4</v>
      </c>
      <c r="J106" s="501">
        <v>4.5999999999999996</v>
      </c>
      <c r="K106" s="63"/>
      <c r="L106" s="491"/>
      <c r="M106" s="63"/>
      <c r="N106" s="63"/>
      <c r="O106" s="63"/>
      <c r="P106" s="63"/>
      <c r="Q106" s="92">
        <v>6</v>
      </c>
      <c r="R106" s="494">
        <f>1.5*Q106+0.5</f>
        <v>9.5</v>
      </c>
      <c r="S106" s="494">
        <f>1.1*Q106+3.3</f>
        <v>9.9</v>
      </c>
      <c r="T106" s="494">
        <f t="shared" si="0"/>
        <v>13.1</v>
      </c>
      <c r="U106" s="494">
        <f t="shared" si="1"/>
        <v>15</v>
      </c>
      <c r="V106" s="151">
        <f t="shared" si="2"/>
        <v>10.533080906182008</v>
      </c>
    </row>
    <row r="107" spans="1:29" x14ac:dyDescent="0.2">
      <c r="F107" s="63"/>
      <c r="G107" s="63"/>
      <c r="H107" s="63"/>
      <c r="I107" s="499">
        <v>408.5</v>
      </c>
      <c r="J107" s="501">
        <v>9.6999999999999993</v>
      </c>
      <c r="K107" s="63"/>
      <c r="L107" s="491"/>
      <c r="M107" s="63"/>
      <c r="N107" s="63"/>
      <c r="O107" s="63"/>
      <c r="P107" s="63"/>
      <c r="Q107" s="92">
        <v>8</v>
      </c>
      <c r="R107" s="494"/>
      <c r="S107" s="494"/>
      <c r="T107" s="494">
        <f t="shared" si="0"/>
        <v>16.100000000000001</v>
      </c>
      <c r="U107" s="494">
        <f t="shared" si="1"/>
        <v>20</v>
      </c>
      <c r="V107" s="151">
        <f t="shared" si="2"/>
        <v>13.645840258784755</v>
      </c>
    </row>
    <row r="108" spans="1:29" x14ac:dyDescent="0.2">
      <c r="F108" s="63"/>
      <c r="G108" s="63"/>
      <c r="H108" s="63"/>
      <c r="I108" s="499">
        <v>571.79999999999995</v>
      </c>
      <c r="J108" s="501">
        <v>12.9</v>
      </c>
      <c r="K108" s="63"/>
      <c r="L108" s="491"/>
      <c r="M108" s="63"/>
      <c r="N108" s="63"/>
      <c r="O108" s="63"/>
      <c r="P108" s="63"/>
      <c r="Q108" s="92">
        <v>10</v>
      </c>
      <c r="R108" s="494"/>
      <c r="S108" s="494"/>
      <c r="T108" s="494">
        <f t="shared" si="0"/>
        <v>19.100000000000001</v>
      </c>
      <c r="U108" s="494">
        <f t="shared" si="1"/>
        <v>25</v>
      </c>
      <c r="V108" s="151">
        <f t="shared" si="2"/>
        <v>16.680892929209918</v>
      </c>
    </row>
    <row r="109" spans="1:29" x14ac:dyDescent="0.2">
      <c r="F109" s="63"/>
      <c r="G109" s="63"/>
      <c r="H109" s="63"/>
      <c r="I109" s="499">
        <v>606.4</v>
      </c>
      <c r="J109" s="501">
        <v>13.7</v>
      </c>
      <c r="K109" s="63"/>
      <c r="L109" s="491"/>
      <c r="M109" s="63"/>
      <c r="N109" s="63"/>
      <c r="O109" s="63"/>
      <c r="P109" s="63"/>
      <c r="Q109" s="92">
        <v>12</v>
      </c>
      <c r="R109" s="494"/>
      <c r="S109" s="494"/>
      <c r="T109" s="494">
        <f t="shared" si="0"/>
        <v>22.1</v>
      </c>
      <c r="U109" s="494">
        <f t="shared" si="1"/>
        <v>30</v>
      </c>
      <c r="V109" s="151">
        <f t="shared" si="2"/>
        <v>19.655423975988448</v>
      </c>
    </row>
    <row r="110" spans="1:29" x14ac:dyDescent="0.2">
      <c r="F110" s="63"/>
      <c r="G110" s="63"/>
      <c r="H110" s="63"/>
      <c r="I110" s="499">
        <v>675</v>
      </c>
      <c r="J110" s="501">
        <v>14.2</v>
      </c>
      <c r="K110" s="63"/>
      <c r="L110" s="491"/>
      <c r="M110" s="63"/>
      <c r="N110" s="63"/>
      <c r="O110" s="63"/>
      <c r="P110" s="63"/>
      <c r="Q110" s="495">
        <v>14</v>
      </c>
      <c r="R110" s="92"/>
      <c r="S110" s="92"/>
      <c r="T110" s="92">
        <f t="shared" si="0"/>
        <v>25.1</v>
      </c>
      <c r="U110" s="92">
        <f t="shared" si="1"/>
        <v>35</v>
      </c>
      <c r="V110" s="151">
        <f t="shared" si="2"/>
        <v>22.580550567210906</v>
      </c>
    </row>
    <row r="111" spans="1:29" ht="13.5" thickBot="1" x14ac:dyDescent="0.25">
      <c r="F111" s="63"/>
      <c r="G111" s="63"/>
      <c r="H111" s="63"/>
      <c r="I111" s="497">
        <v>952.9</v>
      </c>
      <c r="J111" s="502">
        <v>18</v>
      </c>
      <c r="K111" s="63"/>
      <c r="L111" s="491"/>
      <c r="M111" s="63"/>
      <c r="N111" s="63"/>
      <c r="O111" s="63"/>
      <c r="P111" s="63"/>
      <c r="Q111" s="493">
        <v>16</v>
      </c>
      <c r="R111" s="496"/>
      <c r="S111" s="496"/>
      <c r="T111" s="496"/>
      <c r="U111" s="496">
        <f>2.5*Q111</f>
        <v>40</v>
      </c>
      <c r="V111" s="152">
        <f t="shared" si="2"/>
        <v>25.464038317374687</v>
      </c>
    </row>
    <row r="112" spans="1:29" x14ac:dyDescent="0.2">
      <c r="A112" s="407"/>
      <c r="B112" s="407"/>
      <c r="C112" s="407"/>
      <c r="D112" s="407"/>
      <c r="E112" s="407"/>
      <c r="F112" s="407"/>
      <c r="G112" s="407"/>
      <c r="H112" s="407"/>
      <c r="I112" s="407"/>
      <c r="J112" s="407"/>
      <c r="K112" s="407"/>
      <c r="L112" s="405"/>
      <c r="M112" s="407"/>
      <c r="N112" s="407"/>
      <c r="O112" s="407"/>
      <c r="P112" s="407"/>
      <c r="Q112" s="407"/>
      <c r="R112" s="377"/>
      <c r="S112" s="377"/>
      <c r="T112" s="377"/>
      <c r="U112" s="377"/>
      <c r="V112" s="407"/>
      <c r="W112" s="407"/>
    </row>
    <row r="113" spans="1:21" s="80" customFormat="1" x14ac:dyDescent="0.2">
      <c r="R113" s="81"/>
      <c r="S113" s="81"/>
      <c r="T113" s="81"/>
      <c r="U113" s="81"/>
    </row>
    <row r="114" spans="1:21" s="586" customFormat="1" ht="15.75" x14ac:dyDescent="0.25">
      <c r="A114" s="680" t="s">
        <v>20</v>
      </c>
      <c r="L114" s="684"/>
      <c r="N114" s="685"/>
      <c r="O114" s="686"/>
      <c r="P114" s="686"/>
      <c r="Q114" s="686"/>
      <c r="R114" s="681"/>
      <c r="S114" s="681"/>
      <c r="T114" s="681"/>
      <c r="U114" s="681"/>
    </row>
    <row r="115" spans="1:21" ht="21" x14ac:dyDescent="0.35">
      <c r="A115" s="85"/>
      <c r="L115" s="289"/>
      <c r="N115" s="97"/>
      <c r="O115" s="98"/>
      <c r="P115" s="98"/>
      <c r="Q115" s="98"/>
    </row>
    <row r="116" spans="1:21" ht="15" x14ac:dyDescent="0.25">
      <c r="A116" s="56" t="s">
        <v>325</v>
      </c>
      <c r="F116" s="84" t="s">
        <v>21</v>
      </c>
      <c r="I116" s="84" t="s">
        <v>14</v>
      </c>
      <c r="L116" s="289"/>
      <c r="N116" s="98"/>
      <c r="O116" s="98"/>
      <c r="P116" s="98"/>
      <c r="Q116" s="98"/>
    </row>
    <row r="117" spans="1:21" ht="15.75" thickBot="1" x14ac:dyDescent="0.3">
      <c r="A117" s="56" t="s">
        <v>203</v>
      </c>
      <c r="L117" s="289"/>
      <c r="N117" s="98"/>
      <c r="O117" s="98"/>
      <c r="P117" s="98"/>
      <c r="Q117" s="98"/>
    </row>
    <row r="118" spans="1:21" ht="15" x14ac:dyDescent="0.25">
      <c r="F118" s="86" t="s">
        <v>603</v>
      </c>
      <c r="G118" s="483" t="s">
        <v>16</v>
      </c>
      <c r="H118" s="484"/>
      <c r="I118" s="86" t="s">
        <v>603</v>
      </c>
      <c r="J118" s="483" t="s">
        <v>16</v>
      </c>
      <c r="L118" s="289"/>
      <c r="N118" s="98"/>
      <c r="O118" s="677"/>
      <c r="P118" s="677"/>
      <c r="Q118" s="677"/>
      <c r="R118" s="54"/>
    </row>
    <row r="119" spans="1:21" ht="15" x14ac:dyDescent="0.25">
      <c r="B119" s="288"/>
      <c r="C119" s="288"/>
      <c r="F119" s="485"/>
      <c r="G119" s="419" t="s">
        <v>17</v>
      </c>
      <c r="H119" s="484"/>
      <c r="I119" s="485"/>
      <c r="J119" s="419" t="s">
        <v>17</v>
      </c>
      <c r="L119" s="289"/>
      <c r="N119" s="98"/>
      <c r="O119" s="677"/>
      <c r="P119" s="677"/>
      <c r="Q119" s="677"/>
      <c r="R119" s="54"/>
    </row>
    <row r="120" spans="1:21" ht="15.75" thickBot="1" x14ac:dyDescent="0.3">
      <c r="B120" s="296"/>
      <c r="C120" s="296"/>
      <c r="F120" s="88"/>
      <c r="G120" s="486" t="s">
        <v>12</v>
      </c>
      <c r="H120" s="484"/>
      <c r="I120" s="88"/>
      <c r="J120" s="486" t="s">
        <v>12</v>
      </c>
      <c r="L120" s="289"/>
      <c r="N120" s="98"/>
      <c r="O120" s="678"/>
      <c r="P120" s="678"/>
      <c r="Q120" s="678"/>
      <c r="R120" s="54"/>
    </row>
    <row r="121" spans="1:21" ht="15" x14ac:dyDescent="0.25">
      <c r="B121" s="296"/>
      <c r="C121" s="296"/>
      <c r="F121" s="487">
        <v>0</v>
      </c>
      <c r="G121" s="488">
        <v>0</v>
      </c>
      <c r="H121" s="484"/>
      <c r="I121" s="86">
        <v>0</v>
      </c>
      <c r="J121" s="483">
        <v>0</v>
      </c>
      <c r="L121" s="289"/>
      <c r="N121" s="98"/>
      <c r="O121" s="679"/>
      <c r="P121" s="679"/>
      <c r="Q121" s="679"/>
      <c r="R121" s="54"/>
    </row>
    <row r="122" spans="1:21" ht="15" x14ac:dyDescent="0.25">
      <c r="B122" s="296"/>
      <c r="C122" s="296"/>
      <c r="F122" s="489">
        <v>0.31900000000000001</v>
      </c>
      <c r="G122" s="490">
        <v>1.6920087995800002</v>
      </c>
      <c r="H122" s="484"/>
      <c r="I122" s="485">
        <v>2.1999999999999999E-2</v>
      </c>
      <c r="J122" s="419">
        <v>0.6</v>
      </c>
      <c r="K122" s="69"/>
      <c r="L122" s="289"/>
      <c r="N122" s="98"/>
      <c r="O122" s="679"/>
      <c r="P122" s="679"/>
      <c r="Q122" s="679"/>
      <c r="R122" s="54"/>
    </row>
    <row r="123" spans="1:21" ht="15" x14ac:dyDescent="0.25">
      <c r="B123" s="296"/>
      <c r="C123" s="296"/>
      <c r="F123" s="489">
        <v>0.67400000000000004</v>
      </c>
      <c r="G123" s="490">
        <v>8.1762853188800015</v>
      </c>
      <c r="H123" s="484"/>
      <c r="I123" s="485">
        <v>0.372</v>
      </c>
      <c r="J123" s="419">
        <v>4.5999999999999996</v>
      </c>
      <c r="K123" s="69"/>
      <c r="L123" s="289"/>
      <c r="N123" s="98"/>
      <c r="O123" s="679"/>
      <c r="P123" s="679"/>
      <c r="Q123" s="679"/>
      <c r="R123" s="54"/>
    </row>
    <row r="124" spans="1:21" ht="15" x14ac:dyDescent="0.25">
      <c r="B124" s="296"/>
      <c r="C124" s="296"/>
      <c r="F124" s="489">
        <v>0.77</v>
      </c>
      <c r="G124" s="490">
        <v>11.749859660000002</v>
      </c>
      <c r="H124" s="484"/>
      <c r="I124" s="485">
        <v>0.66800000000000004</v>
      </c>
      <c r="J124" s="419">
        <v>13.7</v>
      </c>
      <c r="K124" s="69"/>
      <c r="L124" s="289"/>
      <c r="N124" s="98"/>
      <c r="O124" s="679"/>
      <c r="P124" s="679"/>
      <c r="Q124" s="679"/>
      <c r="R124" s="54"/>
    </row>
    <row r="125" spans="1:21" ht="15" x14ac:dyDescent="0.25">
      <c r="B125" s="296"/>
      <c r="C125" s="296"/>
      <c r="F125" s="489">
        <v>0.81</v>
      </c>
      <c r="G125" s="490">
        <v>13.546652220000004</v>
      </c>
      <c r="H125" s="484"/>
      <c r="I125" s="485"/>
      <c r="J125" s="419"/>
      <c r="K125" s="69"/>
      <c r="L125" s="289"/>
      <c r="N125" s="98"/>
      <c r="O125" s="679"/>
      <c r="P125" s="679"/>
      <c r="Q125" s="679"/>
      <c r="R125" s="54"/>
    </row>
    <row r="126" spans="1:21" ht="15" x14ac:dyDescent="0.25">
      <c r="B126" s="296"/>
      <c r="C126" s="296"/>
      <c r="F126" s="489">
        <v>0.82</v>
      </c>
      <c r="G126" s="490">
        <v>14.026303359999998</v>
      </c>
      <c r="H126" s="484"/>
      <c r="I126" s="485"/>
      <c r="J126" s="419"/>
      <c r="K126" s="69"/>
      <c r="L126" s="289"/>
      <c r="N126" s="98"/>
      <c r="O126" s="100"/>
      <c r="P126" s="100"/>
      <c r="Q126" s="100"/>
      <c r="R126" s="54"/>
    </row>
    <row r="127" spans="1:21" ht="15.75" thickBot="1" x14ac:dyDescent="0.3">
      <c r="B127" s="296"/>
      <c r="C127" s="296"/>
      <c r="F127" s="88">
        <v>0.98</v>
      </c>
      <c r="G127" s="90">
        <v>23.53</v>
      </c>
      <c r="H127" s="484"/>
      <c r="I127" s="88">
        <v>0.81699999999999995</v>
      </c>
      <c r="J127" s="486">
        <v>18</v>
      </c>
      <c r="K127" s="69"/>
      <c r="L127" s="289"/>
      <c r="N127" s="98"/>
      <c r="O127" s="100"/>
      <c r="P127" s="100"/>
      <c r="Q127" s="100"/>
      <c r="R127" s="54"/>
    </row>
    <row r="128" spans="1:21" x14ac:dyDescent="0.2">
      <c r="K128" s="69"/>
      <c r="L128" s="405"/>
      <c r="R128" s="51"/>
    </row>
    <row r="129" spans="1:21" s="80" customFormat="1" x14ac:dyDescent="0.2">
      <c r="R129" s="81"/>
      <c r="S129" s="81"/>
      <c r="T129" s="81"/>
      <c r="U129" s="81"/>
    </row>
    <row r="130" spans="1:21" x14ac:dyDescent="0.2">
      <c r="L130" s="404"/>
    </row>
    <row r="131" spans="1:21" x14ac:dyDescent="0.2">
      <c r="L131" s="289"/>
    </row>
    <row r="132" spans="1:21" s="586" customFormat="1" ht="15.75" x14ac:dyDescent="0.25">
      <c r="A132" s="680" t="s">
        <v>20</v>
      </c>
      <c r="L132" s="683"/>
      <c r="N132" s="685" t="s">
        <v>477</v>
      </c>
      <c r="R132" s="681"/>
      <c r="S132" s="681"/>
      <c r="T132" s="681"/>
      <c r="U132" s="681"/>
    </row>
    <row r="133" spans="1:21" x14ac:dyDescent="0.2">
      <c r="F133" s="84" t="s">
        <v>27</v>
      </c>
      <c r="I133" s="84" t="s">
        <v>24</v>
      </c>
      <c r="L133" s="289"/>
    </row>
    <row r="134" spans="1:21" ht="15" thickBot="1" x14ac:dyDescent="0.25">
      <c r="L134" s="289"/>
      <c r="N134" s="481" t="s">
        <v>478</v>
      </c>
    </row>
    <row r="135" spans="1:21" ht="15.75" thickBot="1" x14ac:dyDescent="0.3">
      <c r="A135" s="56" t="s">
        <v>396</v>
      </c>
      <c r="F135" s="474" t="s">
        <v>16</v>
      </c>
      <c r="G135" s="475" t="s">
        <v>16</v>
      </c>
      <c r="H135" s="373"/>
      <c r="I135" s="474" t="s">
        <v>16</v>
      </c>
      <c r="J135" s="475" t="s">
        <v>16</v>
      </c>
      <c r="L135" s="289"/>
      <c r="N135" s="99" t="s">
        <v>40</v>
      </c>
      <c r="P135" s="99"/>
      <c r="Q135" s="99"/>
      <c r="R135" s="99"/>
    </row>
    <row r="136" spans="1:21" ht="15.75" thickBot="1" x14ac:dyDescent="0.3">
      <c r="A136" s="56" t="s">
        <v>203</v>
      </c>
      <c r="F136" s="476" t="s">
        <v>17</v>
      </c>
      <c r="G136" s="477" t="s">
        <v>390</v>
      </c>
      <c r="H136" s="373"/>
      <c r="I136" s="476" t="s">
        <v>17</v>
      </c>
      <c r="J136" s="478" t="s">
        <v>390</v>
      </c>
      <c r="L136" s="289"/>
      <c r="N136" s="99" t="s">
        <v>40</v>
      </c>
      <c r="O136" s="471" t="s">
        <v>392</v>
      </c>
      <c r="P136" s="472" t="s">
        <v>393</v>
      </c>
      <c r="Q136" s="472" t="s">
        <v>394</v>
      </c>
      <c r="R136" s="473" t="s">
        <v>395</v>
      </c>
    </row>
    <row r="137" spans="1:21" ht="15.75" thickBot="1" x14ac:dyDescent="0.3">
      <c r="F137" s="479" t="s">
        <v>12</v>
      </c>
      <c r="G137" s="480" t="s">
        <v>12</v>
      </c>
      <c r="H137" s="373"/>
      <c r="I137" s="479" t="s">
        <v>12</v>
      </c>
      <c r="J137" s="480" t="s">
        <v>12</v>
      </c>
      <c r="L137" s="289"/>
      <c r="N137" s="99" t="s">
        <v>40</v>
      </c>
      <c r="O137" s="462">
        <v>0</v>
      </c>
      <c r="P137" s="463">
        <v>1</v>
      </c>
      <c r="Q137" s="463">
        <v>1</v>
      </c>
      <c r="R137" s="464">
        <v>1</v>
      </c>
    </row>
    <row r="138" spans="1:21" ht="15" x14ac:dyDescent="0.25">
      <c r="F138" s="73">
        <v>0</v>
      </c>
      <c r="G138" s="536">
        <v>0</v>
      </c>
      <c r="H138" s="69"/>
      <c r="I138" s="73">
        <v>0</v>
      </c>
      <c r="J138" s="536">
        <v>0</v>
      </c>
      <c r="L138" s="289"/>
      <c r="N138" s="99" t="s">
        <v>40</v>
      </c>
      <c r="O138" s="465">
        <v>15</v>
      </c>
      <c r="P138" s="466">
        <v>1.5</v>
      </c>
      <c r="Q138" s="466">
        <v>2</v>
      </c>
      <c r="R138" s="467">
        <v>2.5</v>
      </c>
    </row>
    <row r="139" spans="1:21" ht="15" x14ac:dyDescent="0.25">
      <c r="F139" s="74">
        <v>0</v>
      </c>
      <c r="G139" s="538">
        <v>6</v>
      </c>
      <c r="H139" s="69"/>
      <c r="I139" s="74">
        <v>0</v>
      </c>
      <c r="J139" s="538">
        <v>6</v>
      </c>
      <c r="L139" s="289"/>
      <c r="N139" s="99" t="s">
        <v>40</v>
      </c>
      <c r="O139" s="465">
        <v>30</v>
      </c>
      <c r="P139" s="466">
        <v>2</v>
      </c>
      <c r="Q139" s="466">
        <v>2.75</v>
      </c>
      <c r="R139" s="467">
        <v>3.5</v>
      </c>
    </row>
    <row r="140" spans="1:21" ht="15" x14ac:dyDescent="0.25">
      <c r="F140" s="74">
        <v>0.4</v>
      </c>
      <c r="G140" s="538">
        <v>20</v>
      </c>
      <c r="H140" s="69"/>
      <c r="I140" s="74">
        <v>0.4</v>
      </c>
      <c r="J140" s="538">
        <v>20</v>
      </c>
      <c r="L140" s="289"/>
      <c r="N140" s="99" t="s">
        <v>40</v>
      </c>
      <c r="O140" s="465">
        <v>45</v>
      </c>
      <c r="P140" s="466">
        <v>2.2999999999999998</v>
      </c>
      <c r="Q140" s="466">
        <v>3.3</v>
      </c>
      <c r="R140" s="467">
        <v>4.3</v>
      </c>
    </row>
    <row r="141" spans="1:21" ht="15.75" thickBot="1" x14ac:dyDescent="0.3">
      <c r="F141" s="74">
        <v>1.2</v>
      </c>
      <c r="G141" s="538">
        <v>40</v>
      </c>
      <c r="H141" s="69"/>
      <c r="I141" s="74">
        <v>1.2</v>
      </c>
      <c r="J141" s="538">
        <v>40</v>
      </c>
      <c r="L141" s="289"/>
      <c r="N141" s="99" t="s">
        <v>40</v>
      </c>
      <c r="O141" s="468">
        <v>90</v>
      </c>
      <c r="P141" s="469">
        <v>2.5</v>
      </c>
      <c r="Q141" s="469">
        <v>3.9</v>
      </c>
      <c r="R141" s="470">
        <v>5</v>
      </c>
    </row>
    <row r="142" spans="1:21" ht="15" x14ac:dyDescent="0.25">
      <c r="F142" s="74">
        <v>2.6</v>
      </c>
      <c r="G142" s="538">
        <v>60</v>
      </c>
      <c r="H142" s="69"/>
      <c r="I142" s="74">
        <v>2.6</v>
      </c>
      <c r="J142" s="538">
        <v>60</v>
      </c>
      <c r="L142" s="289"/>
      <c r="O142" s="99"/>
      <c r="P142" s="99"/>
      <c r="Q142" s="99"/>
      <c r="R142" s="99"/>
    </row>
    <row r="143" spans="1:21" ht="15" x14ac:dyDescent="0.25">
      <c r="F143" s="74">
        <v>5.2</v>
      </c>
      <c r="G143" s="538">
        <v>65</v>
      </c>
      <c r="H143" s="69"/>
      <c r="I143" s="74">
        <v>13.7</v>
      </c>
      <c r="J143" s="538">
        <v>100</v>
      </c>
      <c r="L143" s="289"/>
      <c r="N143" s="482" t="s">
        <v>397</v>
      </c>
      <c r="O143" s="100"/>
      <c r="P143" s="100"/>
      <c r="Q143" s="100"/>
    </row>
    <row r="144" spans="1:21" ht="13.5" thickBot="1" x14ac:dyDescent="0.25">
      <c r="F144" s="74">
        <v>13.2</v>
      </c>
      <c r="G144" s="538">
        <v>70</v>
      </c>
      <c r="H144" s="69"/>
      <c r="I144" s="75">
        <v>23.6</v>
      </c>
      <c r="J144" s="534">
        <v>130</v>
      </c>
      <c r="L144" s="289"/>
    </row>
    <row r="145" spans="1:22" ht="13.5" thickBot="1" x14ac:dyDescent="0.25">
      <c r="F145" s="75">
        <v>18</v>
      </c>
      <c r="G145" s="534">
        <v>70</v>
      </c>
      <c r="H145" s="69"/>
      <c r="I145" s="69"/>
      <c r="J145" s="69"/>
      <c r="L145" s="289"/>
    </row>
    <row r="146" spans="1:22" x14ac:dyDescent="0.2">
      <c r="F146" s="54"/>
      <c r="G146" s="54"/>
      <c r="H146" s="69"/>
      <c r="I146" s="69"/>
      <c r="J146" s="69"/>
      <c r="L146" s="405"/>
    </row>
    <row r="147" spans="1:22" s="80" customFormat="1" x14ac:dyDescent="0.2">
      <c r="R147" s="81"/>
      <c r="S147" s="81"/>
      <c r="T147" s="81"/>
      <c r="U147" s="81"/>
    </row>
    <row r="148" spans="1:22" x14ac:dyDescent="0.2">
      <c r="L148" s="404"/>
    </row>
    <row r="149" spans="1:22" s="586" customFormat="1" ht="15.75" x14ac:dyDescent="0.25">
      <c r="A149" s="680" t="s">
        <v>20</v>
      </c>
      <c r="L149" s="683"/>
      <c r="R149" s="681"/>
      <c r="S149" s="681"/>
      <c r="T149" s="681"/>
      <c r="U149" s="681"/>
    </row>
    <row r="150" spans="1:22" x14ac:dyDescent="0.2">
      <c r="L150" s="289"/>
      <c r="O150" s="69"/>
      <c r="P150" s="69"/>
      <c r="Q150" s="69"/>
      <c r="S150" s="51"/>
      <c r="T150" s="51"/>
      <c r="U150" s="51"/>
    </row>
    <row r="151" spans="1:22" x14ac:dyDescent="0.2">
      <c r="A151" s="56" t="s">
        <v>536</v>
      </c>
      <c r="L151" s="289"/>
      <c r="O151" s="69"/>
      <c r="P151" s="69"/>
      <c r="Q151" s="69"/>
      <c r="S151" s="51"/>
      <c r="T151" s="51"/>
      <c r="U151" s="51"/>
    </row>
    <row r="152" spans="1:22" ht="13.5" thickBot="1" x14ac:dyDescent="0.25">
      <c r="L152" s="289"/>
      <c r="O152" s="69"/>
      <c r="P152" s="69"/>
      <c r="Q152" s="69"/>
      <c r="S152" s="51"/>
      <c r="T152" s="51"/>
      <c r="U152" s="51"/>
    </row>
    <row r="153" spans="1:22" ht="21.6" customHeight="1" thickBot="1" x14ac:dyDescent="0.35">
      <c r="A153" s="287" t="s">
        <v>26</v>
      </c>
      <c r="B153" s="286"/>
      <c r="D153" s="430"/>
      <c r="E153" s="1071" t="s">
        <v>201</v>
      </c>
      <c r="F153" s="1072"/>
      <c r="G153" s="1072"/>
      <c r="H153" s="1072"/>
      <c r="I153" s="1073"/>
      <c r="L153" s="289"/>
      <c r="N153" s="287" t="s">
        <v>21</v>
      </c>
      <c r="O153" s="286"/>
      <c r="Q153" s="430"/>
      <c r="R153" s="1071" t="s">
        <v>201</v>
      </c>
      <c r="S153" s="1072"/>
      <c r="T153" s="1072"/>
      <c r="U153" s="1072"/>
      <c r="V153" s="1073"/>
    </row>
    <row r="154" spans="1:22" ht="15.75" thickBot="1" x14ac:dyDescent="0.3">
      <c r="A154" s="286"/>
      <c r="B154" s="286"/>
      <c r="D154" s="431"/>
      <c r="E154" s="448">
        <v>100</v>
      </c>
      <c r="F154" s="437">
        <v>200</v>
      </c>
      <c r="G154" s="437">
        <v>300</v>
      </c>
      <c r="H154" s="438">
        <v>400</v>
      </c>
      <c r="I154" s="439">
        <v>500</v>
      </c>
      <c r="L154" s="289"/>
      <c r="N154" s="286"/>
      <c r="O154" s="286"/>
      <c r="Q154" s="431"/>
      <c r="R154" s="448">
        <v>100</v>
      </c>
      <c r="S154" s="437">
        <v>200</v>
      </c>
      <c r="T154" s="437">
        <v>300</v>
      </c>
      <c r="U154" s="438">
        <v>400</v>
      </c>
      <c r="V154" s="439">
        <v>500</v>
      </c>
    </row>
    <row r="155" spans="1:22" ht="39" thickBot="1" x14ac:dyDescent="0.3">
      <c r="A155" s="286"/>
      <c r="B155" s="286"/>
      <c r="D155" s="433" t="s">
        <v>603</v>
      </c>
      <c r="E155" s="420" t="s">
        <v>202</v>
      </c>
      <c r="F155" s="440" t="s">
        <v>202</v>
      </c>
      <c r="G155" s="440" t="s">
        <v>202</v>
      </c>
      <c r="H155" s="440" t="s">
        <v>202</v>
      </c>
      <c r="I155" s="441" t="s">
        <v>202</v>
      </c>
      <c r="L155" s="289"/>
      <c r="N155" s="286"/>
      <c r="O155" s="286"/>
      <c r="Q155" s="433" t="s">
        <v>603</v>
      </c>
      <c r="R155" s="420" t="s">
        <v>202</v>
      </c>
      <c r="S155" s="440" t="s">
        <v>202</v>
      </c>
      <c r="T155" s="440" t="s">
        <v>202</v>
      </c>
      <c r="U155" s="440" t="s">
        <v>202</v>
      </c>
      <c r="V155" s="441" t="s">
        <v>202</v>
      </c>
    </row>
    <row r="156" spans="1:22" ht="15" x14ac:dyDescent="0.25">
      <c r="A156" s="286"/>
      <c r="B156" s="286"/>
      <c r="D156" s="423">
        <v>0.13</v>
      </c>
      <c r="E156" s="424">
        <f t="shared" ref="E156:E164" si="3">3.27*(D156^2)-1.12*D156+1.29</f>
        <v>1.1996630000000001</v>
      </c>
      <c r="F156" s="442"/>
      <c r="G156" s="442"/>
      <c r="H156" s="442"/>
      <c r="I156" s="443"/>
      <c r="K156" s="20"/>
      <c r="L156" s="289"/>
      <c r="N156" s="286"/>
      <c r="O156" s="286"/>
      <c r="Q156" s="449">
        <v>0.25</v>
      </c>
      <c r="R156" s="450">
        <f>4.64*(Q156^2)-1.99*Q156+1.43</f>
        <v>1.2224999999999999</v>
      </c>
      <c r="S156" s="451"/>
      <c r="T156" s="451"/>
      <c r="U156" s="451"/>
      <c r="V156" s="452"/>
    </row>
    <row r="157" spans="1:22" ht="15" x14ac:dyDescent="0.25">
      <c r="A157" s="286"/>
      <c r="B157" s="286"/>
      <c r="D157" s="434">
        <v>0.25</v>
      </c>
      <c r="E157" s="426">
        <f t="shared" si="3"/>
        <v>1.214375</v>
      </c>
      <c r="F157" s="444">
        <f t="shared" ref="F157:F164" si="4">6.27*(D157^2)-2.83*D157+3.16</f>
        <v>2.8443750000000003</v>
      </c>
      <c r="G157" s="445"/>
      <c r="H157" s="445"/>
      <c r="I157" s="446"/>
      <c r="K157" s="20"/>
      <c r="L157" s="289"/>
      <c r="N157" s="286"/>
      <c r="O157" s="286"/>
      <c r="Q157" s="459">
        <v>0.49</v>
      </c>
      <c r="R157" s="460">
        <f t="shared" ref="R157:R161" si="5">4.64*(Q157^2)-1.99*Q157+1.43</f>
        <v>1.5689639999999998</v>
      </c>
      <c r="S157" s="453">
        <f>9.12*(Q157^2)-5.55*Q157+4.37</f>
        <v>3.8402119999999997</v>
      </c>
      <c r="T157" s="454"/>
      <c r="U157" s="454"/>
      <c r="V157" s="455"/>
    </row>
    <row r="158" spans="1:22" ht="15" x14ac:dyDescent="0.25">
      <c r="A158" s="286"/>
      <c r="B158" s="286"/>
      <c r="D158" s="434">
        <v>0.34</v>
      </c>
      <c r="E158" s="426">
        <f t="shared" si="3"/>
        <v>1.287212</v>
      </c>
      <c r="F158" s="444">
        <f t="shared" si="4"/>
        <v>2.922612</v>
      </c>
      <c r="G158" s="444">
        <f t="shared" ref="G158:G164" si="6">8.33*(D158^2)-4.06*D158+4.84</f>
        <v>4.4225479999999999</v>
      </c>
      <c r="H158" s="445"/>
      <c r="I158" s="446"/>
      <c r="K158" s="20"/>
      <c r="L158" s="289"/>
      <c r="N158" s="286"/>
      <c r="O158" s="286"/>
      <c r="Q158" s="459">
        <v>0.65</v>
      </c>
      <c r="R158" s="460">
        <f t="shared" si="5"/>
        <v>2.0968999999999998</v>
      </c>
      <c r="S158" s="453">
        <f t="shared" ref="S158:S161" si="7">9.12*(Q158^2)-5.55*Q158+4.37</f>
        <v>4.6157000000000004</v>
      </c>
      <c r="T158" s="453">
        <f>13.14*(Q158^2)-9.57*Q158+8.07</f>
        <v>7.4011500000000003</v>
      </c>
      <c r="U158" s="454"/>
      <c r="V158" s="455"/>
    </row>
    <row r="159" spans="1:22" ht="15" x14ac:dyDescent="0.25">
      <c r="A159" s="286"/>
      <c r="B159" s="286"/>
      <c r="D159" s="434">
        <v>0.42</v>
      </c>
      <c r="E159" s="426">
        <f t="shared" si="3"/>
        <v>1.3964279999999998</v>
      </c>
      <c r="F159" s="444">
        <f t="shared" si="4"/>
        <v>3.0774280000000003</v>
      </c>
      <c r="G159" s="444">
        <f t="shared" si="6"/>
        <v>4.6042119999999995</v>
      </c>
      <c r="H159" s="444">
        <f t="shared" ref="H159:H164" si="8">11.54*(D159^2)-6.78*D159+6.93</f>
        <v>6.1180559999999993</v>
      </c>
      <c r="I159" s="446"/>
      <c r="K159" s="20"/>
      <c r="L159" s="289"/>
      <c r="N159" s="286"/>
      <c r="O159" s="286"/>
      <c r="Q159" s="459">
        <v>0.76</v>
      </c>
      <c r="R159" s="460">
        <f t="shared" si="5"/>
        <v>2.597664</v>
      </c>
      <c r="S159" s="453">
        <f t="shared" si="7"/>
        <v>5.4197119999999996</v>
      </c>
      <c r="T159" s="453">
        <f t="shared" ref="T159:T161" si="9">13.14*(Q159^2)-9.57*Q159+8.07</f>
        <v>8.3864640000000001</v>
      </c>
      <c r="U159" s="453">
        <f>21.3*(Q159^2)-19.22*Q159+13.54</f>
        <v>11.23568</v>
      </c>
      <c r="V159" s="455"/>
    </row>
    <row r="160" spans="1:22" ht="15" x14ac:dyDescent="0.25">
      <c r="A160" s="286"/>
      <c r="B160" s="286"/>
      <c r="D160" s="434">
        <v>0.5</v>
      </c>
      <c r="E160" s="426">
        <f t="shared" si="3"/>
        <v>1.5474999999999999</v>
      </c>
      <c r="F160" s="444">
        <f t="shared" si="4"/>
        <v>3.3125</v>
      </c>
      <c r="G160" s="444">
        <f t="shared" si="6"/>
        <v>4.8925000000000001</v>
      </c>
      <c r="H160" s="444">
        <f t="shared" si="8"/>
        <v>6.4249999999999989</v>
      </c>
      <c r="I160" s="427">
        <f>15.38*(D160^2)-10.83*D160+9.61</f>
        <v>8.0399999999999991</v>
      </c>
      <c r="K160" s="20"/>
      <c r="L160" s="289"/>
      <c r="N160" s="286"/>
      <c r="O160" s="286"/>
      <c r="Q160" s="459">
        <v>0.84</v>
      </c>
      <c r="R160" s="460">
        <f t="shared" si="5"/>
        <v>3.0323839999999991</v>
      </c>
      <c r="S160" s="453">
        <f t="shared" si="7"/>
        <v>6.1430719999999983</v>
      </c>
      <c r="T160" s="453">
        <f t="shared" si="9"/>
        <v>9.3027839999999991</v>
      </c>
      <c r="U160" s="454">
        <f t="shared" ref="U160:U161" si="10">21.3*(Q160^2)-19.22*Q160+13.54</f>
        <v>12.424479999999997</v>
      </c>
      <c r="V160" s="427">
        <f>57.6*(Q160^2)-77.53*Q160+39.42</f>
        <v>14.937360000000005</v>
      </c>
    </row>
    <row r="161" spans="1:22" ht="15.75" thickBot="1" x14ac:dyDescent="0.3">
      <c r="A161" s="286"/>
      <c r="B161" s="286"/>
      <c r="D161" s="435">
        <v>0.6</v>
      </c>
      <c r="E161" s="426">
        <f t="shared" si="3"/>
        <v>1.7951999999999999</v>
      </c>
      <c r="F161" s="444">
        <f t="shared" si="4"/>
        <v>3.7191999999999998</v>
      </c>
      <c r="G161" s="444">
        <f t="shared" si="6"/>
        <v>5.4028000000000009</v>
      </c>
      <c r="H161" s="444">
        <f t="shared" si="8"/>
        <v>7.0164</v>
      </c>
      <c r="I161" s="427">
        <f>15.38*(D161^2)-10.83*D161+9.61</f>
        <v>8.6487999999999996</v>
      </c>
      <c r="K161" s="380"/>
      <c r="L161" s="289"/>
      <c r="N161" s="286"/>
      <c r="O161" s="286"/>
      <c r="Q161" s="461">
        <v>0.9</v>
      </c>
      <c r="R161" s="456">
        <f t="shared" si="5"/>
        <v>3.3974000000000002</v>
      </c>
      <c r="S161" s="457">
        <f t="shared" si="7"/>
        <v>6.7622</v>
      </c>
      <c r="T161" s="457">
        <f t="shared" si="9"/>
        <v>10.1004</v>
      </c>
      <c r="U161" s="458">
        <f t="shared" si="10"/>
        <v>13.495000000000001</v>
      </c>
      <c r="V161" s="429">
        <f>57.6*(Q161^2)-77.53*Q161+39.42</f>
        <v>16.299000000000007</v>
      </c>
    </row>
    <row r="162" spans="1:22" ht="15" x14ac:dyDescent="0.25">
      <c r="A162" s="286"/>
      <c r="B162" s="286"/>
      <c r="D162" s="435">
        <v>0.7</v>
      </c>
      <c r="E162" s="426">
        <f t="shared" si="3"/>
        <v>2.1082999999999998</v>
      </c>
      <c r="F162" s="444">
        <f t="shared" si="4"/>
        <v>4.2512999999999996</v>
      </c>
      <c r="G162" s="444">
        <f t="shared" si="6"/>
        <v>6.0796999999999999</v>
      </c>
      <c r="H162" s="444">
        <f t="shared" si="8"/>
        <v>7.8385999999999987</v>
      </c>
      <c r="I162" s="427">
        <f>15.38*(D162^2)-10.83*D162+9.61</f>
        <v>9.565199999999999</v>
      </c>
      <c r="K162" s="380"/>
      <c r="L162" s="289"/>
      <c r="R162" s="51"/>
      <c r="S162" s="51"/>
      <c r="T162" s="51"/>
      <c r="U162" s="51"/>
    </row>
    <row r="163" spans="1:22" ht="15" x14ac:dyDescent="0.25">
      <c r="A163" s="286"/>
      <c r="B163" s="286"/>
      <c r="D163" s="435">
        <v>0.8</v>
      </c>
      <c r="E163" s="426">
        <f t="shared" si="3"/>
        <v>2.4868000000000006</v>
      </c>
      <c r="F163" s="444">
        <f t="shared" si="4"/>
        <v>4.9088000000000003</v>
      </c>
      <c r="G163" s="444">
        <f t="shared" si="6"/>
        <v>6.9232000000000014</v>
      </c>
      <c r="H163" s="444">
        <f t="shared" si="8"/>
        <v>8.8916000000000004</v>
      </c>
      <c r="I163" s="427">
        <f>15.38*(D163^2)-10.83*D163+9.61</f>
        <v>10.789200000000003</v>
      </c>
      <c r="K163" s="380"/>
      <c r="L163" s="289"/>
      <c r="R163" s="51"/>
      <c r="S163" s="51"/>
      <c r="T163" s="51"/>
      <c r="U163" s="51"/>
    </row>
    <row r="164" spans="1:22" ht="15.75" thickBot="1" x14ac:dyDescent="0.3">
      <c r="A164" s="286"/>
      <c r="B164" s="286"/>
      <c r="D164" s="436">
        <v>0.85</v>
      </c>
      <c r="E164" s="428">
        <f t="shared" si="3"/>
        <v>2.7005749999999997</v>
      </c>
      <c r="F164" s="447">
        <f t="shared" si="4"/>
        <v>5.2845749999999994</v>
      </c>
      <c r="G164" s="447">
        <f t="shared" si="6"/>
        <v>7.4074249999999999</v>
      </c>
      <c r="H164" s="447">
        <f t="shared" si="8"/>
        <v>9.504649999999998</v>
      </c>
      <c r="I164" s="429">
        <f>15.38*(D164^2)-10.83*D164+9.61</f>
        <v>11.516549999999999</v>
      </c>
      <c r="K164" s="380"/>
      <c r="L164" s="289"/>
      <c r="R164" s="51"/>
      <c r="S164" s="51"/>
      <c r="T164" s="51"/>
      <c r="U164" s="51"/>
    </row>
    <row r="165" spans="1:22" ht="15" x14ac:dyDescent="0.25">
      <c r="A165" s="286"/>
      <c r="B165" s="286"/>
      <c r="D165" s="288"/>
      <c r="E165" s="293"/>
      <c r="F165" s="293"/>
      <c r="G165" s="293"/>
      <c r="H165" s="293"/>
      <c r="I165" s="293"/>
      <c r="K165" s="380"/>
      <c r="L165" s="289"/>
      <c r="R165" s="51"/>
      <c r="S165" s="51"/>
      <c r="T165" s="51"/>
      <c r="U165" s="51"/>
    </row>
    <row r="166" spans="1:22" s="80" customFormat="1" x14ac:dyDescent="0.2">
      <c r="R166" s="81"/>
      <c r="S166" s="81"/>
      <c r="T166" s="81"/>
      <c r="U166" s="81"/>
    </row>
    <row r="167" spans="1:22" s="387" customFormat="1" x14ac:dyDescent="0.2">
      <c r="L167" s="297"/>
      <c r="R167" s="391"/>
      <c r="S167" s="391"/>
      <c r="T167" s="391"/>
      <c r="U167" s="391"/>
    </row>
    <row r="168" spans="1:22" s="586" customFormat="1" ht="15.75" x14ac:dyDescent="0.25">
      <c r="A168" s="680" t="s">
        <v>20</v>
      </c>
      <c r="L168" s="683"/>
      <c r="N168" s="680" t="s">
        <v>20</v>
      </c>
      <c r="T168" s="681"/>
      <c r="U168" s="681"/>
    </row>
    <row r="169" spans="1:22" x14ac:dyDescent="0.2">
      <c r="L169" s="289"/>
      <c r="R169" s="51"/>
      <c r="S169" s="51"/>
    </row>
    <row r="170" spans="1:22" ht="13.5" thickBot="1" x14ac:dyDescent="0.25">
      <c r="L170" s="289"/>
      <c r="R170" s="51"/>
      <c r="S170" s="51"/>
    </row>
    <row r="171" spans="1:22" x14ac:dyDescent="0.2">
      <c r="A171" s="56" t="s">
        <v>49</v>
      </c>
      <c r="F171" s="73" t="s">
        <v>603</v>
      </c>
      <c r="G171" s="536" t="s">
        <v>16</v>
      </c>
      <c r="L171" s="289"/>
      <c r="N171" s="56" t="s">
        <v>49</v>
      </c>
      <c r="S171" s="73" t="s">
        <v>603</v>
      </c>
      <c r="T171" s="536" t="s">
        <v>16</v>
      </c>
    </row>
    <row r="172" spans="1:22" x14ac:dyDescent="0.2">
      <c r="A172" s="56" t="s">
        <v>206</v>
      </c>
      <c r="F172" s="74"/>
      <c r="G172" s="538" t="s">
        <v>17</v>
      </c>
      <c r="L172" s="289"/>
      <c r="N172" s="56" t="s">
        <v>216</v>
      </c>
      <c r="S172" s="74"/>
      <c r="T172" s="538" t="s">
        <v>17</v>
      </c>
    </row>
    <row r="173" spans="1:22" ht="13.5" thickBot="1" x14ac:dyDescent="0.25">
      <c r="A173" s="56" t="s">
        <v>204</v>
      </c>
      <c r="F173" s="75"/>
      <c r="G173" s="534" t="s">
        <v>12</v>
      </c>
      <c r="L173" s="289"/>
      <c r="N173" s="56" t="s">
        <v>205</v>
      </c>
      <c r="S173" s="75"/>
      <c r="T173" s="534" t="s">
        <v>12</v>
      </c>
    </row>
    <row r="174" spans="1:22" x14ac:dyDescent="0.2">
      <c r="F174" s="73">
        <v>0</v>
      </c>
      <c r="G174" s="101">
        <f>-6*(F174^2)+10*F174+0.6</f>
        <v>0.6</v>
      </c>
      <c r="L174" s="289"/>
      <c r="S174" s="73">
        <v>0</v>
      </c>
      <c r="T174" s="505">
        <f>24.7*S174^2+1.3*S174</f>
        <v>0</v>
      </c>
    </row>
    <row r="175" spans="1:22" x14ac:dyDescent="0.2">
      <c r="F175" s="74">
        <v>0.02</v>
      </c>
      <c r="G175" s="102">
        <f t="shared" ref="G175:G185" si="11">-6*(F175^2)+10*F175+0.6</f>
        <v>0.79759999999999998</v>
      </c>
      <c r="L175" s="289"/>
      <c r="S175" s="74">
        <v>0.02</v>
      </c>
      <c r="T175" s="102">
        <f t="shared" ref="T175:T185" si="12">24.7*S175^2+1.3*S175</f>
        <v>3.5880000000000002E-2</v>
      </c>
    </row>
    <row r="176" spans="1:22" x14ac:dyDescent="0.2">
      <c r="F176" s="74">
        <v>0.1</v>
      </c>
      <c r="G176" s="102">
        <f t="shared" si="11"/>
        <v>1.54</v>
      </c>
      <c r="L176" s="289"/>
      <c r="S176" s="74">
        <v>0.1</v>
      </c>
      <c r="T176" s="102">
        <f t="shared" si="12"/>
        <v>0.37700000000000006</v>
      </c>
    </row>
    <row r="177" spans="1:21" x14ac:dyDescent="0.2">
      <c r="F177" s="74">
        <v>0.2</v>
      </c>
      <c r="G177" s="102">
        <f t="shared" si="11"/>
        <v>2.36</v>
      </c>
      <c r="L177" s="289"/>
      <c r="S177" s="74">
        <v>0.2</v>
      </c>
      <c r="T177" s="102">
        <f t="shared" si="12"/>
        <v>1.2480000000000002</v>
      </c>
    </row>
    <row r="178" spans="1:21" x14ac:dyDescent="0.2">
      <c r="F178" s="74">
        <v>0.3</v>
      </c>
      <c r="G178" s="102">
        <f t="shared" si="11"/>
        <v>3.06</v>
      </c>
      <c r="L178" s="289"/>
      <c r="S178" s="74">
        <v>0.3</v>
      </c>
      <c r="T178" s="102">
        <f t="shared" si="12"/>
        <v>2.613</v>
      </c>
    </row>
    <row r="179" spans="1:21" x14ac:dyDescent="0.2">
      <c r="F179" s="74">
        <v>0.4</v>
      </c>
      <c r="G179" s="102">
        <f t="shared" si="11"/>
        <v>3.64</v>
      </c>
      <c r="L179" s="289"/>
      <c r="S179" s="74">
        <v>0.4</v>
      </c>
      <c r="T179" s="102">
        <f t="shared" si="12"/>
        <v>4.4720000000000013</v>
      </c>
    </row>
    <row r="180" spans="1:21" x14ac:dyDescent="0.2">
      <c r="F180" s="74">
        <v>0.5</v>
      </c>
      <c r="G180" s="102">
        <f t="shared" si="11"/>
        <v>4.0999999999999996</v>
      </c>
      <c r="L180" s="289"/>
      <c r="S180" s="74">
        <v>0.5</v>
      </c>
      <c r="T180" s="102">
        <f t="shared" si="12"/>
        <v>6.8250000000000002</v>
      </c>
    </row>
    <row r="181" spans="1:21" x14ac:dyDescent="0.2">
      <c r="F181" s="74">
        <v>0.6</v>
      </c>
      <c r="G181" s="102">
        <f t="shared" si="11"/>
        <v>4.4399999999999995</v>
      </c>
      <c r="L181" s="289"/>
      <c r="S181" s="74">
        <v>0.6</v>
      </c>
      <c r="T181" s="102">
        <f t="shared" si="12"/>
        <v>9.6719999999999988</v>
      </c>
    </row>
    <row r="182" spans="1:21" x14ac:dyDescent="0.2">
      <c r="F182" s="74">
        <v>0.7</v>
      </c>
      <c r="G182" s="102">
        <f t="shared" si="11"/>
        <v>4.66</v>
      </c>
      <c r="L182" s="289"/>
      <c r="S182" s="74">
        <v>0.7</v>
      </c>
      <c r="T182" s="102">
        <f t="shared" si="12"/>
        <v>13.012999999999998</v>
      </c>
    </row>
    <row r="183" spans="1:21" x14ac:dyDescent="0.2">
      <c r="F183" s="74">
        <v>0.8</v>
      </c>
      <c r="G183" s="102">
        <f t="shared" si="11"/>
        <v>4.7599999999999989</v>
      </c>
      <c r="L183" s="289"/>
      <c r="S183" s="74">
        <v>0.8</v>
      </c>
      <c r="T183" s="102">
        <f t="shared" si="12"/>
        <v>16.848000000000003</v>
      </c>
    </row>
    <row r="184" spans="1:21" x14ac:dyDescent="0.2">
      <c r="F184" s="74">
        <v>0.85</v>
      </c>
      <c r="G184" s="102">
        <f t="shared" si="11"/>
        <v>4.7650000000000006</v>
      </c>
      <c r="L184" s="289"/>
      <c r="S184" s="74">
        <v>0.85</v>
      </c>
      <c r="T184" s="102">
        <f t="shared" si="12"/>
        <v>18.950749999999999</v>
      </c>
    </row>
    <row r="185" spans="1:21" ht="13.5" thickBot="1" x14ac:dyDescent="0.25">
      <c r="F185" s="75">
        <v>0.91</v>
      </c>
      <c r="G185" s="103">
        <f t="shared" si="11"/>
        <v>4.7313999999999989</v>
      </c>
      <c r="L185" s="289"/>
      <c r="S185" s="75">
        <v>0.9</v>
      </c>
      <c r="T185" s="103">
        <f t="shared" si="12"/>
        <v>21.177000000000003</v>
      </c>
    </row>
    <row r="186" spans="1:21" x14ac:dyDescent="0.2">
      <c r="L186" s="289"/>
    </row>
    <row r="187" spans="1:21" x14ac:dyDescent="0.2">
      <c r="L187" s="289"/>
    </row>
    <row r="188" spans="1:21" s="80" customFormat="1" x14ac:dyDescent="0.2">
      <c r="R188" s="81"/>
      <c r="S188" s="81"/>
      <c r="T188" s="81"/>
      <c r="U188" s="81"/>
    </row>
    <row r="190" spans="1:21" s="586" customFormat="1" ht="15.75" x14ac:dyDescent="0.25">
      <c r="A190" s="680" t="s">
        <v>20</v>
      </c>
      <c r="G190" s="681"/>
      <c r="R190" s="681"/>
      <c r="S190" s="681"/>
      <c r="T190" s="681"/>
      <c r="U190" s="681"/>
    </row>
    <row r="191" spans="1:21" x14ac:dyDescent="0.2">
      <c r="G191" s="69"/>
    </row>
    <row r="192" spans="1:21" ht="13.5" thickBot="1" x14ac:dyDescent="0.25">
      <c r="G192" s="69"/>
    </row>
    <row r="193" spans="1:21" ht="27" customHeight="1" thickBot="1" x14ac:dyDescent="0.25">
      <c r="A193" s="56" t="s">
        <v>49</v>
      </c>
      <c r="E193" s="69"/>
      <c r="F193" s="430"/>
      <c r="G193" s="1071" t="s">
        <v>391</v>
      </c>
      <c r="H193" s="1073"/>
      <c r="O193" s="69"/>
      <c r="P193" s="69"/>
      <c r="Q193" s="69"/>
      <c r="S193" s="51"/>
      <c r="T193" s="51"/>
      <c r="U193" s="51"/>
    </row>
    <row r="194" spans="1:21" ht="13.5" thickBot="1" x14ac:dyDescent="0.25">
      <c r="A194" s="56" t="s">
        <v>217</v>
      </c>
      <c r="E194" s="69"/>
      <c r="F194" s="431"/>
      <c r="G194" s="432">
        <v>100</v>
      </c>
      <c r="H194" s="421">
        <v>200</v>
      </c>
      <c r="O194" s="69"/>
      <c r="P194" s="69"/>
      <c r="Q194" s="69"/>
      <c r="S194" s="51"/>
      <c r="T194" s="51"/>
      <c r="U194" s="51"/>
    </row>
    <row r="195" spans="1:21" ht="39" thickBot="1" x14ac:dyDescent="0.25">
      <c r="A195" s="56" t="s">
        <v>218</v>
      </c>
      <c r="E195" s="69"/>
      <c r="F195" s="433" t="s">
        <v>603</v>
      </c>
      <c r="G195" s="290" t="s">
        <v>202</v>
      </c>
      <c r="H195" s="422" t="s">
        <v>202</v>
      </c>
      <c r="O195" s="69"/>
      <c r="P195" s="69"/>
      <c r="Q195" s="69"/>
      <c r="S195" s="51"/>
      <c r="T195" s="51"/>
      <c r="U195" s="51"/>
    </row>
    <row r="196" spans="1:21" x14ac:dyDescent="0.2">
      <c r="E196" s="69"/>
      <c r="F196" s="423">
        <v>0</v>
      </c>
      <c r="G196" s="424">
        <f>16*F196^2</f>
        <v>0</v>
      </c>
      <c r="H196" s="425">
        <f>20*F196^2+F196</f>
        <v>0</v>
      </c>
      <c r="O196" s="69"/>
      <c r="P196" s="69"/>
      <c r="Q196" s="69"/>
      <c r="S196" s="51"/>
      <c r="T196" s="51"/>
      <c r="U196" s="51"/>
    </row>
    <row r="197" spans="1:21" x14ac:dyDescent="0.2">
      <c r="E197" s="69"/>
      <c r="F197" s="434">
        <v>0.1</v>
      </c>
      <c r="G197" s="426">
        <f t="shared" ref="G197:G204" si="13">16*F197^2</f>
        <v>0.16000000000000003</v>
      </c>
      <c r="H197" s="427">
        <f t="shared" ref="H197:H204" si="14">20*F197^2+F197</f>
        <v>0.30000000000000004</v>
      </c>
      <c r="O197" s="69"/>
      <c r="P197" s="69"/>
      <c r="Q197" s="69"/>
      <c r="S197" s="51"/>
      <c r="T197" s="51"/>
      <c r="U197" s="51"/>
    </row>
    <row r="198" spans="1:21" x14ac:dyDescent="0.2">
      <c r="E198" s="69"/>
      <c r="F198" s="434">
        <v>0.2</v>
      </c>
      <c r="G198" s="426">
        <f t="shared" si="13"/>
        <v>0.64000000000000012</v>
      </c>
      <c r="H198" s="427">
        <f t="shared" si="14"/>
        <v>1.0000000000000002</v>
      </c>
      <c r="O198" s="69"/>
      <c r="P198" s="69"/>
      <c r="Q198" s="69"/>
      <c r="S198" s="51"/>
      <c r="T198" s="51"/>
      <c r="U198" s="51"/>
    </row>
    <row r="199" spans="1:21" x14ac:dyDescent="0.2">
      <c r="E199" s="69"/>
      <c r="F199" s="434">
        <v>0.3</v>
      </c>
      <c r="G199" s="426">
        <f t="shared" si="13"/>
        <v>1.44</v>
      </c>
      <c r="H199" s="427">
        <f t="shared" si="14"/>
        <v>2.0999999999999996</v>
      </c>
      <c r="O199" s="69"/>
      <c r="P199" s="69"/>
      <c r="Q199" s="69"/>
      <c r="S199" s="51"/>
      <c r="T199" s="51"/>
      <c r="U199" s="51"/>
    </row>
    <row r="200" spans="1:21" x14ac:dyDescent="0.2">
      <c r="E200" s="69"/>
      <c r="F200" s="434">
        <v>0.4</v>
      </c>
      <c r="G200" s="426">
        <f t="shared" si="13"/>
        <v>2.5600000000000005</v>
      </c>
      <c r="H200" s="427">
        <f t="shared" si="14"/>
        <v>3.6000000000000005</v>
      </c>
      <c r="O200" s="69"/>
      <c r="P200" s="69"/>
      <c r="Q200" s="69"/>
      <c r="S200" s="51"/>
      <c r="T200" s="51"/>
      <c r="U200" s="51"/>
    </row>
    <row r="201" spans="1:21" x14ac:dyDescent="0.2">
      <c r="E201" s="69"/>
      <c r="F201" s="435">
        <v>0.6</v>
      </c>
      <c r="G201" s="426">
        <f t="shared" si="13"/>
        <v>5.76</v>
      </c>
      <c r="H201" s="427">
        <f t="shared" si="14"/>
        <v>7.7999999999999989</v>
      </c>
      <c r="O201" s="69"/>
      <c r="P201" s="69"/>
      <c r="Q201" s="69"/>
      <c r="S201" s="51"/>
      <c r="T201" s="51"/>
      <c r="U201" s="51"/>
    </row>
    <row r="202" spans="1:21" x14ac:dyDescent="0.2">
      <c r="E202" s="69"/>
      <c r="F202" s="435">
        <v>0.7</v>
      </c>
      <c r="G202" s="426">
        <f t="shared" si="13"/>
        <v>7.839999999999999</v>
      </c>
      <c r="H202" s="427">
        <f t="shared" si="14"/>
        <v>10.499999999999998</v>
      </c>
      <c r="O202" s="69"/>
      <c r="P202" s="69"/>
      <c r="Q202" s="69"/>
      <c r="S202" s="51"/>
      <c r="T202" s="51"/>
      <c r="U202" s="51"/>
    </row>
    <row r="203" spans="1:21" x14ac:dyDescent="0.2">
      <c r="E203" s="69"/>
      <c r="F203" s="435">
        <v>0.8</v>
      </c>
      <c r="G203" s="426">
        <f t="shared" si="13"/>
        <v>10.240000000000002</v>
      </c>
      <c r="H203" s="427">
        <f t="shared" si="14"/>
        <v>13.600000000000003</v>
      </c>
      <c r="O203" s="69"/>
      <c r="P203" s="69"/>
      <c r="Q203" s="69"/>
      <c r="S203" s="51"/>
      <c r="T203" s="51"/>
      <c r="U203" s="51"/>
    </row>
    <row r="204" spans="1:21" ht="13.5" thickBot="1" x14ac:dyDescent="0.25">
      <c r="E204" s="69"/>
      <c r="F204" s="436">
        <v>0.9</v>
      </c>
      <c r="G204" s="428">
        <f t="shared" si="13"/>
        <v>12.96</v>
      </c>
      <c r="H204" s="429">
        <f t="shared" si="14"/>
        <v>17.100000000000001</v>
      </c>
      <c r="O204" s="69"/>
      <c r="P204" s="69"/>
      <c r="Q204" s="69"/>
      <c r="S204" s="51"/>
      <c r="T204" s="51"/>
      <c r="U204" s="51"/>
    </row>
  </sheetData>
  <sheetProtection algorithmName="SHA-512" hashValue="6A62TEe1batfH//gwB7BRhyYCXxV2i/XkgBQ3QT2Y9rCXG7piS6Rc4DpFsnhLD4KAQq7C0UHOH4jlZ2p3M7Pgw==" saltValue="2g0x++HWVq1aLUJk8ixX8w==" spinCount="100000" sheet="1" objects="1" scenarios="1"/>
  <customSheetViews>
    <customSheetView guid="{1D46CCF0-D0A9-4A4B-AB32-CC50C778381E}" showPageBreaks="1" printArea="1">
      <rowBreaks count="1" manualBreakCount="1">
        <brk id="112" max="21" man="1"/>
      </rowBreaks>
      <pageMargins left="0.75" right="0.75" top="1" bottom="1" header="0.5" footer="0.5"/>
      <pageSetup scale="39" fitToHeight="2" orientation="portrait" r:id="rId1"/>
      <headerFooter scaleWithDoc="0" alignWithMargins="0">
        <oddHeader>&amp;C&amp;8 Bridge-Scour Envelope Curve Template</oddHeader>
        <oddFooter>&amp;C&amp;A&amp;RPage &amp;P  of  &amp;N</oddFooter>
      </headerFooter>
    </customSheetView>
  </customSheetViews>
  <mergeCells count="16">
    <mergeCell ref="A54:P55"/>
    <mergeCell ref="G193:H193"/>
    <mergeCell ref="K58:L58"/>
    <mergeCell ref="K59:L59"/>
    <mergeCell ref="K60:L60"/>
    <mergeCell ref="K61:L61"/>
    <mergeCell ref="K62:L62"/>
    <mergeCell ref="G61:H61"/>
    <mergeCell ref="G62:H62"/>
    <mergeCell ref="E153:I153"/>
    <mergeCell ref="R153:V153"/>
    <mergeCell ref="G63:H63"/>
    <mergeCell ref="K63:L63"/>
    <mergeCell ref="G58:H58"/>
    <mergeCell ref="G59:H59"/>
    <mergeCell ref="G60:H60"/>
  </mergeCells>
  <phoneticPr fontId="0" type="noConversion"/>
  <conditionalFormatting sqref="T174">
    <cfRule type="cellIs" dxfId="3" priority="29" stopIfTrue="1" operator="equal">
      <formula>"OUTSIDE RANGE"</formula>
    </cfRule>
  </conditionalFormatting>
  <conditionalFormatting sqref="D156">
    <cfRule type="cellIs" dxfId="2" priority="22" operator="lessThan">
      <formula>0</formula>
    </cfRule>
  </conditionalFormatting>
  <conditionalFormatting sqref="Q156">
    <cfRule type="cellIs" dxfId="1" priority="15" operator="lessThan">
      <formula>0</formula>
    </cfRule>
  </conditionalFormatting>
  <conditionalFormatting sqref="F196">
    <cfRule type="cellIs" dxfId="0" priority="1" operator="lessThan">
      <formula>0</formula>
    </cfRule>
  </conditionalFormatting>
  <pageMargins left="0.75" right="0.75" top="1" bottom="1" header="0.5" footer="0.5"/>
  <pageSetup scale="39" fitToHeight="2" orientation="portrait" r:id="rId2"/>
  <headerFooter scaleWithDoc="0" alignWithMargins="0">
    <oddHeader>&amp;C&amp;8 Bridge-Scour Envelope Curve Template</oddHeader>
    <oddFooter>&amp;C&amp;A&amp;RPage &amp;P  of  &amp;N</oddFooter>
  </headerFooter>
  <rowBreaks count="1" manualBreakCount="1">
    <brk id="112" max="2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AW30"/>
  <sheetViews>
    <sheetView zoomScaleNormal="100" zoomScaleSheetLayoutView="20" zoomScalePageLayoutView="40" workbookViewId="0">
      <pane xSplit="5" topLeftCell="V1" activePane="topRight" state="frozen"/>
      <selection activeCell="L34" sqref="L34"/>
      <selection pane="topRight"/>
    </sheetView>
  </sheetViews>
  <sheetFormatPr defaultColWidth="9.140625" defaultRowHeight="12.75" x14ac:dyDescent="0.2"/>
  <cols>
    <col min="1" max="1" width="4.7109375" style="28" customWidth="1"/>
    <col min="2" max="2" width="16.28515625" style="230" bestFit="1" customWidth="1"/>
    <col min="3" max="3" width="16.42578125" style="105" customWidth="1"/>
    <col min="4" max="4" width="11.28515625" style="105" customWidth="1"/>
    <col min="5" max="5" width="32.85546875" style="105" customWidth="1"/>
    <col min="6" max="6" width="10.7109375" style="105" customWidth="1"/>
    <col min="7" max="7" width="12.7109375" style="105" bestFit="1" customWidth="1"/>
    <col min="8" max="8" width="11.28515625" style="105" customWidth="1"/>
    <col min="9" max="9" width="17.5703125" style="105" bestFit="1" customWidth="1"/>
    <col min="10" max="10" width="11.140625" style="105" bestFit="1" customWidth="1"/>
    <col min="11" max="12" width="11.140625" style="105" customWidth="1"/>
    <col min="13" max="13" width="9.42578125" style="105" bestFit="1" customWidth="1"/>
    <col min="14" max="14" width="11.5703125" style="105" bestFit="1" customWidth="1"/>
    <col min="15" max="15" width="23.140625" style="105" customWidth="1"/>
    <col min="16" max="16" width="17.140625" style="105" customWidth="1"/>
    <col min="17" max="17" width="20.28515625" style="105" bestFit="1" customWidth="1"/>
    <col min="18" max="18" width="14.7109375" style="105" customWidth="1"/>
    <col min="19" max="19" width="14.28515625" style="105" customWidth="1"/>
    <col min="20" max="20" width="16.28515625" style="105" bestFit="1" customWidth="1"/>
    <col min="21" max="40" width="15.7109375" style="105" customWidth="1"/>
    <col min="41" max="41" width="16.28515625" style="105" bestFit="1" customWidth="1"/>
    <col min="42" max="42" width="15.5703125" style="28" customWidth="1"/>
    <col min="43" max="43" width="15.28515625" style="28" customWidth="1"/>
    <col min="44" max="44" width="14.7109375" style="28" customWidth="1"/>
    <col min="45" max="45" width="15.28515625" style="28" customWidth="1"/>
    <col min="46" max="49" width="14.7109375" style="28" customWidth="1"/>
    <col min="50" max="16384" width="9.140625" style="28"/>
  </cols>
  <sheetData>
    <row r="1" spans="2:49" x14ac:dyDescent="0.2">
      <c r="C1" s="104" t="s">
        <v>61</v>
      </c>
    </row>
    <row r="3" spans="2:49" ht="13.5" thickBot="1" x14ac:dyDescent="0.25"/>
    <row r="4" spans="2:49" s="137" customFormat="1" ht="64.5" thickBot="1" x14ac:dyDescent="0.25">
      <c r="B4" s="233" t="s">
        <v>137</v>
      </c>
      <c r="C4" s="232" t="s">
        <v>138</v>
      </c>
      <c r="D4" s="116" t="s">
        <v>139</v>
      </c>
      <c r="E4" s="115" t="s">
        <v>140</v>
      </c>
      <c r="F4" s="115" t="s">
        <v>132</v>
      </c>
      <c r="G4" s="115" t="s">
        <v>133</v>
      </c>
      <c r="H4" s="115" t="s">
        <v>141</v>
      </c>
      <c r="I4" s="115" t="s">
        <v>88</v>
      </c>
      <c r="J4" s="115" t="s">
        <v>142</v>
      </c>
      <c r="K4" s="115" t="s">
        <v>277</v>
      </c>
      <c r="L4" s="115" t="s">
        <v>291</v>
      </c>
      <c r="M4" s="115" t="s">
        <v>153</v>
      </c>
      <c r="N4" s="116" t="s">
        <v>143</v>
      </c>
      <c r="O4" s="115" t="s">
        <v>225</v>
      </c>
      <c r="P4" s="115" t="s">
        <v>226</v>
      </c>
      <c r="Q4" s="115" t="s">
        <v>302</v>
      </c>
      <c r="R4" s="115" t="s">
        <v>301</v>
      </c>
      <c r="S4" s="115" t="s">
        <v>303</v>
      </c>
      <c r="T4" s="117" t="s">
        <v>638</v>
      </c>
      <c r="U4" s="117" t="s">
        <v>639</v>
      </c>
      <c r="V4" s="118" t="s">
        <v>640</v>
      </c>
      <c r="W4" s="117" t="s">
        <v>641</v>
      </c>
      <c r="X4" s="117" t="s">
        <v>642</v>
      </c>
      <c r="Y4" s="117" t="s">
        <v>643</v>
      </c>
      <c r="Z4" s="117" t="s">
        <v>154</v>
      </c>
      <c r="AA4" s="118" t="s">
        <v>155</v>
      </c>
      <c r="AB4" s="117" t="s">
        <v>315</v>
      </c>
      <c r="AC4" s="118" t="s">
        <v>156</v>
      </c>
      <c r="AD4" s="117" t="s">
        <v>227</v>
      </c>
      <c r="AE4" s="117" t="s">
        <v>228</v>
      </c>
      <c r="AF4" s="117" t="s">
        <v>157</v>
      </c>
      <c r="AG4" s="118" t="s">
        <v>158</v>
      </c>
      <c r="AH4" s="117" t="s">
        <v>316</v>
      </c>
      <c r="AI4" s="118" t="s">
        <v>159</v>
      </c>
      <c r="AJ4" s="117" t="s">
        <v>229</v>
      </c>
      <c r="AK4" s="117" t="s">
        <v>230</v>
      </c>
      <c r="AL4" s="117" t="s">
        <v>644</v>
      </c>
      <c r="AM4" s="118" t="s">
        <v>645</v>
      </c>
      <c r="AN4" s="117" t="s">
        <v>223</v>
      </c>
      <c r="AO4" s="118" t="s">
        <v>224</v>
      </c>
      <c r="AP4" s="117" t="s">
        <v>219</v>
      </c>
      <c r="AQ4" s="117" t="s">
        <v>220</v>
      </c>
      <c r="AR4" s="117" t="s">
        <v>221</v>
      </c>
      <c r="AS4" s="117" t="s">
        <v>222</v>
      </c>
      <c r="AT4" s="117" t="s">
        <v>160</v>
      </c>
      <c r="AU4" s="118" t="s">
        <v>161</v>
      </c>
      <c r="AV4" s="117" t="s">
        <v>162</v>
      </c>
      <c r="AW4" s="119" t="s">
        <v>163</v>
      </c>
    </row>
    <row r="5" spans="2:49" s="244" customFormat="1" ht="40.15" customHeight="1" thickBot="1" x14ac:dyDescent="0.25">
      <c r="B5" s="237">
        <f>'CW Abutment Scour'!F6</f>
        <v>0</v>
      </c>
      <c r="C5" s="238">
        <f>'CW Abutment Scour'!F7</f>
        <v>0</v>
      </c>
      <c r="D5" s="239">
        <f>'CW Abutment Scour'!I7</f>
        <v>0</v>
      </c>
      <c r="E5" s="239">
        <f>'CW Abutment Scour'!I6</f>
        <v>0</v>
      </c>
      <c r="F5" s="240">
        <f>'CW Abutment Scour'!F12</f>
        <v>0</v>
      </c>
      <c r="G5" s="241">
        <f>'CW Abutment Scour'!F13</f>
        <v>0</v>
      </c>
      <c r="H5" s="410">
        <f>'CW Abutment Scour'!N6</f>
        <v>0</v>
      </c>
      <c r="I5" s="239">
        <f>'CW Abutment Scour'!F10</f>
        <v>0</v>
      </c>
      <c r="J5" s="241">
        <f>'Site Info'!J9</f>
        <v>0</v>
      </c>
      <c r="K5" s="241">
        <f>'Site Info'!J10</f>
        <v>0</v>
      </c>
      <c r="L5" s="241">
        <f>'Site Info'!J11</f>
        <v>0</v>
      </c>
      <c r="M5" s="241">
        <f>'CW Abutment Scour'!N9</f>
        <v>0</v>
      </c>
      <c r="N5" s="240">
        <f>'CW Abutment Scour'!N11</f>
        <v>0</v>
      </c>
      <c r="O5" s="378" t="str">
        <f>'CW Abutment Scour'!M14</f>
        <v>DA IN RANGE</v>
      </c>
      <c r="P5" s="378" t="str">
        <f>'CW Abutment Scour'!M15</f>
        <v>DA IN RANGE</v>
      </c>
      <c r="Q5" s="378" t="str">
        <f>IF(OR('Site Info'!F40="No",ISBLANK('Site Info'!F40)),"No Data",IF('Site Info'!F40="Yes",'Site Info'!F41))</f>
        <v>No Data</v>
      </c>
      <c r="R5" s="378" t="str">
        <f>IF(OR('Site Info'!F63="No",ISBLANK('Site Info'!F63)),"No Data",IF('Site Info'!F63="Yes",'Site Info'!F64))</f>
        <v>No Data</v>
      </c>
      <c r="S5" s="378" t="str">
        <f>IF(OR('Site Info'!F80="No",ISBLANK('Site Info'!F80)),"No Data",IF('Site Info'!F80="Yes",'Site Info'!F81))</f>
        <v>No Data</v>
      </c>
      <c r="T5" s="242" t="str">
        <f>'CW Abutment Scour'!J22</f>
        <v>No Data</v>
      </c>
      <c r="U5" s="242" t="str">
        <f>'CW Abutment Scour'!J23</f>
        <v>No Data</v>
      </c>
      <c r="V5" s="242" t="str">
        <f>'CW Abutment Scour'!J24</f>
        <v>No Data</v>
      </c>
      <c r="W5" s="242" t="str">
        <f>'CW Abutment Scour'!J25</f>
        <v>No Data</v>
      </c>
      <c r="X5" s="240" t="str">
        <f>'CW Abutment Scour'!J27</f>
        <v>OUTSIDE RANGE</v>
      </c>
      <c r="Y5" s="240" t="str">
        <f>'CW Abutment Scour'!J28</f>
        <v>OUTSIDE RANGE</v>
      </c>
      <c r="Z5" s="240" t="str">
        <f>'CW Abutment Scour'!K51</f>
        <v>No Data</v>
      </c>
      <c r="AA5" s="240" t="str">
        <f>'CW Abutment Scour'!K52</f>
        <v>No Data</v>
      </c>
      <c r="AB5" s="240" t="str">
        <f>'CW Abutment Scour'!K53</f>
        <v>No Data</v>
      </c>
      <c r="AC5" s="243" t="str">
        <f>'CW Abutment Scour'!K54</f>
        <v>No Data</v>
      </c>
      <c r="AD5" s="240" t="str">
        <f>'CW Abutment Scour'!K56</f>
        <v>OUTSIDE RANGE</v>
      </c>
      <c r="AE5" s="240" t="str">
        <f>'CW Abutment Scour'!K58</f>
        <v>OUTSIDE RANGE</v>
      </c>
      <c r="AF5" s="240" t="str">
        <f>'CW Abutment Scour'!N51</f>
        <v>No Data</v>
      </c>
      <c r="AG5" s="240" t="str">
        <f>'CW Abutment Scour'!N52</f>
        <v>No Data</v>
      </c>
      <c r="AH5" s="240" t="str">
        <f>'CW Abutment Scour'!N53</f>
        <v>No Data</v>
      </c>
      <c r="AI5" s="243" t="str">
        <f>'CW Abutment Scour'!N54</f>
        <v>No Data</v>
      </c>
      <c r="AJ5" s="240" t="str">
        <f>'CW Abutment Scour'!N56</f>
        <v>OUTSIDE RANGE</v>
      </c>
      <c r="AK5" s="240" t="str">
        <f>'CW Abutment Scour'!N58</f>
        <v>OUTSIDE RANGE</v>
      </c>
      <c r="AL5" s="242" t="str">
        <f>'CW Abutment Scour'!J87</f>
        <v>N/A</v>
      </c>
      <c r="AM5" s="242" t="str">
        <f>'CW Abutment Scour'!M87</f>
        <v>N/A</v>
      </c>
      <c r="AN5" s="242" t="str">
        <f>'CW Abutment Scour'!J86</f>
        <v>N/A</v>
      </c>
      <c r="AO5" s="242" t="str">
        <f>'CW Abutment Scour'!M86</f>
        <v>N/A</v>
      </c>
      <c r="AP5" s="242" t="str">
        <f>'CW Abutment Scour'!J92</f>
        <v>N/A</v>
      </c>
      <c r="AQ5" s="242" t="str">
        <f>'CW Abutment Scour'!M92</f>
        <v>N/A</v>
      </c>
      <c r="AR5" s="837" t="str">
        <f>'CW Abutment Scour'!J93</f>
        <v>N/A</v>
      </c>
      <c r="AS5" s="242" t="str">
        <f>'CW Abutment Scour'!M93</f>
        <v>N/A</v>
      </c>
      <c r="AT5" s="242" t="str">
        <f>'CW Abutment Scour'!J99</f>
        <v>N/A</v>
      </c>
      <c r="AU5" s="242" t="str">
        <f>'CW Abutment Scour'!M99</f>
        <v>N/A</v>
      </c>
      <c r="AV5" s="242" t="str">
        <f>'CW Abutment Scour'!J139</f>
        <v>N/A</v>
      </c>
      <c r="AW5" s="242" t="str">
        <f>'CW Abutment Scour'!M139</f>
        <v>N/A</v>
      </c>
    </row>
    <row r="6" spans="2:49" s="107" customFormat="1" ht="13.5" thickBot="1" x14ac:dyDescent="0.25">
      <c r="B6" s="231"/>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row>
    <row r="7" spans="2:49" ht="13.5" thickTop="1" x14ac:dyDescent="0.2"/>
    <row r="8" spans="2:49" x14ac:dyDescent="0.2">
      <c r="C8" s="104" t="s">
        <v>60</v>
      </c>
    </row>
    <row r="9" spans="2:49" x14ac:dyDescent="0.2">
      <c r="AL9" s="12"/>
    </row>
    <row r="10" spans="2:49" ht="13.5" thickBot="1" x14ac:dyDescent="0.25"/>
    <row r="11" spans="2:49" s="113" customFormat="1" ht="66" customHeight="1" thickBot="1" x14ac:dyDescent="0.25">
      <c r="B11" s="233" t="s">
        <v>137</v>
      </c>
      <c r="C11" s="232" t="s">
        <v>138</v>
      </c>
      <c r="D11" s="116" t="s">
        <v>139</v>
      </c>
      <c r="E11" s="115" t="s">
        <v>140</v>
      </c>
      <c r="F11" s="115" t="s">
        <v>132</v>
      </c>
      <c r="G11" s="115" t="s">
        <v>133</v>
      </c>
      <c r="H11" s="115" t="s">
        <v>141</v>
      </c>
      <c r="I11" s="115" t="s">
        <v>88</v>
      </c>
      <c r="J11" s="115" t="s">
        <v>142</v>
      </c>
      <c r="K11" s="115" t="s">
        <v>277</v>
      </c>
      <c r="L11" s="115" t="s">
        <v>291</v>
      </c>
      <c r="M11" s="115" t="s">
        <v>153</v>
      </c>
      <c r="N11" s="116" t="s">
        <v>143</v>
      </c>
      <c r="O11" s="115" t="s">
        <v>144</v>
      </c>
      <c r="P11" s="117" t="s">
        <v>638</v>
      </c>
      <c r="Q11" s="117" t="s">
        <v>639</v>
      </c>
      <c r="R11" s="118" t="s">
        <v>640</v>
      </c>
      <c r="S11" s="117" t="s">
        <v>641</v>
      </c>
      <c r="T11" s="117" t="s">
        <v>646</v>
      </c>
      <c r="U11" s="117" t="s">
        <v>164</v>
      </c>
      <c r="V11" s="119" t="s">
        <v>165</v>
      </c>
      <c r="W11" s="117" t="s">
        <v>166</v>
      </c>
      <c r="X11" s="119" t="s">
        <v>167</v>
      </c>
    </row>
    <row r="12" spans="2:49" s="246" customFormat="1" ht="40.15" customHeight="1" thickBot="1" x14ac:dyDescent="0.25">
      <c r="B12" s="237">
        <f>'CW Contraction Scour'!F6</f>
        <v>0</v>
      </c>
      <c r="C12" s="245">
        <f>'CW Contraction Scour'!F7</f>
        <v>0</v>
      </c>
      <c r="D12" s="241">
        <f>'CW Contraction Scour'!I7</f>
        <v>0</v>
      </c>
      <c r="E12" s="241">
        <f>'CW Contraction Scour'!I6</f>
        <v>0</v>
      </c>
      <c r="F12" s="241">
        <f>'Site Info'!E11</f>
        <v>0</v>
      </c>
      <c r="G12" s="241">
        <f>'Site Info'!E12</f>
        <v>0</v>
      </c>
      <c r="H12" s="410">
        <f>+'CW Contraction Scour'!M6</f>
        <v>0</v>
      </c>
      <c r="I12" s="241">
        <f>'Site Info'!G9</f>
        <v>0</v>
      </c>
      <c r="J12" s="241">
        <f>'Site Info'!J9</f>
        <v>0</v>
      </c>
      <c r="K12" s="241">
        <f>'Site Info'!J10</f>
        <v>0</v>
      </c>
      <c r="L12" s="241">
        <f>'Site Info'!J11</f>
        <v>0</v>
      </c>
      <c r="M12" s="240">
        <f>'Site Info'!N9</f>
        <v>0</v>
      </c>
      <c r="N12" s="240">
        <f>'Site Info'!N11</f>
        <v>0</v>
      </c>
      <c r="O12" s="378" t="str">
        <f>'CW Contraction Scour'!M12</f>
        <v>DA IN RANGE</v>
      </c>
      <c r="P12" s="242" t="str">
        <f>'CW Contraction Scour'!I19</f>
        <v>No Data</v>
      </c>
      <c r="Q12" s="242" t="str">
        <f>'CW Contraction Scour'!I20</f>
        <v>No Data</v>
      </c>
      <c r="R12" s="242" t="str">
        <f>'CW Contraction Scour'!I21</f>
        <v>No Data</v>
      </c>
      <c r="S12" s="242" t="str">
        <f>'CW Contraction Scour'!I22</f>
        <v>No Data</v>
      </c>
      <c r="T12" s="240" t="str">
        <f>'CW Contraction Scour'!I23</f>
        <v>OUTSIDE RANGE</v>
      </c>
      <c r="U12" s="837" t="str">
        <f>'CW Contraction Scour'!K43</f>
        <v>N/A</v>
      </c>
      <c r="V12" s="839" t="str">
        <f>'CW Contraction Scour'!M43</f>
        <v>N/A</v>
      </c>
      <c r="W12" s="837" t="str">
        <f>'CW Contraction Scour'!K45</f>
        <v>N/A</v>
      </c>
      <c r="X12" s="839" t="str">
        <f>'CW Contraction Scour'!M45</f>
        <v>N/A</v>
      </c>
    </row>
    <row r="13" spans="2:49" s="107" customFormat="1" ht="13.5" thickBot="1" x14ac:dyDescent="0.25">
      <c r="B13" s="231"/>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row>
    <row r="14" spans="2:49" ht="13.5" thickTop="1" x14ac:dyDescent="0.2">
      <c r="AO14" s="28"/>
    </row>
    <row r="15" spans="2:49" x14ac:dyDescent="0.2">
      <c r="C15" s="104" t="s">
        <v>62</v>
      </c>
      <c r="AO15" s="28"/>
    </row>
    <row r="16" spans="2:49" x14ac:dyDescent="0.2">
      <c r="AO16" s="28"/>
    </row>
    <row r="17" spans="2:42" ht="13.5" thickBot="1" x14ac:dyDescent="0.25">
      <c r="AO17" s="28"/>
    </row>
    <row r="18" spans="2:42" s="113" customFormat="1" ht="66" customHeight="1" thickBot="1" x14ac:dyDescent="0.25">
      <c r="B18" s="233" t="s">
        <v>137</v>
      </c>
      <c r="C18" s="232" t="s">
        <v>138</v>
      </c>
      <c r="D18" s="116" t="s">
        <v>139</v>
      </c>
      <c r="E18" s="115" t="s">
        <v>140</v>
      </c>
      <c r="F18" s="115" t="s">
        <v>132</v>
      </c>
      <c r="G18" s="115" t="s">
        <v>133</v>
      </c>
      <c r="H18" s="115" t="s">
        <v>141</v>
      </c>
      <c r="I18" s="115" t="s">
        <v>88</v>
      </c>
      <c r="J18" s="115" t="s">
        <v>142</v>
      </c>
      <c r="K18" s="115" t="s">
        <v>277</v>
      </c>
      <c r="L18" s="115" t="s">
        <v>291</v>
      </c>
      <c r="M18" s="115" t="s">
        <v>153</v>
      </c>
      <c r="N18" s="116" t="s">
        <v>143</v>
      </c>
      <c r="O18" s="115" t="s">
        <v>231</v>
      </c>
      <c r="P18" s="115" t="s">
        <v>232</v>
      </c>
      <c r="Q18" s="117" t="s">
        <v>638</v>
      </c>
      <c r="R18" s="117" t="s">
        <v>639</v>
      </c>
      <c r="S18" s="118" t="s">
        <v>640</v>
      </c>
      <c r="T18" s="117" t="s">
        <v>641</v>
      </c>
      <c r="U18" s="117" t="s">
        <v>647</v>
      </c>
      <c r="V18" s="117" t="s">
        <v>648</v>
      </c>
      <c r="W18" s="163" t="s">
        <v>233</v>
      </c>
      <c r="X18" s="163" t="s">
        <v>234</v>
      </c>
      <c r="Y18" s="164" t="s">
        <v>168</v>
      </c>
    </row>
    <row r="19" spans="2:42" s="247" customFormat="1" ht="40.15" customHeight="1" thickBot="1" x14ac:dyDescent="0.25">
      <c r="B19" s="237">
        <f>'LB Contraction Scour'!F6</f>
        <v>0</v>
      </c>
      <c r="C19" s="245">
        <f>'LB Contraction Scour'!F7</f>
        <v>0</v>
      </c>
      <c r="D19" s="241">
        <f>'LB Contraction Scour'!I7</f>
        <v>0</v>
      </c>
      <c r="E19" s="241">
        <f>'LB Contraction Scour'!I6</f>
        <v>0</v>
      </c>
      <c r="F19" s="241">
        <f>'Site Info'!E11</f>
        <v>0</v>
      </c>
      <c r="G19" s="241">
        <f>'Site Info'!E12</f>
        <v>0</v>
      </c>
      <c r="H19" s="410">
        <f>'LB Contraction Scour'!M6</f>
        <v>0</v>
      </c>
      <c r="I19" s="241">
        <f>'Site Info'!G9</f>
        <v>0</v>
      </c>
      <c r="J19" s="241">
        <f>'Site Info'!J9</f>
        <v>0</v>
      </c>
      <c r="K19" s="241">
        <f>'Site Info'!J10</f>
        <v>0</v>
      </c>
      <c r="L19" s="241">
        <f>'Site Info'!J11</f>
        <v>0</v>
      </c>
      <c r="M19" s="241">
        <f>'Site Info'!N9</f>
        <v>0</v>
      </c>
      <c r="N19" s="241">
        <f>'Site Info'!N11</f>
        <v>0</v>
      </c>
      <c r="O19" s="408" t="str">
        <f>'LB Contraction Scour'!M13</f>
        <v>DA IN RANGE</v>
      </c>
      <c r="P19" s="408" t="str">
        <f>'LB Contraction Scour'!M14</f>
        <v>DA IN RANGE</v>
      </c>
      <c r="Q19" s="242" t="str">
        <f>'LB Contraction Scour'!K21</f>
        <v>No Data</v>
      </c>
      <c r="R19" s="242" t="str">
        <f>'LB Contraction Scour'!K22</f>
        <v>No Data</v>
      </c>
      <c r="S19" s="242" t="str">
        <f>'LB Contraction Scour'!K23</f>
        <v>No Data</v>
      </c>
      <c r="T19" s="242" t="str">
        <f>'LB Contraction Scour'!K24</f>
        <v>No Data</v>
      </c>
      <c r="U19" s="240" t="str">
        <f>'LB Contraction Scour'!L26</f>
        <v>OUTSIDE RANGE</v>
      </c>
      <c r="V19" s="317" t="str">
        <f>'LB Contraction Scour'!L27</f>
        <v>OK</v>
      </c>
      <c r="W19" s="840" t="str">
        <f>'LB Contraction Scour'!L51</f>
        <v>N/A</v>
      </c>
      <c r="X19" s="841" t="str">
        <f>'LB Contraction Scour'!L54</f>
        <v>N/A</v>
      </c>
      <c r="Y19" s="842" t="str">
        <f>'LB Contraction Scour'!L58</f>
        <v>N/A</v>
      </c>
    </row>
    <row r="20" spans="2:42" s="107" customFormat="1" ht="13.5" thickBot="1" x14ac:dyDescent="0.25">
      <c r="B20" s="231"/>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row>
    <row r="21" spans="2:42" ht="13.5" thickTop="1" x14ac:dyDescent="0.2"/>
    <row r="23" spans="2:42" x14ac:dyDescent="0.2">
      <c r="C23" s="104" t="s">
        <v>86</v>
      </c>
      <c r="AC23" s="228" t="s">
        <v>126</v>
      </c>
      <c r="AE23" s="104"/>
    </row>
    <row r="24" spans="2:42" ht="13.5" thickBot="1" x14ac:dyDescent="0.25"/>
    <row r="25" spans="2:42" s="135" customFormat="1" ht="99" customHeight="1" thickBot="1" x14ac:dyDescent="0.25">
      <c r="B25" s="233" t="s">
        <v>137</v>
      </c>
      <c r="C25" s="232" t="s">
        <v>138</v>
      </c>
      <c r="D25" s="116" t="s">
        <v>139</v>
      </c>
      <c r="E25" s="115" t="s">
        <v>140</v>
      </c>
      <c r="F25" s="115" t="s">
        <v>132</v>
      </c>
      <c r="G25" s="115" t="s">
        <v>133</v>
      </c>
      <c r="H25" s="115" t="s">
        <v>141</v>
      </c>
      <c r="I25" s="115" t="s">
        <v>88</v>
      </c>
      <c r="J25" s="115" t="s">
        <v>142</v>
      </c>
      <c r="K25" s="115" t="s">
        <v>277</v>
      </c>
      <c r="L25" s="115" t="s">
        <v>291</v>
      </c>
      <c r="M25" s="115" t="s">
        <v>153</v>
      </c>
      <c r="N25" s="116" t="s">
        <v>143</v>
      </c>
      <c r="O25" s="379" t="s">
        <v>145</v>
      </c>
      <c r="P25" s="379" t="s">
        <v>146</v>
      </c>
      <c r="Q25" s="379" t="s">
        <v>147</v>
      </c>
      <c r="R25" s="379" t="s">
        <v>119</v>
      </c>
      <c r="S25" s="379" t="s">
        <v>148</v>
      </c>
      <c r="T25" s="379" t="s">
        <v>45</v>
      </c>
      <c r="U25" s="379" t="s">
        <v>149</v>
      </c>
      <c r="V25" s="379" t="s">
        <v>169</v>
      </c>
      <c r="W25" s="379" t="s">
        <v>48</v>
      </c>
      <c r="X25" s="379" t="s">
        <v>150</v>
      </c>
      <c r="Y25" s="379"/>
      <c r="Z25" s="379" t="s">
        <v>151</v>
      </c>
      <c r="AA25" s="379" t="s">
        <v>260</v>
      </c>
      <c r="AB25" s="111" t="s">
        <v>152</v>
      </c>
      <c r="AC25" s="112" t="s">
        <v>170</v>
      </c>
      <c r="AD25" s="114" t="s">
        <v>125</v>
      </c>
      <c r="AE25" s="379" t="s">
        <v>171</v>
      </c>
      <c r="AF25" s="379" t="s">
        <v>124</v>
      </c>
      <c r="AG25" s="379" t="s">
        <v>172</v>
      </c>
      <c r="AH25" s="379" t="s">
        <v>278</v>
      </c>
      <c r="AI25" s="379" t="s">
        <v>173</v>
      </c>
      <c r="AJ25" s="227" t="s">
        <v>123</v>
      </c>
      <c r="AK25" s="379" t="s">
        <v>174</v>
      </c>
      <c r="AL25" s="379" t="s">
        <v>175</v>
      </c>
      <c r="AM25" s="379" t="s">
        <v>176</v>
      </c>
      <c r="AN25" s="133" t="s">
        <v>177</v>
      </c>
      <c r="AO25" s="379" t="s">
        <v>294</v>
      </c>
      <c r="AP25" s="139" t="s">
        <v>178</v>
      </c>
    </row>
    <row r="26" spans="2:42" s="136" customFormat="1" ht="18" customHeight="1" x14ac:dyDescent="0.2">
      <c r="B26" s="236">
        <f>+'Site Info'!E6</f>
        <v>0</v>
      </c>
      <c r="C26" s="234">
        <f>+'Site Info'!E7</f>
        <v>0</v>
      </c>
      <c r="D26" s="120">
        <f>+'Site Info'!I7</f>
        <v>0</v>
      </c>
      <c r="E26" s="120">
        <f>+'Site Info'!I6</f>
        <v>0</v>
      </c>
      <c r="F26" s="122">
        <f>'Site Info'!E11</f>
        <v>0</v>
      </c>
      <c r="G26" s="122">
        <f>'Site Info'!E12</f>
        <v>0</v>
      </c>
      <c r="H26" s="411">
        <f>+'Site Info'!N6</f>
        <v>0</v>
      </c>
      <c r="I26" s="121">
        <f>'Site Info'!G9</f>
        <v>0</v>
      </c>
      <c r="J26" s="122">
        <f>'Site Info'!J9</f>
        <v>0</v>
      </c>
      <c r="K26" s="122">
        <f>'Site Info'!J10</f>
        <v>0</v>
      </c>
      <c r="L26" s="122">
        <f>'Site Info'!J11</f>
        <v>0</v>
      </c>
      <c r="M26" s="122">
        <f>'Site Info'!N9</f>
        <v>0</v>
      </c>
      <c r="N26" s="123">
        <f>'Site Info'!N11</f>
        <v>0</v>
      </c>
      <c r="O26" s="123" t="str">
        <f>'Pier Scour'!F28</f>
        <v>LABUT</v>
      </c>
      <c r="P26" s="123" t="str">
        <f>'Pier Scour'!F29</f>
        <v>Tower Bent</v>
      </c>
      <c r="Q26" s="123" t="str">
        <f>'Pier Scour'!F30</f>
        <v>Automatic Calculation</v>
      </c>
      <c r="R26" s="123">
        <f>IF(P26="No Pier or Bent","N/A",'Pier Scour'!F31)</f>
        <v>15</v>
      </c>
      <c r="S26" s="123">
        <f>IF(P26="No Pier or Bent","N/A",'Pier Scour'!F32)</f>
        <v>16</v>
      </c>
      <c r="T26" s="123">
        <f>IF(P26="No Pier or Bent","N/A",'Pier Scour'!F33)</f>
        <v>15</v>
      </c>
      <c r="U26" s="123" t="str">
        <f>IF(P26="No Pier or Bent","N/A",'Pier Scour'!F34)</f>
        <v>Yes</v>
      </c>
      <c r="V26" s="123">
        <f>IF(P26="No Pier or Bent","N/A",'Pier Scour'!F35)</f>
        <v>30</v>
      </c>
      <c r="W26" s="392">
        <f>'Pier Scour'!F36</f>
        <v>2</v>
      </c>
      <c r="X26" s="392">
        <f>'Pier Scour'!F37</f>
        <v>1.1512745859219016</v>
      </c>
      <c r="Y26" s="851"/>
      <c r="Z26" s="392">
        <f>'Pier Scour'!F38</f>
        <v>1.1512745859219016</v>
      </c>
      <c r="AA26" s="392" t="str">
        <f>'Pier Scour'!F39</f>
        <v>PSDb-2014</v>
      </c>
      <c r="AB26" s="843">
        <f>'Pier Scour'!F40</f>
        <v>24.027103982154301</v>
      </c>
      <c r="AC26" s="844">
        <f>'Pier Scour'!F41</f>
        <v>27.661794187957167</v>
      </c>
      <c r="AD26" s="124" t="str">
        <f>'Penetration Table'!D38</f>
        <v>Yes</v>
      </c>
      <c r="AE26" s="843" t="str">
        <f>'Penetration Table'!E38</f>
        <v>N/A</v>
      </c>
      <c r="AF26" s="392" t="str">
        <f>'Penetration Table'!F38</f>
        <v>No</v>
      </c>
      <c r="AG26" s="843">
        <f>'Penetration Table'!G38</f>
        <v>0</v>
      </c>
      <c r="AH26" s="392" t="str">
        <f>'Penetration Table'!H38</f>
        <v>No</v>
      </c>
      <c r="AI26" s="843">
        <f>'Penetration Table'!I38</f>
        <v>0</v>
      </c>
      <c r="AJ26" s="392" t="str">
        <f>'Penetration Table'!J38</f>
        <v>Yes</v>
      </c>
      <c r="AK26" s="843">
        <f>'Penetration Table'!K38</f>
        <v>27.661794187957167</v>
      </c>
      <c r="AL26" s="392" t="str">
        <f>'Penetration Table'!L38</f>
        <v>N/A</v>
      </c>
      <c r="AM26" s="392">
        <f>'Penetration Table'!M38</f>
        <v>0</v>
      </c>
      <c r="AN26" s="392" t="str">
        <f>'Penetration Table'!N38</f>
        <v>N/A</v>
      </c>
      <c r="AO26" s="392">
        <f>'Penetration Table'!O38</f>
        <v>0</v>
      </c>
      <c r="AP26" s="140" t="str">
        <f>'Penetration Table'!P38</f>
        <v>N/A</v>
      </c>
    </row>
    <row r="27" spans="2:42" s="136" customFormat="1" ht="18" customHeight="1" x14ac:dyDescent="0.2">
      <c r="B27" s="267">
        <f>+'Site Info'!E6</f>
        <v>0</v>
      </c>
      <c r="C27" s="255">
        <f>+'Site Info'!E7</f>
        <v>0</v>
      </c>
      <c r="D27" s="254">
        <f>+'Site Info'!I7</f>
        <v>0</v>
      </c>
      <c r="E27" s="256">
        <f>+'Site Info'!I6</f>
        <v>0</v>
      </c>
      <c r="F27" s="256">
        <f>'Site Info'!E11</f>
        <v>0</v>
      </c>
      <c r="G27" s="256">
        <f>'Site Info'!E12</f>
        <v>0</v>
      </c>
      <c r="H27" s="412">
        <f>+'Site Info'!N6</f>
        <v>0</v>
      </c>
      <c r="I27" s="256">
        <f>'Site Info'!G9</f>
        <v>0</v>
      </c>
      <c r="J27" s="257">
        <f>'Site Info'!J9</f>
        <v>0</v>
      </c>
      <c r="K27" s="257">
        <f>'Site Info'!J10</f>
        <v>0</v>
      </c>
      <c r="L27" s="257">
        <f>'Site Info'!J11</f>
        <v>0</v>
      </c>
      <c r="M27" s="257">
        <f>'Site Info'!N9</f>
        <v>0</v>
      </c>
      <c r="N27" s="258">
        <f>'Site Info'!N11</f>
        <v>0</v>
      </c>
      <c r="O27" s="258" t="str">
        <f>'Pier Scour'!G28</f>
        <v>LOB</v>
      </c>
      <c r="P27" s="258" t="str">
        <f>'Pier Scour'!G29</f>
        <v>Single Pier</v>
      </c>
      <c r="Q27" s="258" t="str">
        <f>'Pier Scour'!G30</f>
        <v>Automatic Calculation</v>
      </c>
      <c r="R27" s="258">
        <f>IF(P27="No Pier or Bent","N/A",'Pier Scour'!G31)</f>
        <v>16</v>
      </c>
      <c r="S27" s="258">
        <f>IF(P27="No Pier or Bent","N/A",'Pier Scour'!G32)</f>
        <v>25</v>
      </c>
      <c r="T27" s="258">
        <f>IF(P27="No Pier or Bent","N/A",'Pier Scour'!G33)</f>
        <v>15</v>
      </c>
      <c r="U27" s="258" t="str">
        <f>IF(P27="No Pier or Bent","N/A",'Pier Scour'!G34)</f>
        <v>Yes</v>
      </c>
      <c r="V27" s="258">
        <f>IF(P27="No Pier or Bent","N/A",'Pier Scour'!G35)</f>
        <v>35</v>
      </c>
      <c r="W27" s="402">
        <f>'Pier Scour'!G36</f>
        <v>2.1875</v>
      </c>
      <c r="X27" s="402">
        <f>'Pier Scour'!G37</f>
        <v>1.2272597131906253</v>
      </c>
      <c r="Y27" s="402"/>
      <c r="Z27" s="402">
        <f>'Pier Scour'!G38</f>
        <v>1.2272597131906253</v>
      </c>
      <c r="AA27" s="402" t="str">
        <f>'Pier Scour'!G39</f>
        <v>PSDb-2014</v>
      </c>
      <c r="AB27" s="814">
        <f>'Pier Scour'!G40</f>
        <v>25.464038317374687</v>
      </c>
      <c r="AC27" s="845">
        <f>'Pier Scour'!G41</f>
        <v>31.250988362056351</v>
      </c>
      <c r="AD27" s="259" t="str">
        <f>'Penetration Table'!D39</f>
        <v>No</v>
      </c>
      <c r="AE27" s="814">
        <f>'Penetration Table'!E39</f>
        <v>0</v>
      </c>
      <c r="AF27" s="402" t="str">
        <f>'Penetration Table'!F39</f>
        <v>Yes</v>
      </c>
      <c r="AG27" s="814" t="str">
        <f>'Penetration Table'!G39</f>
        <v>N/A</v>
      </c>
      <c r="AH27" s="402" t="str">
        <f>'Penetration Table'!H39</f>
        <v>No</v>
      </c>
      <c r="AI27" s="814">
        <f>'Penetration Table'!I39</f>
        <v>0</v>
      </c>
      <c r="AJ27" s="402" t="str">
        <f>'Penetration Table'!J39</f>
        <v>Yes</v>
      </c>
      <c r="AK27" s="814">
        <f>'Penetration Table'!K39</f>
        <v>31.250988362056351</v>
      </c>
      <c r="AL27" s="402" t="str">
        <f>'Penetration Table'!L39</f>
        <v>N/A</v>
      </c>
      <c r="AM27" s="402">
        <f>'Penetration Table'!M39</f>
        <v>0</v>
      </c>
      <c r="AN27" s="402" t="str">
        <f>'Penetration Table'!N39</f>
        <v>N/A</v>
      </c>
      <c r="AO27" s="402">
        <f>'Penetration Table'!O39</f>
        <v>0</v>
      </c>
      <c r="AP27" s="260" t="str">
        <f>'Penetration Table'!P39</f>
        <v>N/A</v>
      </c>
    </row>
    <row r="28" spans="2:42" s="136" customFormat="1" ht="18" customHeight="1" x14ac:dyDescent="0.2">
      <c r="B28" s="269">
        <f>+'Site Info'!E6</f>
        <v>0</v>
      </c>
      <c r="C28" s="271">
        <f>+'Site Info'!E7</f>
        <v>0</v>
      </c>
      <c r="D28" s="131">
        <f>+'Site Info'!I7</f>
        <v>0</v>
      </c>
      <c r="E28" s="132">
        <f>+'Site Info'!I6</f>
        <v>0</v>
      </c>
      <c r="F28" s="130">
        <f>'Site Info'!E11</f>
        <v>0</v>
      </c>
      <c r="G28" s="130">
        <f>'Site Info'!E12</f>
        <v>0</v>
      </c>
      <c r="H28" s="412">
        <f>+'Site Info'!N6</f>
        <v>0</v>
      </c>
      <c r="I28" s="131">
        <f>'Site Info'!G9</f>
        <v>0</v>
      </c>
      <c r="J28" s="131">
        <f>'Site Info'!J9</f>
        <v>0</v>
      </c>
      <c r="K28" s="131">
        <f>'Site Info'!J10</f>
        <v>0</v>
      </c>
      <c r="L28" s="131">
        <f>'Site Info'!J11</f>
        <v>0</v>
      </c>
      <c r="M28" s="131">
        <f>'Site Info'!N9</f>
        <v>0</v>
      </c>
      <c r="N28" s="132">
        <f>'Site Info'!N11</f>
        <v>0</v>
      </c>
      <c r="O28" s="132" t="str">
        <f>'Pier Scour'!H28</f>
        <v>CH</v>
      </c>
      <c r="P28" s="132" t="str">
        <f>'Pier Scour'!H29</f>
        <v>Multiple Column Pier</v>
      </c>
      <c r="Q28" s="132" t="str">
        <f>'Pier Scour'!H30</f>
        <v>Automatic Calculation</v>
      </c>
      <c r="R28" s="132">
        <f>IF(P28="No Pier or Bent","N/A",'Pier Scour'!H31)</f>
        <v>16</v>
      </c>
      <c r="S28" s="132">
        <f>IF(P28="No Pier or Bent","N/A",'Pier Scour'!H32)</f>
        <v>20</v>
      </c>
      <c r="T28" s="132">
        <f>IF(P28="No Pier or Bent","N/A",'Pier Scour'!H33)</f>
        <v>15</v>
      </c>
      <c r="U28" s="132" t="str">
        <f>IF(P28="No Pier or Bent","N/A",'Pier Scour'!H34)</f>
        <v>Yes</v>
      </c>
      <c r="V28" s="132">
        <f>IF(P28="No Pier or Bent","N/A",'Pier Scour'!H35)</f>
        <v>10</v>
      </c>
      <c r="W28" s="394">
        <f>'Pier Scour'!H36</f>
        <v>0.625</v>
      </c>
      <c r="X28" s="394">
        <f>'Pier Scour'!H37</f>
        <v>1.1796762847644389</v>
      </c>
      <c r="Y28" s="394"/>
      <c r="Z28" s="394">
        <f>'Pier Scour'!H38</f>
        <v>1.1796762847644389</v>
      </c>
      <c r="AA28" s="394" t="str">
        <f>'Pier Scour'!H39</f>
        <v>PSDb-2014</v>
      </c>
      <c r="AB28" s="846">
        <f>'Pier Scour'!H40</f>
        <v>25.464038317374687</v>
      </c>
      <c r="AC28" s="847">
        <f>'Pier Scour'!H41</f>
        <v>30.039322117339882</v>
      </c>
      <c r="AD28" s="134" t="str">
        <f>'Penetration Table'!D40</f>
        <v>No</v>
      </c>
      <c r="AE28" s="846">
        <f>'Penetration Table'!E40</f>
        <v>0</v>
      </c>
      <c r="AF28" s="394" t="str">
        <f>'Penetration Table'!F40</f>
        <v>No</v>
      </c>
      <c r="AG28" s="846">
        <f>'Penetration Table'!G40</f>
        <v>0</v>
      </c>
      <c r="AH28" s="394" t="str">
        <f>'Penetration Table'!H40</f>
        <v>Yes</v>
      </c>
      <c r="AI28" s="846" t="str">
        <f>'Penetration Table'!I40</f>
        <v>N/A</v>
      </c>
      <c r="AJ28" s="394" t="str">
        <f>'Penetration Table'!J40</f>
        <v>Yes</v>
      </c>
      <c r="AK28" s="846">
        <f>'Penetration Table'!K40</f>
        <v>30.039322117339882</v>
      </c>
      <c r="AL28" s="394" t="str">
        <f>'Penetration Table'!L40</f>
        <v>N/A</v>
      </c>
      <c r="AM28" s="394">
        <f>'Penetration Table'!M40</f>
        <v>0</v>
      </c>
      <c r="AN28" s="394" t="str">
        <f>'Penetration Table'!N40</f>
        <v>N/A</v>
      </c>
      <c r="AO28" s="394">
        <f>'Penetration Table'!O40</f>
        <v>0</v>
      </c>
      <c r="AP28" s="141" t="str">
        <f>'Penetration Table'!P40</f>
        <v>N/A</v>
      </c>
    </row>
    <row r="29" spans="2:42" s="136" customFormat="1" ht="18" customHeight="1" x14ac:dyDescent="0.2">
      <c r="B29" s="268">
        <f>+'Site Info'!E6</f>
        <v>0</v>
      </c>
      <c r="C29" s="261">
        <f>+'Site Info'!E7</f>
        <v>0</v>
      </c>
      <c r="D29" s="262">
        <f>+'Site Info'!I7</f>
        <v>0</v>
      </c>
      <c r="E29" s="262">
        <f>+'Site Info'!I6</f>
        <v>0</v>
      </c>
      <c r="F29" s="262">
        <f>'Site Info'!E11</f>
        <v>0</v>
      </c>
      <c r="G29" s="262">
        <f>'Site Info'!E12</f>
        <v>0</v>
      </c>
      <c r="H29" s="412">
        <f>+'Site Info'!N6</f>
        <v>0</v>
      </c>
      <c r="I29" s="262">
        <f>'Site Info'!G9</f>
        <v>0</v>
      </c>
      <c r="J29" s="263">
        <f>'Site Info'!J9</f>
        <v>0</v>
      </c>
      <c r="K29" s="263">
        <f>'Site Info'!J10</f>
        <v>0</v>
      </c>
      <c r="L29" s="263">
        <f>'Site Info'!J11</f>
        <v>0</v>
      </c>
      <c r="M29" s="263">
        <f>'Site Info'!N9</f>
        <v>0</v>
      </c>
      <c r="N29" s="264">
        <f>'Site Info'!N11</f>
        <v>0</v>
      </c>
      <c r="O29" s="264" t="str">
        <f>'Pier Scour'!I28</f>
        <v>ROB</v>
      </c>
      <c r="P29" s="264" t="str">
        <f>'Pier Scour'!I29</f>
        <v>Multiple Column Pier</v>
      </c>
      <c r="Q29" s="264" t="str">
        <f>'Pier Scour'!I30</f>
        <v>Automatic Calculation</v>
      </c>
      <c r="R29" s="264">
        <f>IF(P29="No Pier or Bent","N/A",'Pier Scour'!I31)</f>
        <v>16</v>
      </c>
      <c r="S29" s="264">
        <f>IF(P29="No Pier or Bent","N/A",'Pier Scour'!I32)</f>
        <v>20</v>
      </c>
      <c r="T29" s="264">
        <f>IF(P29="No Pier or Bent","N/A",'Pier Scour'!I33)</f>
        <v>40</v>
      </c>
      <c r="U29" s="264" t="str">
        <f>IF(P29="No Pier or Bent","N/A",'Pier Scour'!I34)</f>
        <v>Yes</v>
      </c>
      <c r="V29" s="264">
        <f>IF(P29="No Pier or Bent","N/A",'Pier Scour'!I35)</f>
        <v>10</v>
      </c>
      <c r="W29" s="403">
        <f>'Pier Scour'!I36</f>
        <v>0.625</v>
      </c>
      <c r="X29" s="403">
        <f>'Pier Scour'!I37</f>
        <v>1.3404482926740386</v>
      </c>
      <c r="Y29" s="403"/>
      <c r="Z29" s="403">
        <f>'Pier Scour'!I38</f>
        <v>1.3404482926740386</v>
      </c>
      <c r="AA29" s="403" t="str">
        <f>'Pier Scour'!I39</f>
        <v>PSDb-2014</v>
      </c>
      <c r="AB29" s="813">
        <f>'Pier Scour'!I40</f>
        <v>25.464038317374687</v>
      </c>
      <c r="AC29" s="848">
        <f>'Pier Scour'!I41</f>
        <v>34.133226687111197</v>
      </c>
      <c r="AD29" s="265" t="str">
        <f>'Penetration Table'!D41</f>
        <v>No</v>
      </c>
      <c r="AE29" s="813">
        <f>'Penetration Table'!E41</f>
        <v>0</v>
      </c>
      <c r="AF29" s="403" t="str">
        <f>'Penetration Table'!F41</f>
        <v>Yes</v>
      </c>
      <c r="AG29" s="813" t="str">
        <f>'Penetration Table'!G41</f>
        <v>N/A</v>
      </c>
      <c r="AH29" s="403" t="str">
        <f>'Penetration Table'!H41</f>
        <v>No</v>
      </c>
      <c r="AI29" s="813">
        <f>'Penetration Table'!I41</f>
        <v>0</v>
      </c>
      <c r="AJ29" s="403" t="str">
        <f>'Penetration Table'!J41</f>
        <v>Yes</v>
      </c>
      <c r="AK29" s="813">
        <f>'Penetration Table'!K41</f>
        <v>34.133226687111197</v>
      </c>
      <c r="AL29" s="403" t="str">
        <f>'Penetration Table'!L41</f>
        <v>N/A</v>
      </c>
      <c r="AM29" s="403">
        <f>'Penetration Table'!M41</f>
        <v>0</v>
      </c>
      <c r="AN29" s="403" t="str">
        <f>'Penetration Table'!N41</f>
        <v>N/A</v>
      </c>
      <c r="AO29" s="403">
        <f>'Penetration Table'!O41</f>
        <v>0</v>
      </c>
      <c r="AP29" s="266" t="str">
        <f>'Penetration Table'!P41</f>
        <v>N/A</v>
      </c>
    </row>
    <row r="30" spans="2:42" s="136" customFormat="1" ht="18" customHeight="1" thickBot="1" x14ac:dyDescent="0.25">
      <c r="B30" s="270">
        <f>+'Site Info'!E6</f>
        <v>0</v>
      </c>
      <c r="C30" s="235">
        <f>+'Site Info'!E7</f>
        <v>0</v>
      </c>
      <c r="D30" s="125">
        <f>+'Site Info'!I7</f>
        <v>0</v>
      </c>
      <c r="E30" s="125">
        <f>+'Site Info'!I6</f>
        <v>0</v>
      </c>
      <c r="F30" s="127">
        <f>'Site Info'!E11</f>
        <v>0</v>
      </c>
      <c r="G30" s="128">
        <f>'Site Info'!E12</f>
        <v>0</v>
      </c>
      <c r="H30" s="413">
        <f>+'Site Info'!N6</f>
        <v>0</v>
      </c>
      <c r="I30" s="126">
        <f>'Site Info'!G9</f>
        <v>0</v>
      </c>
      <c r="J30" s="127">
        <f>'Site Info'!J9</f>
        <v>0</v>
      </c>
      <c r="K30" s="127">
        <f>'Site Info'!J10</f>
        <v>0</v>
      </c>
      <c r="L30" s="127">
        <f>'Site Info'!J11</f>
        <v>0</v>
      </c>
      <c r="M30" s="127">
        <f>'Site Info'!N9</f>
        <v>0</v>
      </c>
      <c r="N30" s="128">
        <f>'Site Info'!N11</f>
        <v>0</v>
      </c>
      <c r="O30" s="128" t="str">
        <f>'Pier Scour'!J28</f>
        <v>RABUT</v>
      </c>
      <c r="P30" s="128" t="str">
        <f>'Pier Scour'!J29</f>
        <v>Multiple Column Pier</v>
      </c>
      <c r="Q30" s="128" t="str">
        <f>'Pier Scour'!J30</f>
        <v>Automatic Calculation</v>
      </c>
      <c r="R30" s="128">
        <f>IF(P30="No Pier or Bent","N/A",'Pier Scour'!J31)</f>
        <v>16</v>
      </c>
      <c r="S30" s="128">
        <f>IF(P30="No Pier or Bent","N/A",'Pier Scour'!J32)</f>
        <v>16</v>
      </c>
      <c r="T30" s="128">
        <f>IF(P30="No Pier or Bent","N/A",'Pier Scour'!J33)</f>
        <v>25</v>
      </c>
      <c r="U30" s="128" t="str">
        <f>IF(P30="No Pier or Bent","N/A",'Pier Scour'!J34)</f>
        <v>No</v>
      </c>
      <c r="V30" s="128">
        <f>IF(P30="No Pier or Bent","N/A",'Pier Scour'!J35)</f>
        <v>0</v>
      </c>
      <c r="W30" s="393" t="str">
        <f>'Pier Scour'!J36</f>
        <v>N/A</v>
      </c>
      <c r="X30" s="393">
        <f>'Pier Scour'!J37</f>
        <v>1</v>
      </c>
      <c r="Y30" s="393"/>
      <c r="Z30" s="393">
        <f>'Pier Scour'!J38</f>
        <v>1</v>
      </c>
      <c r="AA30" s="393" t="str">
        <f>'Pier Scour'!J39</f>
        <v>PSDb-2014</v>
      </c>
      <c r="AB30" s="849">
        <f>'Pier Scour'!J40</f>
        <v>25.464038317374687</v>
      </c>
      <c r="AC30" s="850">
        <f>'Pier Scour'!J41</f>
        <v>25.464038317374687</v>
      </c>
      <c r="AD30" s="129" t="str">
        <f>'Penetration Table'!D42</f>
        <v>Yes</v>
      </c>
      <c r="AE30" s="849" t="str">
        <f>'Penetration Table'!E42</f>
        <v>N/A</v>
      </c>
      <c r="AF30" s="393" t="str">
        <f>'Penetration Table'!F42</f>
        <v>No</v>
      </c>
      <c r="AG30" s="849">
        <f>'Penetration Table'!G42</f>
        <v>0</v>
      </c>
      <c r="AH30" s="393" t="str">
        <f>'Penetration Table'!H42</f>
        <v>No</v>
      </c>
      <c r="AI30" s="849">
        <f>'Penetration Table'!I42</f>
        <v>0</v>
      </c>
      <c r="AJ30" s="393" t="str">
        <f>'Penetration Table'!J42</f>
        <v>Yes</v>
      </c>
      <c r="AK30" s="849">
        <f>'Penetration Table'!K42</f>
        <v>25.464038317374687</v>
      </c>
      <c r="AL30" s="393" t="str">
        <f>'Penetration Table'!L42</f>
        <v>N/A</v>
      </c>
      <c r="AM30" s="393">
        <f>'Penetration Table'!M42</f>
        <v>0</v>
      </c>
      <c r="AN30" s="393" t="str">
        <f>'Penetration Table'!N42</f>
        <v>N/A</v>
      </c>
      <c r="AO30" s="393">
        <f>'Penetration Table'!O42</f>
        <v>0</v>
      </c>
      <c r="AP30" s="142" t="str">
        <f>'Penetration Table'!P42</f>
        <v>N/A</v>
      </c>
    </row>
  </sheetData>
  <sheetProtection algorithmName="SHA-512" hashValue="2umBL24MwO6qgcms+LY0ZJPVzct3r/2qUrHXifydxxh1C2z2SG21A9w4P89QJFkSNZq6MJ67rMn0slKPUuQoaA==" saltValue="qiDBmLAdpXjNUELKPOuo0A==" spinCount="100000" sheet="1" objects="1" scenarios="1"/>
  <customSheetViews>
    <customSheetView guid="{1D46CCF0-D0A9-4A4B-AB32-CC50C778381E}" showPageBreaks="1" fitToPage="1" printArea="1">
      <pane xSplit="5" topLeftCell="F1" activePane="topRight" state="frozen"/>
      <selection pane="topRight"/>
      <colBreaks count="2" manualBreakCount="2">
        <brk id="17" max="1048575" man="1"/>
        <brk id="31" max="29" man="1"/>
      </colBreaks>
      <pageMargins left="0.75" right="0.75" top="1" bottom="1" header="0.5" footer="0.5"/>
      <pageSetup scale="48" fitToWidth="3" orientation="landscape" r:id="rId1"/>
      <headerFooter scaleWithDoc="0" alignWithMargins="0">
        <oddHeader>&amp;C&amp;8 Bridge-Scour Envelope Curve Template</oddHeader>
        <oddFooter>&amp;C&amp;A&amp;RPage  &amp;P  of  &amp;N</oddFooter>
      </headerFooter>
    </customSheetView>
  </customSheetViews>
  <pageMargins left="0.75" right="0.75" top="1" bottom="1" header="0.5" footer="0.5"/>
  <pageSetup scale="48" fitToWidth="3" orientation="landscape" r:id="rId2"/>
  <headerFooter scaleWithDoc="0" alignWithMargins="0">
    <oddHeader>&amp;C&amp;8 Bridge-Scour Envelope Curve Template</oddHeader>
    <oddFooter>&amp;C&amp;A&amp;RPage  &amp;P  of  &amp;N</oddFooter>
  </headerFooter>
  <colBreaks count="2" manualBreakCount="2">
    <brk id="17" max="1048575" man="1"/>
    <brk id="31" max="29"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X181"/>
  <sheetViews>
    <sheetView zoomScaleNormal="100" zoomScaleSheetLayoutView="40" zoomScalePageLayoutView="80" workbookViewId="0">
      <pane ySplit="13" topLeftCell="A14" activePane="bottomLeft" state="frozen"/>
      <selection pane="bottomLeft" activeCell="I32" sqref="I32"/>
    </sheetView>
  </sheetViews>
  <sheetFormatPr defaultColWidth="8.85546875" defaultRowHeight="12.75" x14ac:dyDescent="0.2"/>
  <cols>
    <col min="1" max="2" width="2.140625" style="51" customWidth="1"/>
    <col min="3" max="3" width="9.140625" style="51" customWidth="1"/>
    <col min="4" max="4" width="10.28515625" style="51" customWidth="1"/>
    <col min="5" max="5" width="9.140625" style="51" customWidth="1"/>
    <col min="6" max="6" width="12" style="51" customWidth="1"/>
    <col min="7" max="7" width="17.5703125" style="51" customWidth="1"/>
    <col min="8" max="8" width="15.7109375" style="51" customWidth="1"/>
    <col min="9" max="9" width="22.5703125" style="51" customWidth="1"/>
    <col min="10" max="10" width="12.28515625" style="51" customWidth="1"/>
    <col min="11" max="11" width="14.28515625" style="51" customWidth="1"/>
    <col min="12" max="12" width="24" style="51" customWidth="1"/>
    <col min="13" max="13" width="20.7109375" style="51" customWidth="1"/>
    <col min="14" max="14" width="12" style="51" customWidth="1"/>
    <col min="15" max="15" width="6.85546875" style="51" customWidth="1"/>
    <col min="16" max="16" width="3.7109375" style="707" customWidth="1"/>
    <col min="17" max="17" width="9.140625" style="51"/>
    <col min="18" max="18" width="23.42578125" style="51" hidden="1" customWidth="1"/>
    <col min="19" max="20" width="0" style="51" hidden="1" customWidth="1"/>
    <col min="21" max="16384" width="8.85546875" style="51"/>
  </cols>
  <sheetData>
    <row r="1" spans="2:19" ht="13.5" thickBot="1" x14ac:dyDescent="0.25"/>
    <row r="2" spans="2:19" ht="20.25" x14ac:dyDescent="0.3">
      <c r="B2" s="49"/>
      <c r="C2" s="891" t="s">
        <v>31</v>
      </c>
      <c r="D2" s="891"/>
      <c r="E2" s="891"/>
      <c r="F2" s="891"/>
      <c r="G2" s="891"/>
      <c r="H2" s="891"/>
      <c r="I2" s="891"/>
      <c r="J2" s="891"/>
      <c r="K2" s="891"/>
      <c r="L2" s="891"/>
      <c r="M2" s="891"/>
      <c r="N2" s="891"/>
      <c r="O2" s="891"/>
      <c r="P2" s="571">
        <v>1</v>
      </c>
      <c r="Q2" s="380"/>
    </row>
    <row r="3" spans="2:19" ht="18" x14ac:dyDescent="0.25">
      <c r="B3" s="50"/>
      <c r="C3" s="907" t="s">
        <v>498</v>
      </c>
      <c r="D3" s="892"/>
      <c r="E3" s="892"/>
      <c r="F3" s="892"/>
      <c r="G3" s="892"/>
      <c r="H3" s="892"/>
      <c r="I3" s="892"/>
      <c r="J3" s="892"/>
      <c r="K3" s="892"/>
      <c r="L3" s="892"/>
      <c r="M3" s="892"/>
      <c r="N3" s="892"/>
      <c r="O3" s="892"/>
      <c r="P3" s="566"/>
      <c r="Q3" s="380"/>
    </row>
    <row r="4" spans="2:19" ht="18" x14ac:dyDescent="0.25">
      <c r="B4" s="50"/>
      <c r="C4" s="892" t="s">
        <v>454</v>
      </c>
      <c r="D4" s="892"/>
      <c r="E4" s="892"/>
      <c r="F4" s="892"/>
      <c r="G4" s="892"/>
      <c r="H4" s="892"/>
      <c r="I4" s="892"/>
      <c r="J4" s="892"/>
      <c r="K4" s="892"/>
      <c r="L4" s="892"/>
      <c r="M4" s="892"/>
      <c r="N4" s="892"/>
      <c r="O4" s="892"/>
      <c r="P4" s="566"/>
      <c r="Q4" s="380"/>
    </row>
    <row r="5" spans="2:19" s="63" customFormat="1" x14ac:dyDescent="0.2">
      <c r="B5" s="532"/>
      <c r="C5" s="386"/>
      <c r="D5" s="384"/>
      <c r="E5" s="384"/>
      <c r="F5" s="384"/>
      <c r="G5" s="384"/>
      <c r="H5" s="384"/>
      <c r="I5" s="384"/>
      <c r="J5" s="384"/>
      <c r="K5" s="384"/>
      <c r="L5" s="384"/>
      <c r="M5" s="384"/>
      <c r="N5" s="384"/>
      <c r="O5" s="384"/>
      <c r="P5" s="566"/>
      <c r="Q5" s="384"/>
      <c r="R5" s="56" t="s">
        <v>127</v>
      </c>
    </row>
    <row r="6" spans="2:19" ht="13.5" thickBot="1" x14ac:dyDescent="0.25">
      <c r="B6" s="50"/>
      <c r="C6" s="386" t="s">
        <v>0</v>
      </c>
      <c r="D6" s="384"/>
      <c r="E6" s="898"/>
      <c r="F6" s="899"/>
      <c r="G6" s="384"/>
      <c r="H6" s="386" t="s">
        <v>2</v>
      </c>
      <c r="I6" s="898"/>
      <c r="J6" s="899"/>
      <c r="K6" s="384"/>
      <c r="L6" s="384"/>
      <c r="M6" s="386" t="s">
        <v>32</v>
      </c>
      <c r="N6" s="691"/>
      <c r="O6" s="384"/>
      <c r="P6" s="566"/>
      <c r="Q6" s="380"/>
    </row>
    <row r="7" spans="2:19" x14ac:dyDescent="0.2">
      <c r="B7" s="50"/>
      <c r="C7" s="386" t="s">
        <v>1</v>
      </c>
      <c r="D7" s="384"/>
      <c r="E7" s="898"/>
      <c r="F7" s="899"/>
      <c r="G7" s="384"/>
      <c r="H7" s="386" t="s">
        <v>3</v>
      </c>
      <c r="I7" s="898"/>
      <c r="J7" s="899"/>
      <c r="K7" s="384"/>
      <c r="L7" s="384"/>
      <c r="M7" s="384"/>
      <c r="N7" s="382"/>
      <c r="O7" s="384"/>
      <c r="P7" s="566"/>
      <c r="Q7" s="380"/>
      <c r="R7" s="53" t="s">
        <v>21</v>
      </c>
      <c r="S7" s="54"/>
    </row>
    <row r="8" spans="2:19" ht="15.75" customHeight="1" thickBot="1" x14ac:dyDescent="0.25">
      <c r="B8" s="50"/>
      <c r="C8" s="384"/>
      <c r="D8" s="384"/>
      <c r="E8" s="384"/>
      <c r="F8" s="384"/>
      <c r="G8" s="384"/>
      <c r="H8" s="384"/>
      <c r="I8" s="384"/>
      <c r="J8" s="384"/>
      <c r="K8" s="384"/>
      <c r="L8" s="384"/>
      <c r="M8" s="384"/>
      <c r="N8" s="384"/>
      <c r="O8" s="384"/>
      <c r="P8" s="566"/>
      <c r="Q8" s="380"/>
      <c r="R8" s="55" t="s">
        <v>26</v>
      </c>
      <c r="S8" s="54"/>
    </row>
    <row r="9" spans="2:19" x14ac:dyDescent="0.2">
      <c r="B9" s="50"/>
      <c r="C9" s="386" t="s">
        <v>39</v>
      </c>
      <c r="D9" s="384"/>
      <c r="E9" s="384"/>
      <c r="F9" s="384"/>
      <c r="G9" s="691"/>
      <c r="H9" s="384"/>
      <c r="I9" s="708" t="s">
        <v>34</v>
      </c>
      <c r="J9" s="773"/>
      <c r="K9" s="384"/>
      <c r="L9" s="384"/>
      <c r="M9" s="386" t="s">
        <v>42</v>
      </c>
      <c r="N9" s="773"/>
      <c r="O9" s="390" t="s">
        <v>7</v>
      </c>
      <c r="P9" s="566"/>
      <c r="Q9" s="380"/>
      <c r="R9" s="380"/>
      <c r="S9" s="54"/>
    </row>
    <row r="10" spans="2:19" x14ac:dyDescent="0.2">
      <c r="B10" s="50"/>
      <c r="C10" s="384"/>
      <c r="D10" s="384"/>
      <c r="E10" s="384"/>
      <c r="F10" s="384"/>
      <c r="G10" s="384"/>
      <c r="H10" s="384"/>
      <c r="I10" s="708" t="s">
        <v>275</v>
      </c>
      <c r="J10" s="773"/>
      <c r="K10" s="384"/>
      <c r="L10" s="384"/>
      <c r="M10" s="384"/>
      <c r="N10" s="384"/>
      <c r="O10" s="386"/>
      <c r="P10" s="566"/>
      <c r="Q10" s="380"/>
      <c r="R10" s="384"/>
      <c r="S10" s="54"/>
    </row>
    <row r="11" spans="2:19" ht="15.75" customHeight="1" x14ac:dyDescent="0.2">
      <c r="B11" s="50"/>
      <c r="C11" s="386" t="s">
        <v>90</v>
      </c>
      <c r="D11" s="384"/>
      <c r="E11" s="690"/>
      <c r="F11" s="395" t="s">
        <v>92</v>
      </c>
      <c r="G11" s="590"/>
      <c r="H11" s="384"/>
      <c r="I11" s="881" t="s">
        <v>286</v>
      </c>
      <c r="J11" s="896"/>
      <c r="K11" s="384"/>
      <c r="L11" s="384"/>
      <c r="M11" s="386" t="s">
        <v>57</v>
      </c>
      <c r="N11" s="773"/>
      <c r="O11" s="386" t="s">
        <v>58</v>
      </c>
      <c r="P11" s="566" t="s">
        <v>40</v>
      </c>
      <c r="Q11" s="380"/>
    </row>
    <row r="12" spans="2:19" ht="15.75" customHeight="1" x14ac:dyDescent="0.2">
      <c r="B12" s="50"/>
      <c r="C12" s="386" t="s">
        <v>91</v>
      </c>
      <c r="D12" s="384"/>
      <c r="E12" s="690"/>
      <c r="F12" s="395" t="s">
        <v>92</v>
      </c>
      <c r="G12" s="590"/>
      <c r="H12" s="384"/>
      <c r="I12" s="881"/>
      <c r="J12" s="897"/>
      <c r="K12" s="384"/>
      <c r="L12" s="384"/>
      <c r="M12" s="386"/>
      <c r="N12" s="382"/>
      <c r="O12" s="384"/>
      <c r="P12" s="566"/>
      <c r="Q12" s="380"/>
    </row>
    <row r="13" spans="2:19" ht="13.5" thickBot="1" x14ac:dyDescent="0.25">
      <c r="B13" s="59"/>
      <c r="C13" s="60"/>
      <c r="D13" s="61"/>
      <c r="E13" s="61"/>
      <c r="F13" s="179"/>
      <c r="G13" s="179"/>
      <c r="H13" s="61"/>
      <c r="I13" s="61"/>
      <c r="J13" s="61"/>
      <c r="K13" s="61"/>
      <c r="L13" s="61"/>
      <c r="M13" s="61"/>
      <c r="N13" s="61"/>
      <c r="O13" s="61"/>
      <c r="P13" s="709"/>
      <c r="Q13" s="380"/>
    </row>
    <row r="14" spans="2:19" x14ac:dyDescent="0.2">
      <c r="B14" s="49"/>
      <c r="C14" s="370"/>
      <c r="D14" s="591"/>
      <c r="E14" s="591"/>
      <c r="F14" s="567"/>
      <c r="G14" s="567"/>
      <c r="H14" s="591"/>
      <c r="I14" s="591"/>
      <c r="J14" s="591"/>
      <c r="K14" s="591"/>
      <c r="L14" s="591"/>
      <c r="M14" s="591"/>
      <c r="N14" s="591"/>
      <c r="O14" s="591"/>
      <c r="P14" s="571"/>
      <c r="Q14" s="380"/>
    </row>
    <row r="15" spans="2:19" ht="15.75" x14ac:dyDescent="0.25">
      <c r="B15" s="710"/>
      <c r="C15" s="711" t="s">
        <v>562</v>
      </c>
      <c r="D15" s="380"/>
      <c r="E15" s="380"/>
      <c r="F15" s="380"/>
      <c r="G15" s="380"/>
      <c r="H15" s="380"/>
      <c r="I15" s="386"/>
      <c r="J15" s="386"/>
      <c r="K15" s="386"/>
      <c r="L15" s="386"/>
      <c r="M15" s="386"/>
      <c r="N15" s="386"/>
      <c r="O15" s="386"/>
      <c r="P15" s="566"/>
      <c r="Q15" s="380"/>
    </row>
    <row r="16" spans="2:19" x14ac:dyDescent="0.2">
      <c r="B16" s="710"/>
      <c r="C16" s="708"/>
      <c r="D16" s="384"/>
      <c r="E16" s="384"/>
      <c r="F16" s="384"/>
      <c r="G16" s="384"/>
      <c r="H16" s="384"/>
      <c r="I16" s="386"/>
      <c r="J16" s="386"/>
      <c r="K16" s="386"/>
      <c r="L16" s="386"/>
      <c r="M16" s="386"/>
      <c r="N16" s="386"/>
      <c r="O16" s="386"/>
      <c r="P16" s="566"/>
      <c r="Q16" s="380"/>
    </row>
    <row r="17" spans="2:17" x14ac:dyDescent="0.2">
      <c r="B17" s="710"/>
      <c r="C17" s="886" t="s">
        <v>38</v>
      </c>
      <c r="D17" s="886"/>
      <c r="E17" s="886"/>
      <c r="F17" s="771"/>
      <c r="G17" s="386"/>
      <c r="H17" s="386"/>
      <c r="I17" s="386"/>
      <c r="J17" s="386"/>
      <c r="K17" s="386"/>
      <c r="L17" s="386"/>
      <c r="M17" s="386"/>
      <c r="N17" s="386"/>
      <c r="O17" s="386"/>
      <c r="P17" s="566"/>
      <c r="Q17" s="380"/>
    </row>
    <row r="18" spans="2:17" x14ac:dyDescent="0.2">
      <c r="B18" s="710"/>
      <c r="C18" s="886" t="s">
        <v>574</v>
      </c>
      <c r="D18" s="886"/>
      <c r="E18" s="886"/>
      <c r="F18" s="771"/>
      <c r="G18" s="386"/>
      <c r="H18" s="386"/>
      <c r="I18" s="386"/>
      <c r="J18" s="386"/>
      <c r="K18" s="386"/>
      <c r="L18" s="386"/>
      <c r="M18" s="386"/>
      <c r="N18" s="386"/>
      <c r="O18" s="386"/>
      <c r="P18" s="566"/>
      <c r="Q18" s="380"/>
    </row>
    <row r="19" spans="2:17" x14ac:dyDescent="0.2">
      <c r="B19" s="710"/>
      <c r="C19" s="386"/>
      <c r="D19" s="384"/>
      <c r="E19" s="384"/>
      <c r="F19" s="384"/>
      <c r="G19" s="386"/>
      <c r="H19" s="386"/>
      <c r="I19" s="386"/>
      <c r="J19" s="386" t="s">
        <v>564</v>
      </c>
      <c r="K19" s="386"/>
      <c r="L19" s="384"/>
      <c r="M19" s="692"/>
      <c r="N19" s="396" t="s">
        <v>7</v>
      </c>
      <c r="O19" s="386"/>
      <c r="P19" s="566"/>
      <c r="Q19" s="380"/>
    </row>
    <row r="20" spans="2:17" x14ac:dyDescent="0.2">
      <c r="B20" s="710"/>
      <c r="C20" s="881" t="s">
        <v>563</v>
      </c>
      <c r="D20" s="881"/>
      <c r="E20" s="881"/>
      <c r="F20" s="881"/>
      <c r="G20" s="881"/>
      <c r="H20" s="883"/>
      <c r="I20" s="882" t="s">
        <v>7</v>
      </c>
      <c r="J20" s="386" t="s">
        <v>565</v>
      </c>
      <c r="K20" s="386"/>
      <c r="L20" s="386"/>
      <c r="M20" s="692"/>
      <c r="N20" s="396" t="s">
        <v>7</v>
      </c>
      <c r="O20" s="386"/>
      <c r="P20" s="566"/>
      <c r="Q20" s="380"/>
    </row>
    <row r="21" spans="2:17" ht="12.75" customHeight="1" x14ac:dyDescent="0.2">
      <c r="B21" s="710"/>
      <c r="C21" s="881"/>
      <c r="D21" s="881"/>
      <c r="E21" s="881"/>
      <c r="F21" s="881"/>
      <c r="G21" s="881"/>
      <c r="H21" s="884"/>
      <c r="I21" s="882"/>
      <c r="J21" s="386" t="s">
        <v>566</v>
      </c>
      <c r="K21" s="386"/>
      <c r="L21" s="384"/>
      <c r="M21" s="692"/>
      <c r="N21" s="396" t="s">
        <v>7</v>
      </c>
      <c r="O21" s="386"/>
      <c r="P21" s="566"/>
      <c r="Q21" s="380"/>
    </row>
    <row r="22" spans="2:17" x14ac:dyDescent="0.2">
      <c r="B22" s="710"/>
      <c r="C22" s="881"/>
      <c r="D22" s="881"/>
      <c r="E22" s="881"/>
      <c r="F22" s="881"/>
      <c r="G22" s="881"/>
      <c r="H22" s="885"/>
      <c r="I22" s="882"/>
      <c r="J22" s="396" t="s">
        <v>567</v>
      </c>
      <c r="K22" s="396"/>
      <c r="L22" s="384"/>
      <c r="M22" s="692"/>
      <c r="N22" s="396" t="s">
        <v>7</v>
      </c>
      <c r="O22" s="386"/>
      <c r="P22" s="566"/>
      <c r="Q22" s="380"/>
    </row>
    <row r="23" spans="2:17" ht="12.75" customHeight="1" x14ac:dyDescent="0.2">
      <c r="B23" s="710"/>
      <c r="C23" s="894" t="s">
        <v>575</v>
      </c>
      <c r="D23" s="894"/>
      <c r="E23" s="894"/>
      <c r="F23" s="894"/>
      <c r="G23" s="894"/>
      <c r="H23" s="921"/>
      <c r="I23" s="882" t="s">
        <v>7</v>
      </c>
      <c r="J23" s="906" t="s">
        <v>304</v>
      </c>
      <c r="K23" s="906"/>
      <c r="L23" s="906"/>
      <c r="M23" s="921"/>
      <c r="N23" s="900" t="s">
        <v>7</v>
      </c>
      <c r="O23" s="386"/>
      <c r="P23" s="566"/>
      <c r="Q23" s="380"/>
    </row>
    <row r="24" spans="2:17" ht="12.75" customHeight="1" x14ac:dyDescent="0.2">
      <c r="B24" s="713"/>
      <c r="C24" s="894"/>
      <c r="D24" s="894"/>
      <c r="E24" s="894"/>
      <c r="F24" s="894"/>
      <c r="G24" s="894"/>
      <c r="H24" s="933"/>
      <c r="I24" s="882"/>
      <c r="J24" s="906"/>
      <c r="K24" s="906"/>
      <c r="L24" s="906"/>
      <c r="M24" s="922"/>
      <c r="N24" s="900"/>
      <c r="O24" s="396"/>
      <c r="P24" s="566"/>
      <c r="Q24" s="380"/>
    </row>
    <row r="25" spans="2:17" ht="12.75" customHeight="1" x14ac:dyDescent="0.2">
      <c r="B25" s="710"/>
      <c r="C25" s="894"/>
      <c r="D25" s="894"/>
      <c r="E25" s="894"/>
      <c r="F25" s="894"/>
      <c r="G25" s="894"/>
      <c r="H25" s="922"/>
      <c r="I25" s="882"/>
      <c r="J25" s="906" t="s">
        <v>305</v>
      </c>
      <c r="K25" s="906"/>
      <c r="L25" s="906"/>
      <c r="M25" s="921"/>
      <c r="N25" s="900" t="s">
        <v>7</v>
      </c>
      <c r="O25" s="386"/>
      <c r="P25" s="566"/>
      <c r="Q25" s="380"/>
    </row>
    <row r="26" spans="2:17" x14ac:dyDescent="0.2">
      <c r="B26" s="710"/>
      <c r="C26" s="881" t="s">
        <v>576</v>
      </c>
      <c r="D26" s="881"/>
      <c r="E26" s="881"/>
      <c r="F26" s="881"/>
      <c r="G26" s="881"/>
      <c r="H26" s="931" t="str">
        <f>+IF(OR(ISBLANK(H20),ISBLANK(H23)),"No Data", ABS(H23-H20))</f>
        <v>No Data</v>
      </c>
      <c r="I26" s="900" t="s">
        <v>7</v>
      </c>
      <c r="J26" s="906"/>
      <c r="K26" s="906"/>
      <c r="L26" s="906"/>
      <c r="M26" s="922"/>
      <c r="N26" s="900"/>
      <c r="O26" s="386"/>
      <c r="P26" s="566"/>
      <c r="Q26" s="380"/>
    </row>
    <row r="27" spans="2:17" x14ac:dyDescent="0.2">
      <c r="B27" s="710"/>
      <c r="C27" s="881"/>
      <c r="D27" s="881"/>
      <c r="E27" s="881"/>
      <c r="F27" s="881"/>
      <c r="G27" s="881"/>
      <c r="H27" s="932"/>
      <c r="I27" s="900"/>
      <c r="O27" s="386"/>
      <c r="P27" s="566"/>
      <c r="Q27" s="380"/>
    </row>
    <row r="28" spans="2:17" x14ac:dyDescent="0.2">
      <c r="B28" s="710"/>
      <c r="C28" s="386"/>
      <c r="D28" s="386" t="s">
        <v>293</v>
      </c>
      <c r="E28" s="384"/>
      <c r="F28" s="386"/>
      <c r="G28" s="386"/>
      <c r="H28" s="717"/>
      <c r="I28" s="386"/>
      <c r="J28" s="386" t="s">
        <v>578</v>
      </c>
      <c r="K28" s="386"/>
      <c r="L28" s="386"/>
      <c r="M28" s="716" t="str">
        <f>IF(OR(J10="Yes",J11="Yes"),0,IF(OR(ISBLANK(M23),ISBLANK(M25)),"No Data", ABS(M23-M25)))</f>
        <v>No Data</v>
      </c>
      <c r="N28" s="386" t="s">
        <v>7</v>
      </c>
      <c r="O28" s="386"/>
      <c r="P28" s="566"/>
      <c r="Q28" s="380"/>
    </row>
    <row r="29" spans="2:17" x14ac:dyDescent="0.2">
      <c r="B29" s="710"/>
      <c r="C29" s="386"/>
      <c r="D29" s="924" t="s">
        <v>577</v>
      </c>
      <c r="E29" s="925"/>
      <c r="F29" s="925"/>
      <c r="G29" s="926"/>
      <c r="H29" s="887" t="str">
        <f>IF(J9="Yes","N/A",IF(OR(ISBLANK(H23),ISBLANK(H20),ISBLANK(M21),ISBLANK(M22)),"No",IF((ABS(H20-M21)+ABS(M22-H23)+M29)=H26,"Yes","No")))</f>
        <v>No</v>
      </c>
      <c r="I29" s="386"/>
      <c r="J29" s="386" t="s">
        <v>579</v>
      </c>
      <c r="K29" s="386"/>
      <c r="L29" s="386"/>
      <c r="M29" s="716" t="str">
        <f>+IF(OR(ISBLANK(M21),ISBLANK(M22)),"No Data", ABS(M21-M22))</f>
        <v>No Data</v>
      </c>
      <c r="N29" s="386" t="s">
        <v>7</v>
      </c>
      <c r="O29" s="386"/>
      <c r="P29" s="566"/>
      <c r="Q29" s="380"/>
    </row>
    <row r="30" spans="2:17" x14ac:dyDescent="0.2">
      <c r="B30" s="710"/>
      <c r="C30" s="386"/>
      <c r="D30" s="927"/>
      <c r="E30" s="881"/>
      <c r="F30" s="881"/>
      <c r="G30" s="893"/>
      <c r="H30" s="934"/>
      <c r="I30" s="386"/>
      <c r="J30" s="386"/>
      <c r="K30" s="386"/>
      <c r="L30" s="386"/>
      <c r="M30" s="396"/>
      <c r="N30" s="386"/>
      <c r="O30" s="386"/>
      <c r="P30" s="566"/>
      <c r="Q30" s="380"/>
    </row>
    <row r="31" spans="2:17" x14ac:dyDescent="0.2">
      <c r="B31" s="710"/>
      <c r="C31" s="386"/>
      <c r="D31" s="928"/>
      <c r="E31" s="929"/>
      <c r="F31" s="929"/>
      <c r="G31" s="930"/>
      <c r="H31" s="888"/>
      <c r="I31" s="386"/>
      <c r="J31" s="386"/>
      <c r="K31" s="386"/>
      <c r="L31" s="386"/>
      <c r="M31" s="396"/>
      <c r="N31" s="386"/>
      <c r="O31" s="386"/>
      <c r="P31" s="566"/>
      <c r="Q31" s="380"/>
    </row>
    <row r="32" spans="2:17" x14ac:dyDescent="0.2">
      <c r="B32" s="710"/>
      <c r="C32" s="386"/>
      <c r="D32" s="386"/>
      <c r="E32" s="386"/>
      <c r="F32" s="386"/>
      <c r="G32" s="386"/>
      <c r="H32" s="396"/>
      <c r="I32" s="386"/>
      <c r="J32" s="386" t="s">
        <v>580</v>
      </c>
      <c r="K32" s="386"/>
      <c r="L32" s="386"/>
      <c r="M32" s="722" t="str">
        <f>IF(OR(ISBLANK(M21),ISBLANK(H20)),"No Data",ABS(H20-M21))</f>
        <v>No Data</v>
      </c>
      <c r="N32" s="386" t="s">
        <v>7</v>
      </c>
      <c r="O32" s="386"/>
      <c r="P32" s="566"/>
      <c r="Q32" s="380"/>
    </row>
    <row r="33" spans="2:18" x14ac:dyDescent="0.2">
      <c r="B33" s="710"/>
      <c r="C33" s="386"/>
      <c r="D33" s="708"/>
      <c r="E33" s="386"/>
      <c r="F33" s="386"/>
      <c r="G33" s="386"/>
      <c r="H33" s="396"/>
      <c r="I33" s="386"/>
      <c r="J33" s="386" t="s">
        <v>581</v>
      </c>
      <c r="K33" s="386"/>
      <c r="L33" s="386"/>
      <c r="M33" s="722" t="str">
        <f>IF(OR(ISBLANK(M22),ISBLANK(H23)),"No Data",ABS(M22-H23))</f>
        <v>No Data</v>
      </c>
      <c r="N33" s="386" t="s">
        <v>7</v>
      </c>
      <c r="O33" s="386"/>
      <c r="P33" s="566"/>
      <c r="Q33" s="380"/>
    </row>
    <row r="34" spans="2:18" x14ac:dyDescent="0.2">
      <c r="B34" s="710"/>
      <c r="C34" s="386"/>
      <c r="D34" s="708"/>
      <c r="E34" s="386"/>
      <c r="F34" s="386"/>
      <c r="G34" s="386"/>
      <c r="H34" s="396"/>
      <c r="I34" s="386"/>
      <c r="J34" s="386" t="s">
        <v>655</v>
      </c>
      <c r="K34" s="386"/>
      <c r="L34" s="386"/>
      <c r="M34" s="727" t="str">
        <f>IF(OR(ISBLANK(M19),ISBLANK(M20),ISBLANK(H20),ISBLANK(H23)),"No Data",1-(ABS(M20-M19)/H26))</f>
        <v>No Data</v>
      </c>
      <c r="N34" s="386"/>
      <c r="O34" s="386"/>
      <c r="P34" s="566"/>
      <c r="Q34" s="380"/>
    </row>
    <row r="35" spans="2:18" x14ac:dyDescent="0.2">
      <c r="B35" s="710"/>
      <c r="C35" s="384"/>
      <c r="D35" s="386"/>
      <c r="E35" s="386"/>
      <c r="F35" s="386"/>
      <c r="G35" s="386"/>
      <c r="H35" s="386"/>
      <c r="I35" s="386"/>
      <c r="J35" s="386"/>
      <c r="K35" s="386"/>
      <c r="L35" s="384"/>
      <c r="M35" s="384"/>
      <c r="N35" s="384"/>
      <c r="O35" s="387"/>
      <c r="P35" s="566"/>
      <c r="Q35" s="380"/>
    </row>
    <row r="36" spans="2:18" ht="13.5" thickBot="1" x14ac:dyDescent="0.25">
      <c r="B36" s="728"/>
      <c r="C36" s="60"/>
      <c r="D36" s="60"/>
      <c r="E36" s="60"/>
      <c r="F36" s="60"/>
      <c r="G36" s="60"/>
      <c r="H36" s="60"/>
      <c r="I36" s="60"/>
      <c r="J36" s="60"/>
      <c r="K36" s="60"/>
      <c r="L36" s="61"/>
      <c r="M36" s="61"/>
      <c r="N36" s="61"/>
      <c r="O36" s="62"/>
      <c r="P36" s="709"/>
      <c r="Q36" s="380"/>
    </row>
    <row r="37" spans="2:18" x14ac:dyDescent="0.2">
      <c r="B37" s="49"/>
      <c r="C37" s="370"/>
      <c r="D37" s="591"/>
      <c r="E37" s="591"/>
      <c r="F37" s="567"/>
      <c r="G37" s="567"/>
      <c r="H37" s="591"/>
      <c r="I37" s="591"/>
      <c r="J37" s="591"/>
      <c r="K37" s="591"/>
      <c r="L37" s="591"/>
      <c r="M37" s="591"/>
      <c r="N37" s="591"/>
      <c r="O37" s="591"/>
      <c r="P37" s="571"/>
      <c r="Q37" s="380"/>
    </row>
    <row r="38" spans="2:18" s="56" customFormat="1" ht="15.75" x14ac:dyDescent="0.25">
      <c r="B38" s="710"/>
      <c r="C38" s="711" t="s">
        <v>455</v>
      </c>
      <c r="D38" s="380"/>
      <c r="E38" s="380"/>
      <c r="F38" s="380"/>
      <c r="G38" s="380"/>
      <c r="H38" s="380"/>
      <c r="I38" s="386"/>
      <c r="J38" s="386"/>
      <c r="K38" s="386"/>
      <c r="L38" s="386"/>
      <c r="M38" s="386"/>
      <c r="N38" s="386"/>
      <c r="O38" s="386"/>
      <c r="P38" s="566"/>
      <c r="Q38" s="386"/>
      <c r="R38" s="52" t="s">
        <v>93</v>
      </c>
    </row>
    <row r="39" spans="2:18" s="56" customFormat="1" x14ac:dyDescent="0.2">
      <c r="B39" s="710"/>
      <c r="C39" s="708"/>
      <c r="D39" s="384"/>
      <c r="E39" s="384"/>
      <c r="F39" s="384"/>
      <c r="G39" s="384"/>
      <c r="H39" s="384"/>
      <c r="I39" s="386"/>
      <c r="J39" s="386"/>
      <c r="K39" s="386"/>
      <c r="L39" s="386"/>
      <c r="M39" s="386"/>
      <c r="N39" s="386"/>
      <c r="O39" s="386"/>
      <c r="P39" s="566"/>
      <c r="Q39" s="386"/>
      <c r="R39" s="51"/>
    </row>
    <row r="40" spans="2:18" s="56" customFormat="1" ht="16.149999999999999" customHeight="1" x14ac:dyDescent="0.2">
      <c r="B40" s="710"/>
      <c r="C40" s="886" t="s">
        <v>38</v>
      </c>
      <c r="D40" s="886"/>
      <c r="E40" s="886"/>
      <c r="F40" s="771"/>
      <c r="G40" s="386"/>
      <c r="H40" s="386"/>
      <c r="I40" s="386"/>
      <c r="J40" s="386"/>
      <c r="K40" s="386"/>
      <c r="L40" s="386"/>
      <c r="M40" s="386"/>
      <c r="N40" s="386"/>
      <c r="O40" s="386"/>
      <c r="P40" s="566"/>
      <c r="Q40" s="386"/>
      <c r="R40" s="51"/>
    </row>
    <row r="41" spans="2:18" s="56" customFormat="1" ht="16.149999999999999" customHeight="1" thickBot="1" x14ac:dyDescent="0.25">
      <c r="B41" s="710"/>
      <c r="C41" s="886" t="s">
        <v>242</v>
      </c>
      <c r="D41" s="886"/>
      <c r="E41" s="886"/>
      <c r="F41" s="771"/>
      <c r="G41" s="386"/>
      <c r="H41" s="386"/>
      <c r="I41" s="386"/>
      <c r="J41" s="386"/>
      <c r="K41" s="386"/>
      <c r="L41" s="386"/>
      <c r="M41" s="386"/>
      <c r="N41" s="386"/>
      <c r="O41" s="386"/>
      <c r="P41" s="566"/>
      <c r="Q41" s="386"/>
      <c r="R41" s="51"/>
    </row>
    <row r="42" spans="2:18" s="56" customFormat="1" ht="12.75" customHeight="1" x14ac:dyDescent="0.2">
      <c r="B42" s="710"/>
      <c r="C42" s="386"/>
      <c r="D42" s="384"/>
      <c r="E42" s="384"/>
      <c r="F42" s="384"/>
      <c r="G42" s="386"/>
      <c r="H42" s="386"/>
      <c r="I42" s="386"/>
      <c r="J42" s="386" t="s">
        <v>8</v>
      </c>
      <c r="K42" s="386"/>
      <c r="L42" s="384"/>
      <c r="M42" s="692"/>
      <c r="N42" s="396" t="s">
        <v>7</v>
      </c>
      <c r="O42" s="386"/>
      <c r="P42" s="566"/>
      <c r="Q42" s="386"/>
      <c r="R42" s="91" t="s">
        <v>537</v>
      </c>
    </row>
    <row r="43" spans="2:18" s="56" customFormat="1" ht="13.5" thickBot="1" x14ac:dyDescent="0.25">
      <c r="B43" s="710"/>
      <c r="C43" s="386" t="s">
        <v>373</v>
      </c>
      <c r="D43" s="384"/>
      <c r="E43" s="384"/>
      <c r="F43" s="384"/>
      <c r="G43" s="384"/>
      <c r="H43" s="692"/>
      <c r="I43" s="384"/>
      <c r="J43" s="386" t="s">
        <v>9</v>
      </c>
      <c r="K43" s="386"/>
      <c r="L43" s="386"/>
      <c r="M43" s="692"/>
      <c r="N43" s="396" t="s">
        <v>7</v>
      </c>
      <c r="O43" s="386"/>
      <c r="P43" s="566"/>
      <c r="Q43" s="386"/>
      <c r="R43" s="55" t="s">
        <v>94</v>
      </c>
    </row>
    <row r="44" spans="2:18" s="56" customFormat="1" x14ac:dyDescent="0.2">
      <c r="B44" s="710"/>
      <c r="C44" s="396" t="s">
        <v>361</v>
      </c>
      <c r="D44" s="396"/>
      <c r="E44" s="396"/>
      <c r="F44" s="396"/>
      <c r="G44" s="712"/>
      <c r="H44" s="692"/>
      <c r="I44" s="309"/>
      <c r="J44" s="386" t="s">
        <v>359</v>
      </c>
      <c r="K44" s="386"/>
      <c r="L44" s="384"/>
      <c r="M44" s="692"/>
      <c r="N44" s="396" t="s">
        <v>7</v>
      </c>
      <c r="O44" s="386"/>
      <c r="P44" s="566"/>
      <c r="Q44" s="386"/>
    </row>
    <row r="45" spans="2:18" s="56" customFormat="1" x14ac:dyDescent="0.2">
      <c r="B45" s="710"/>
      <c r="C45" s="386" t="s">
        <v>95</v>
      </c>
      <c r="D45" s="384"/>
      <c r="E45" s="384"/>
      <c r="F45" s="384"/>
      <c r="G45" s="384"/>
      <c r="H45" s="693"/>
      <c r="I45" s="396" t="s">
        <v>7</v>
      </c>
      <c r="J45" s="396" t="s">
        <v>360</v>
      </c>
      <c r="K45" s="396"/>
      <c r="L45" s="384"/>
      <c r="M45" s="692"/>
      <c r="N45" s="396" t="s">
        <v>7</v>
      </c>
      <c r="O45" s="386"/>
      <c r="P45" s="566"/>
      <c r="Q45" s="386"/>
    </row>
    <row r="46" spans="2:18" s="56" customFormat="1" ht="25.9" customHeight="1" x14ac:dyDescent="0.2">
      <c r="B46" s="710"/>
      <c r="C46" s="881" t="s">
        <v>441</v>
      </c>
      <c r="D46" s="881"/>
      <c r="E46" s="881"/>
      <c r="F46" s="881"/>
      <c r="G46" s="893"/>
      <c r="H46" s="692"/>
      <c r="I46" s="396" t="s">
        <v>7</v>
      </c>
      <c r="J46" s="906" t="s">
        <v>304</v>
      </c>
      <c r="K46" s="906"/>
      <c r="L46" s="908"/>
      <c r="M46" s="692"/>
      <c r="N46" s="396" t="s">
        <v>7</v>
      </c>
      <c r="O46" s="386"/>
      <c r="P46" s="566"/>
      <c r="Q46" s="386"/>
    </row>
    <row r="47" spans="2:18" s="715" customFormat="1" ht="25.5" customHeight="1" thickBot="1" x14ac:dyDescent="0.25">
      <c r="B47" s="713"/>
      <c r="C47" s="894" t="s">
        <v>306</v>
      </c>
      <c r="D47" s="894"/>
      <c r="E47" s="894"/>
      <c r="F47" s="894"/>
      <c r="G47" s="895"/>
      <c r="H47" s="692"/>
      <c r="I47" s="396" t="s">
        <v>7</v>
      </c>
      <c r="J47" s="906" t="s">
        <v>305</v>
      </c>
      <c r="K47" s="906"/>
      <c r="L47" s="908"/>
      <c r="M47" s="692"/>
      <c r="N47" s="396" t="s">
        <v>7</v>
      </c>
      <c r="O47" s="396"/>
      <c r="P47" s="566"/>
      <c r="Q47" s="396"/>
      <c r="R47" s="714" t="s">
        <v>35</v>
      </c>
    </row>
    <row r="48" spans="2:18" s="56" customFormat="1" ht="12.95" customHeight="1" x14ac:dyDescent="0.2">
      <c r="B48" s="710"/>
      <c r="C48" s="386" t="s">
        <v>368</v>
      </c>
      <c r="D48" s="384"/>
      <c r="E48" s="384"/>
      <c r="F48" s="386"/>
      <c r="G48" s="386"/>
      <c r="H48" s="716" t="str">
        <f>+IF(OR(ISBLANK(H46),ISBLANK(H47)),"No Data", ABS(H47-H46))</f>
        <v>No Data</v>
      </c>
      <c r="I48" s="386" t="s">
        <v>7</v>
      </c>
      <c r="J48" s="386"/>
      <c r="K48" s="386"/>
      <c r="L48" s="386"/>
      <c r="M48" s="396"/>
      <c r="N48" s="386"/>
      <c r="O48" s="386"/>
      <c r="P48" s="566"/>
      <c r="Q48" s="386"/>
      <c r="R48" s="53" t="s">
        <v>37</v>
      </c>
    </row>
    <row r="49" spans="2:18" s="56" customFormat="1" ht="12.95" customHeight="1" thickBot="1" x14ac:dyDescent="0.25">
      <c r="B49" s="710"/>
      <c r="C49" s="386"/>
      <c r="D49" s="384"/>
      <c r="E49" s="384"/>
      <c r="F49" s="386"/>
      <c r="G49" s="386"/>
      <c r="H49" s="717"/>
      <c r="I49" s="386"/>
      <c r="J49" s="386"/>
      <c r="K49" s="386"/>
      <c r="L49" s="386"/>
      <c r="M49" s="396"/>
      <c r="N49" s="386"/>
      <c r="O49" s="386"/>
      <c r="P49" s="566"/>
      <c r="Q49" s="386"/>
      <c r="R49" s="55" t="s">
        <v>36</v>
      </c>
    </row>
    <row r="50" spans="2:18" s="56" customFormat="1" ht="12.95" customHeight="1" x14ac:dyDescent="0.2">
      <c r="B50" s="710"/>
      <c r="C50" s="386"/>
      <c r="D50" s="386" t="s">
        <v>293</v>
      </c>
      <c r="E50" s="384"/>
      <c r="F50" s="386"/>
      <c r="G50" s="386"/>
      <c r="H50" s="717"/>
      <c r="I50" s="386"/>
      <c r="J50" s="386" t="s">
        <v>365</v>
      </c>
      <c r="K50" s="386"/>
      <c r="L50" s="386"/>
      <c r="M50" s="716" t="str">
        <f>IF(OR(J10="Yes",J11="Yes"),0,IF(OR(ISBLANK(M46),ISBLANK(M47)),"No Data", ABS(M46-M47)))</f>
        <v>No Data</v>
      </c>
      <c r="N50" s="386" t="s">
        <v>7</v>
      </c>
      <c r="O50" s="386"/>
      <c r="P50" s="566"/>
      <c r="Q50" s="386"/>
    </row>
    <row r="51" spans="2:18" s="56" customFormat="1" ht="12.95" customHeight="1" x14ac:dyDescent="0.2">
      <c r="B51" s="710"/>
      <c r="C51" s="386"/>
      <c r="D51" s="718" t="s">
        <v>114</v>
      </c>
      <c r="E51" s="398"/>
      <c r="F51" s="398"/>
      <c r="G51" s="398"/>
      <c r="H51" s="887" t="str">
        <f>IF(J9="Yes","N/A",IF(OR(ISBLANK(H47),ISBLANK(H46),ISBLANK(M44),ISBLANK(M45)),"No",IF((ABS(H46-M44)+ABS(M45-H47)+M51)=H48,"Yes","No")))</f>
        <v>No</v>
      </c>
      <c r="I51" s="386"/>
      <c r="J51" s="386" t="s">
        <v>115</v>
      </c>
      <c r="K51" s="386"/>
      <c r="L51" s="386"/>
      <c r="M51" s="716" t="str">
        <f>+IF(OR(ISBLANK(M44),ISBLANK(M45)),"No Data", ABS(M44-M45))</f>
        <v>No Data</v>
      </c>
      <c r="N51" s="386" t="s">
        <v>7</v>
      </c>
      <c r="O51" s="386"/>
      <c r="P51" s="566"/>
      <c r="Q51" s="386"/>
    </row>
    <row r="52" spans="2:18" s="56" customFormat="1" ht="12.95" customHeight="1" x14ac:dyDescent="0.2">
      <c r="B52" s="710"/>
      <c r="C52" s="386"/>
      <c r="D52" s="719" t="s">
        <v>568</v>
      </c>
      <c r="E52" s="720"/>
      <c r="F52" s="720"/>
      <c r="G52" s="720"/>
      <c r="H52" s="888"/>
      <c r="I52" s="386"/>
      <c r="J52" s="386"/>
      <c r="K52" s="386"/>
      <c r="L52" s="386"/>
      <c r="M52" s="396"/>
      <c r="N52" s="386"/>
      <c r="O52" s="386"/>
      <c r="P52" s="566"/>
      <c r="Q52" s="386"/>
    </row>
    <row r="53" spans="2:18" s="56" customFormat="1" ht="12.95" customHeight="1" x14ac:dyDescent="0.2">
      <c r="B53" s="710"/>
      <c r="C53" s="386"/>
      <c r="D53" s="386"/>
      <c r="E53" s="386"/>
      <c r="F53" s="386"/>
      <c r="G53" s="386"/>
      <c r="H53" s="721"/>
      <c r="I53" s="386"/>
      <c r="J53" s="386"/>
      <c r="K53" s="386"/>
      <c r="L53" s="386"/>
      <c r="M53" s="396"/>
      <c r="N53" s="386"/>
      <c r="O53" s="386"/>
      <c r="P53" s="566"/>
      <c r="Q53" s="386"/>
    </row>
    <row r="54" spans="2:18" s="56" customFormat="1" ht="12.95" customHeight="1" x14ac:dyDescent="0.2">
      <c r="B54" s="710"/>
      <c r="C54" s="386"/>
      <c r="D54" s="386"/>
      <c r="E54" s="386"/>
      <c r="F54" s="386"/>
      <c r="G54" s="386"/>
      <c r="H54" s="386"/>
      <c r="I54" s="386"/>
      <c r="J54" s="386" t="s">
        <v>111</v>
      </c>
      <c r="K54" s="386"/>
      <c r="L54" s="386"/>
      <c r="M54" s="722" t="str">
        <f>IF(OR(ISBLANK(M44),ISBLANK(H46)),"No Data",ABS(H46-M44))</f>
        <v>No Data</v>
      </c>
      <c r="N54" s="386" t="s">
        <v>7</v>
      </c>
      <c r="O54" s="386"/>
      <c r="P54" s="566"/>
      <c r="Q54" s="386"/>
      <c r="R54" s="56" t="s">
        <v>237</v>
      </c>
    </row>
    <row r="55" spans="2:18" s="56" customFormat="1" ht="12.95" customHeight="1" thickBot="1" x14ac:dyDescent="0.25">
      <c r="B55" s="710"/>
      <c r="C55" s="386"/>
      <c r="D55" s="386"/>
      <c r="E55" s="386"/>
      <c r="F55" s="386"/>
      <c r="G55" s="386"/>
      <c r="H55" s="386"/>
      <c r="I55" s="386"/>
      <c r="J55" s="386" t="s">
        <v>112</v>
      </c>
      <c r="K55" s="386"/>
      <c r="L55" s="386"/>
      <c r="M55" s="722" t="str">
        <f>IF(OR(ISBLANK(M45),ISBLANK(H47)),"No Data",ABS(M45-H47))</f>
        <v>No Data</v>
      </c>
      <c r="N55" s="386" t="s">
        <v>7</v>
      </c>
      <c r="O55" s="386"/>
      <c r="P55" s="566"/>
      <c r="Q55" s="386"/>
    </row>
    <row r="56" spans="2:18" s="56" customFormat="1" ht="12.95" customHeight="1" x14ac:dyDescent="0.2">
      <c r="B56" s="710"/>
      <c r="C56" s="386"/>
      <c r="D56" s="386"/>
      <c r="E56" s="386"/>
      <c r="F56" s="386"/>
      <c r="G56" s="386"/>
      <c r="H56" s="386"/>
      <c r="I56" s="386"/>
      <c r="J56" s="386" t="s">
        <v>604</v>
      </c>
      <c r="K56" s="386"/>
      <c r="L56" s="386"/>
      <c r="M56" s="727" t="str">
        <f>IF(OR(ISBLANK(M42),ISBLANK(M43),ISBLANK(H46),ISBLANK(H47)),"No Data",1-(ABS(M43-M42)/H48))</f>
        <v>No Data</v>
      </c>
      <c r="N56" s="386"/>
      <c r="O56" s="386"/>
      <c r="P56" s="566"/>
      <c r="Q56" s="386"/>
      <c r="R56" s="53" t="s">
        <v>238</v>
      </c>
    </row>
    <row r="57" spans="2:18" s="56" customFormat="1" ht="12.95" customHeight="1" x14ac:dyDescent="0.2">
      <c r="B57" s="710"/>
      <c r="C57" s="386"/>
      <c r="D57" s="386"/>
      <c r="E57" s="386"/>
      <c r="F57" s="386"/>
      <c r="G57" s="386"/>
      <c r="H57" s="386"/>
      <c r="I57" s="386"/>
      <c r="J57" s="386"/>
      <c r="K57" s="386"/>
      <c r="L57" s="386"/>
      <c r="M57" s="386"/>
      <c r="N57" s="386"/>
      <c r="O57" s="386"/>
      <c r="P57" s="566"/>
      <c r="Q57" s="386"/>
      <c r="R57" s="157" t="s">
        <v>239</v>
      </c>
    </row>
    <row r="58" spans="2:18" s="56" customFormat="1" ht="12.95" customHeight="1" x14ac:dyDescent="0.2">
      <c r="B58" s="710"/>
      <c r="C58" s="384" t="s">
        <v>461</v>
      </c>
      <c r="D58" s="386"/>
      <c r="E58" s="386"/>
      <c r="F58" s="386"/>
      <c r="G58" s="386"/>
      <c r="H58" s="386"/>
      <c r="I58" s="386"/>
      <c r="J58" s="386"/>
      <c r="K58" s="386"/>
      <c r="L58" s="384"/>
      <c r="M58" s="384"/>
      <c r="N58" s="384"/>
      <c r="O58" s="387"/>
      <c r="P58" s="566"/>
      <c r="Q58" s="386"/>
      <c r="R58" s="92" t="s">
        <v>240</v>
      </c>
    </row>
    <row r="59" spans="2:18" s="56" customFormat="1" ht="12.95" customHeight="1" thickBot="1" x14ac:dyDescent="0.25">
      <c r="B59" s="728"/>
      <c r="C59" s="60"/>
      <c r="D59" s="60"/>
      <c r="E59" s="60"/>
      <c r="F59" s="60"/>
      <c r="G59" s="60"/>
      <c r="H59" s="60"/>
      <c r="I59" s="60"/>
      <c r="J59" s="60"/>
      <c r="K59" s="60"/>
      <c r="L59" s="61"/>
      <c r="M59" s="61"/>
      <c r="N59" s="61"/>
      <c r="O59" s="62"/>
      <c r="P59" s="709"/>
      <c r="Q59" s="386"/>
      <c r="R59" s="55" t="s">
        <v>317</v>
      </c>
    </row>
    <row r="60" spans="2:18" x14ac:dyDescent="0.2">
      <c r="B60" s="49"/>
      <c r="C60" s="591"/>
      <c r="D60" s="591"/>
      <c r="E60" s="591"/>
      <c r="F60" s="591"/>
      <c r="G60" s="591"/>
      <c r="H60" s="591"/>
      <c r="I60" s="591"/>
      <c r="J60" s="370"/>
      <c r="K60" s="591"/>
      <c r="L60" s="591"/>
      <c r="M60" s="591"/>
      <c r="N60" s="591"/>
      <c r="O60" s="591"/>
      <c r="P60" s="571"/>
      <c r="Q60" s="380"/>
    </row>
    <row r="61" spans="2:18" ht="15.75" x14ac:dyDescent="0.25">
      <c r="B61" s="50"/>
      <c r="C61" s="711" t="s">
        <v>456</v>
      </c>
      <c r="D61" s="386"/>
      <c r="E61" s="386"/>
      <c r="F61" s="380"/>
      <c r="G61" s="386"/>
      <c r="H61" s="384"/>
      <c r="I61" s="380"/>
      <c r="J61" s="386"/>
      <c r="K61" s="380"/>
      <c r="L61" s="380"/>
      <c r="M61" s="380"/>
      <c r="N61" s="380"/>
      <c r="O61" s="380"/>
      <c r="P61" s="566"/>
      <c r="Q61" s="380"/>
    </row>
    <row r="62" spans="2:18" s="63" customFormat="1" x14ac:dyDescent="0.2">
      <c r="B62" s="532"/>
      <c r="C62" s="386"/>
      <c r="D62" s="386"/>
      <c r="E62" s="386"/>
      <c r="F62" s="384"/>
      <c r="G62" s="386"/>
      <c r="H62" s="384"/>
      <c r="I62" s="729"/>
      <c r="J62" s="386"/>
      <c r="K62" s="384"/>
      <c r="L62" s="384"/>
      <c r="M62" s="384"/>
      <c r="N62" s="384"/>
      <c r="O62" s="384"/>
      <c r="P62" s="566"/>
      <c r="Q62" s="384"/>
      <c r="R62" s="56" t="s">
        <v>244</v>
      </c>
    </row>
    <row r="63" spans="2:18" x14ac:dyDescent="0.2">
      <c r="B63" s="50"/>
      <c r="C63" s="886" t="s">
        <v>38</v>
      </c>
      <c r="D63" s="886"/>
      <c r="E63" s="886"/>
      <c r="F63" s="771"/>
      <c r="G63" s="380"/>
      <c r="H63" s="380"/>
      <c r="I63" s="380"/>
      <c r="J63" s="380"/>
      <c r="K63" s="380"/>
      <c r="L63" s="380"/>
      <c r="M63" s="380"/>
      <c r="N63" s="380"/>
      <c r="O63" s="380"/>
      <c r="P63" s="730"/>
    </row>
    <row r="64" spans="2:18" x14ac:dyDescent="0.2">
      <c r="B64" s="50"/>
      <c r="C64" s="886" t="s">
        <v>241</v>
      </c>
      <c r="D64" s="886"/>
      <c r="E64" s="886"/>
      <c r="F64" s="771"/>
      <c r="G64" s="380"/>
      <c r="H64" s="380"/>
      <c r="I64" s="380"/>
      <c r="J64" s="380"/>
      <c r="K64" s="380"/>
      <c r="L64" s="380"/>
      <c r="M64" s="380"/>
      <c r="N64" s="380"/>
      <c r="O64" s="380"/>
      <c r="P64" s="730"/>
    </row>
    <row r="65" spans="1:50" ht="13.5" thickBot="1" x14ac:dyDescent="0.25">
      <c r="B65" s="50"/>
      <c r="C65" s="386"/>
      <c r="D65" s="386"/>
      <c r="E65" s="386"/>
      <c r="F65" s="386"/>
      <c r="G65" s="386"/>
      <c r="H65" s="384"/>
      <c r="I65" s="386"/>
      <c r="J65" s="386"/>
      <c r="K65" s="380"/>
      <c r="L65" s="380"/>
      <c r="M65" s="380"/>
      <c r="N65" s="380"/>
      <c r="O65" s="380"/>
      <c r="P65" s="566"/>
      <c r="Q65" s="380"/>
    </row>
    <row r="66" spans="1:50" x14ac:dyDescent="0.2">
      <c r="B66" s="50"/>
      <c r="C66" s="380"/>
      <c r="D66" s="386" t="s">
        <v>96</v>
      </c>
      <c r="E66" s="380"/>
      <c r="F66" s="380"/>
      <c r="G66" s="380"/>
      <c r="H66" s="380"/>
      <c r="I66" s="693"/>
      <c r="J66" s="386"/>
      <c r="K66" s="380"/>
      <c r="L66" s="380"/>
      <c r="N66" s="380"/>
      <c r="O66" s="380"/>
      <c r="P66" s="566"/>
      <c r="Q66" s="380"/>
      <c r="R66" s="53" t="s">
        <v>245</v>
      </c>
    </row>
    <row r="67" spans="1:50" x14ac:dyDescent="0.2">
      <c r="B67" s="50"/>
      <c r="C67" s="380"/>
      <c r="D67" s="386" t="s">
        <v>11</v>
      </c>
      <c r="E67" s="380"/>
      <c r="F67" s="380"/>
      <c r="G67" s="380"/>
      <c r="H67" s="380"/>
      <c r="I67" s="693"/>
      <c r="J67" s="386"/>
      <c r="K67" s="386" t="s">
        <v>293</v>
      </c>
      <c r="L67" s="380"/>
      <c r="N67" s="386"/>
      <c r="O67" s="380"/>
      <c r="P67" s="566"/>
      <c r="Q67" s="380"/>
      <c r="R67" s="767" t="s">
        <v>569</v>
      </c>
    </row>
    <row r="68" spans="1:50" s="386" customFormat="1" ht="15.6" customHeight="1" x14ac:dyDescent="0.2">
      <c r="B68" s="710"/>
      <c r="D68" s="386" t="s">
        <v>258</v>
      </c>
      <c r="E68" s="380"/>
      <c r="F68" s="380"/>
      <c r="G68" s="380"/>
      <c r="H68" s="380"/>
      <c r="I68" s="694"/>
      <c r="J68" s="386" t="s">
        <v>7</v>
      </c>
      <c r="K68" s="723" t="s">
        <v>292</v>
      </c>
      <c r="L68" s="406"/>
      <c r="M68" s="724"/>
      <c r="N68" s="910" t="str">
        <f>IF(J9="Yes","N/A",IF(OR(ISBLANK(I68),ISBLANK(I69),ISBLANK(I70),ISBLANK(I71)),"No",IF((I70+I71+I68)=I69,"Yes","No")))</f>
        <v>No</v>
      </c>
      <c r="P68" s="572"/>
      <c r="R68" s="157" t="s">
        <v>246</v>
      </c>
    </row>
    <row r="69" spans="1:50" s="732" customFormat="1" ht="13.9" customHeight="1" thickBot="1" x14ac:dyDescent="0.25">
      <c r="A69" s="386"/>
      <c r="B69" s="710"/>
      <c r="C69" s="386"/>
      <c r="D69" s="386" t="s">
        <v>362</v>
      </c>
      <c r="E69" s="380"/>
      <c r="F69" s="380"/>
      <c r="G69" s="380"/>
      <c r="H69" s="386"/>
      <c r="I69" s="694"/>
      <c r="J69" s="386" t="s">
        <v>7</v>
      </c>
      <c r="K69" s="725" t="s">
        <v>367</v>
      </c>
      <c r="L69" s="407"/>
      <c r="M69" s="726"/>
      <c r="N69" s="923"/>
      <c r="O69" s="731"/>
      <c r="P69" s="566"/>
      <c r="Q69" s="386"/>
      <c r="R69" s="157" t="s">
        <v>247</v>
      </c>
      <c r="S69" s="386"/>
      <c r="T69" s="386"/>
      <c r="U69" s="386"/>
      <c r="V69" s="386"/>
      <c r="W69" s="386"/>
      <c r="X69" s="386"/>
      <c r="Y69" s="386"/>
      <c r="Z69" s="386"/>
      <c r="AA69" s="386"/>
      <c r="AB69" s="386"/>
      <c r="AC69" s="386"/>
      <c r="AD69" s="386"/>
      <c r="AE69" s="386"/>
      <c r="AF69" s="386"/>
      <c r="AG69" s="386"/>
      <c r="AH69" s="386"/>
      <c r="AI69" s="386"/>
      <c r="AJ69" s="386"/>
      <c r="AK69" s="386"/>
      <c r="AL69" s="386"/>
      <c r="AM69" s="386"/>
      <c r="AN69" s="386"/>
      <c r="AO69" s="386"/>
      <c r="AP69" s="386"/>
      <c r="AQ69" s="386"/>
      <c r="AR69" s="386"/>
      <c r="AS69" s="386"/>
      <c r="AT69" s="386"/>
      <c r="AU69" s="386"/>
      <c r="AV69" s="386"/>
      <c r="AW69" s="386"/>
      <c r="AX69" s="386"/>
    </row>
    <row r="70" spans="1:50" ht="13.15" customHeight="1" thickTop="1" thickBot="1" x14ac:dyDescent="0.25">
      <c r="B70" s="50"/>
      <c r="C70" s="380"/>
      <c r="D70" s="386" t="s">
        <v>30</v>
      </c>
      <c r="E70" s="380"/>
      <c r="F70" s="380"/>
      <c r="G70" s="380"/>
      <c r="H70" s="386"/>
      <c r="I70" s="695" t="s">
        <v>583</v>
      </c>
      <c r="J70" s="386" t="s">
        <v>7</v>
      </c>
      <c r="K70" s="380"/>
      <c r="L70" s="380"/>
      <c r="N70" s="380"/>
      <c r="O70" s="380"/>
      <c r="P70" s="566"/>
      <c r="Q70" s="380"/>
      <c r="R70" s="55" t="s">
        <v>248</v>
      </c>
    </row>
    <row r="71" spans="1:50" x14ac:dyDescent="0.2">
      <c r="B71" s="50"/>
      <c r="C71" s="380"/>
      <c r="D71" s="386" t="s">
        <v>28</v>
      </c>
      <c r="E71" s="380"/>
      <c r="F71" s="380"/>
      <c r="G71" s="380"/>
      <c r="H71" s="380"/>
      <c r="I71" s="695" t="s">
        <v>583</v>
      </c>
      <c r="J71" s="386" t="s">
        <v>7</v>
      </c>
      <c r="K71" s="380"/>
      <c r="L71" s="380"/>
      <c r="M71" s="380"/>
      <c r="N71" s="380"/>
      <c r="O71" s="380"/>
      <c r="P71" s="566"/>
      <c r="Q71" s="380"/>
    </row>
    <row r="72" spans="1:50" ht="12.75" customHeight="1" x14ac:dyDescent="0.2">
      <c r="B72" s="50"/>
      <c r="C72" s="380"/>
      <c r="D72" s="386" t="s">
        <v>605</v>
      </c>
      <c r="E72" s="380"/>
      <c r="F72" s="380"/>
      <c r="G72" s="380"/>
      <c r="H72" s="380"/>
      <c r="I72" s="212" t="str">
        <f>IF(OR(ISBLANK(I68),ISBLANK(I69)),"No Data",1-(I68/I69))</f>
        <v>No Data</v>
      </c>
      <c r="J72" s="386"/>
      <c r="K72" s="380"/>
      <c r="L72" s="380"/>
      <c r="M72" s="380"/>
      <c r="N72" s="380"/>
      <c r="P72" s="566"/>
      <c r="Q72" s="380"/>
    </row>
    <row r="73" spans="1:50" ht="12.75" customHeight="1" x14ac:dyDescent="0.2">
      <c r="B73" s="50"/>
      <c r="C73" s="380"/>
      <c r="D73" s="386"/>
      <c r="E73" s="380"/>
      <c r="F73" s="380"/>
      <c r="G73" s="380"/>
      <c r="H73" s="380"/>
      <c r="I73" s="733"/>
      <c r="J73" s="386"/>
      <c r="K73" s="380"/>
      <c r="L73" s="380"/>
      <c r="M73" s="380"/>
      <c r="N73" s="380"/>
      <c r="P73" s="566"/>
      <c r="Q73" s="380"/>
    </row>
    <row r="74" spans="1:50" x14ac:dyDescent="0.2">
      <c r="B74" s="50"/>
      <c r="C74" s="384" t="s">
        <v>538</v>
      </c>
      <c r="D74" s="380"/>
      <c r="F74" s="380"/>
      <c r="G74" s="380"/>
      <c r="H74" s="380"/>
      <c r="I74" s="380"/>
      <c r="J74" s="733"/>
      <c r="K74" s="386"/>
      <c r="L74" s="380"/>
      <c r="M74" s="380"/>
      <c r="N74" s="380"/>
      <c r="O74" s="380"/>
      <c r="P74" s="566"/>
      <c r="Q74" s="380"/>
    </row>
    <row r="75" spans="1:50" x14ac:dyDescent="0.2">
      <c r="B75" s="50"/>
      <c r="C75" s="384" t="s">
        <v>539</v>
      </c>
      <c r="D75" s="380"/>
      <c r="F75" s="380"/>
      <c r="G75" s="380"/>
      <c r="H75" s="380"/>
      <c r="I75" s="380"/>
      <c r="J75" s="733"/>
      <c r="K75" s="386"/>
      <c r="L75" s="380"/>
      <c r="M75" s="380"/>
      <c r="N75" s="380"/>
      <c r="O75" s="380"/>
      <c r="P75" s="566"/>
      <c r="Q75" s="380"/>
    </row>
    <row r="76" spans="1:50" ht="13.5" thickBot="1" x14ac:dyDescent="0.25">
      <c r="B76" s="59"/>
      <c r="C76" s="60"/>
      <c r="D76" s="61"/>
      <c r="E76" s="61"/>
      <c r="F76" s="61"/>
      <c r="G76" s="61"/>
      <c r="H76" s="734"/>
      <c r="I76" s="60"/>
      <c r="J76" s="61"/>
      <c r="K76" s="61"/>
      <c r="L76" s="61"/>
      <c r="M76" s="61"/>
      <c r="N76" s="61"/>
      <c r="O76" s="61"/>
      <c r="P76" s="709"/>
      <c r="Q76" s="380"/>
    </row>
    <row r="77" spans="1:50" x14ac:dyDescent="0.2">
      <c r="B77" s="49"/>
      <c r="C77" s="591"/>
      <c r="D77" s="591"/>
      <c r="E77" s="591"/>
      <c r="F77" s="591"/>
      <c r="G77" s="591"/>
      <c r="H77" s="591"/>
      <c r="I77" s="591"/>
      <c r="J77" s="370"/>
      <c r="K77" s="591"/>
      <c r="L77" s="591"/>
      <c r="M77" s="591"/>
      <c r="N77" s="591"/>
      <c r="O77" s="591"/>
      <c r="P77" s="571"/>
      <c r="Q77" s="380"/>
    </row>
    <row r="78" spans="1:50" ht="15.75" x14ac:dyDescent="0.25">
      <c r="B78" s="50"/>
      <c r="C78" s="711" t="s">
        <v>457</v>
      </c>
      <c r="D78" s="380"/>
      <c r="E78" s="380"/>
      <c r="F78" s="380"/>
      <c r="G78" s="380"/>
      <c r="H78" s="380"/>
      <c r="I78" s="380"/>
      <c r="J78" s="386"/>
      <c r="K78" s="380"/>
      <c r="L78" s="380"/>
      <c r="M78" s="380"/>
      <c r="N78" s="380"/>
      <c r="O78" s="380"/>
      <c r="P78" s="566"/>
      <c r="Q78" s="380"/>
    </row>
    <row r="79" spans="1:50" x14ac:dyDescent="0.2">
      <c r="B79" s="50"/>
      <c r="C79" s="386"/>
      <c r="D79" s="386"/>
      <c r="E79" s="386"/>
      <c r="F79" s="380"/>
      <c r="G79" s="386"/>
      <c r="H79" s="384"/>
      <c r="I79" s="380"/>
      <c r="J79" s="386"/>
      <c r="K79" s="380"/>
      <c r="L79" s="380"/>
      <c r="M79" s="380"/>
      <c r="N79" s="380"/>
      <c r="O79" s="380"/>
      <c r="P79" s="566"/>
      <c r="Q79" s="380"/>
    </row>
    <row r="80" spans="1:50" x14ac:dyDescent="0.2">
      <c r="B80" s="50"/>
      <c r="C80" s="886" t="s">
        <v>38</v>
      </c>
      <c r="D80" s="886"/>
      <c r="E80" s="886"/>
      <c r="F80" s="771"/>
      <c r="G80" s="380"/>
      <c r="H80" s="380"/>
      <c r="I80" s="380"/>
      <c r="J80" s="380"/>
      <c r="K80" s="380"/>
      <c r="L80" s="380"/>
      <c r="M80" s="380"/>
      <c r="N80" s="380"/>
      <c r="O80" s="380"/>
      <c r="P80" s="730"/>
    </row>
    <row r="81" spans="1:50" x14ac:dyDescent="0.2">
      <c r="B81" s="50"/>
      <c r="C81" s="886" t="s">
        <v>241</v>
      </c>
      <c r="D81" s="886"/>
      <c r="E81" s="886"/>
      <c r="F81" s="771"/>
      <c r="G81" s="380"/>
      <c r="H81" s="380"/>
      <c r="I81" s="380"/>
      <c r="J81" s="380"/>
      <c r="K81" s="380"/>
      <c r="L81" s="380"/>
      <c r="M81" s="380"/>
      <c r="N81" s="380"/>
      <c r="O81" s="380"/>
      <c r="P81" s="730"/>
    </row>
    <row r="82" spans="1:50" x14ac:dyDescent="0.2">
      <c r="B82" s="50"/>
      <c r="C82" s="380"/>
      <c r="D82" s="380"/>
      <c r="E82" s="409" t="s">
        <v>313</v>
      </c>
      <c r="F82" s="696"/>
      <c r="G82" s="697"/>
      <c r="H82" s="697"/>
      <c r="I82" s="698"/>
      <c r="J82" s="380"/>
      <c r="K82" s="380"/>
      <c r="L82" s="380"/>
      <c r="M82" s="380"/>
      <c r="N82" s="380"/>
      <c r="O82" s="380"/>
      <c r="P82" s="730"/>
    </row>
    <row r="83" spans="1:50" x14ac:dyDescent="0.2">
      <c r="B83" s="50"/>
      <c r="C83" s="386"/>
      <c r="D83" s="380"/>
      <c r="J83" s="386"/>
      <c r="K83" s="380"/>
      <c r="L83" s="380"/>
      <c r="M83" s="380"/>
      <c r="N83" s="380"/>
      <c r="O83" s="380"/>
      <c r="P83" s="566"/>
      <c r="Q83" s="380"/>
    </row>
    <row r="84" spans="1:50" s="386" customFormat="1" x14ac:dyDescent="0.2">
      <c r="B84" s="710"/>
      <c r="E84" s="386" t="s">
        <v>310</v>
      </c>
      <c r="G84" s="380"/>
      <c r="H84" s="380"/>
      <c r="I84" s="380"/>
      <c r="J84" s="694"/>
      <c r="K84" s="386" t="s">
        <v>7</v>
      </c>
      <c r="P84" s="566"/>
      <c r="R84" s="51"/>
    </row>
    <row r="85" spans="1:50" s="732" customFormat="1" ht="13.5" thickBot="1" x14ac:dyDescent="0.25">
      <c r="A85" s="386"/>
      <c r="B85" s="710"/>
      <c r="C85" s="386"/>
      <c r="D85" s="386"/>
      <c r="E85" s="386" t="s">
        <v>363</v>
      </c>
      <c r="F85" s="386"/>
      <c r="G85" s="380"/>
      <c r="H85" s="380"/>
      <c r="I85" s="386"/>
      <c r="J85" s="694"/>
      <c r="K85" s="386" t="s">
        <v>7</v>
      </c>
      <c r="L85" s="386" t="s">
        <v>293</v>
      </c>
      <c r="M85" s="380"/>
      <c r="N85" s="386"/>
      <c r="O85" s="386"/>
      <c r="P85" s="56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386"/>
      <c r="AQ85" s="386"/>
      <c r="AR85" s="386"/>
      <c r="AS85" s="386"/>
      <c r="AT85" s="386"/>
      <c r="AU85" s="386"/>
      <c r="AV85" s="386"/>
      <c r="AW85" s="386"/>
      <c r="AX85" s="386"/>
    </row>
    <row r="86" spans="1:50" ht="13.5" thickTop="1" x14ac:dyDescent="0.2">
      <c r="B86" s="50"/>
      <c r="C86" s="380"/>
      <c r="D86" s="380"/>
      <c r="E86" s="386" t="s">
        <v>311</v>
      </c>
      <c r="F86" s="380"/>
      <c r="G86" s="380"/>
      <c r="H86" s="380"/>
      <c r="I86" s="386"/>
      <c r="J86" s="695" t="s">
        <v>583</v>
      </c>
      <c r="K86" s="386" t="s">
        <v>7</v>
      </c>
      <c r="L86" s="723" t="s">
        <v>292</v>
      </c>
      <c r="M86" s="398"/>
      <c r="N86" s="398"/>
      <c r="O86" s="910" t="str">
        <f>IF(J9="Yes","N/A",IF(OR(ISBLANK(J84),ISBLANK(J85),ISBLANK(J86),ISBLANK(J87)),"No",IF((J87+J86+J84)=J85,"Yes","No")))</f>
        <v>No</v>
      </c>
      <c r="P86" s="566"/>
      <c r="Q86" s="380"/>
      <c r="R86" s="386"/>
    </row>
    <row r="87" spans="1:50" x14ac:dyDescent="0.2">
      <c r="B87" s="50"/>
      <c r="C87" s="380"/>
      <c r="D87" s="380"/>
      <c r="E87" s="386" t="s">
        <v>312</v>
      </c>
      <c r="F87" s="380"/>
      <c r="G87" s="380"/>
      <c r="H87" s="380"/>
      <c r="I87" s="380"/>
      <c r="J87" s="695" t="s">
        <v>583</v>
      </c>
      <c r="K87" s="386" t="s">
        <v>7</v>
      </c>
      <c r="L87" s="719" t="s">
        <v>364</v>
      </c>
      <c r="M87" s="720"/>
      <c r="N87" s="720"/>
      <c r="O87" s="911"/>
      <c r="P87" s="566"/>
      <c r="Q87" s="380"/>
    </row>
    <row r="88" spans="1:50" x14ac:dyDescent="0.2">
      <c r="B88" s="50"/>
      <c r="C88" s="380"/>
      <c r="D88" s="380"/>
      <c r="E88" s="386" t="s">
        <v>649</v>
      </c>
      <c r="F88" s="380"/>
      <c r="G88" s="380"/>
      <c r="H88" s="380"/>
      <c r="I88" s="380"/>
      <c r="J88" s="212" t="str">
        <f>IF(OR(ISBLANK(J84),ISBLANK(J85)),"No Data",1-(J84/J85))</f>
        <v>No Data</v>
      </c>
      <c r="K88" s="386"/>
      <c r="L88" s="380"/>
      <c r="M88" s="380"/>
      <c r="N88" s="380"/>
      <c r="O88" s="380"/>
      <c r="P88" s="566"/>
      <c r="Q88" s="380"/>
    </row>
    <row r="89" spans="1:50" ht="13.15" customHeight="1" x14ac:dyDescent="0.2">
      <c r="B89" s="50"/>
      <c r="C89" s="380"/>
      <c r="D89" s="380"/>
      <c r="E89" s="386"/>
      <c r="F89" s="380"/>
      <c r="G89" s="380"/>
      <c r="H89" s="380"/>
      <c r="I89" s="380"/>
      <c r="J89" s="733"/>
      <c r="O89" s="380"/>
      <c r="P89" s="566"/>
      <c r="Q89" s="380"/>
    </row>
    <row r="90" spans="1:50" ht="24" customHeight="1" x14ac:dyDescent="0.2">
      <c r="B90" s="50"/>
      <c r="C90" s="919" t="s">
        <v>561</v>
      </c>
      <c r="D90" s="920"/>
      <c r="E90" s="920"/>
      <c r="F90" s="920"/>
      <c r="G90" s="920"/>
      <c r="H90" s="920"/>
      <c r="I90" s="920"/>
      <c r="J90" s="733"/>
      <c r="O90" s="380"/>
      <c r="P90" s="566"/>
      <c r="Q90" s="380"/>
    </row>
    <row r="91" spans="1:50" ht="12.75" customHeight="1" x14ac:dyDescent="0.2">
      <c r="B91" s="50"/>
      <c r="C91" s="384" t="s">
        <v>460</v>
      </c>
      <c r="D91" s="380"/>
      <c r="F91" s="380"/>
      <c r="G91" s="380"/>
      <c r="H91" s="380"/>
      <c r="I91" s="380"/>
      <c r="J91" s="733"/>
      <c r="O91" s="380"/>
      <c r="P91" s="566"/>
      <c r="Q91" s="380"/>
    </row>
    <row r="92" spans="1:50" ht="13.5" thickBot="1" x14ac:dyDescent="0.25">
      <c r="B92" s="59"/>
      <c r="C92" s="60"/>
      <c r="D92" s="61"/>
      <c r="E92" s="61"/>
      <c r="F92" s="61"/>
      <c r="G92" s="61"/>
      <c r="H92" s="734"/>
      <c r="I92" s="60"/>
      <c r="J92" s="61"/>
      <c r="K92" s="61"/>
      <c r="L92" s="61"/>
      <c r="M92" s="61"/>
      <c r="N92" s="61"/>
      <c r="O92" s="61"/>
      <c r="P92" s="709"/>
      <c r="Q92" s="380"/>
    </row>
    <row r="93" spans="1:50" s="56" customFormat="1" ht="20.25" customHeight="1" x14ac:dyDescent="0.2">
      <c r="B93" s="735"/>
      <c r="C93" s="370"/>
      <c r="D93" s="370"/>
      <c r="E93" s="370"/>
      <c r="F93" s="370"/>
      <c r="G93" s="370"/>
      <c r="H93" s="370"/>
      <c r="I93" s="370"/>
      <c r="J93" s="370"/>
      <c r="K93" s="370"/>
      <c r="L93" s="591"/>
      <c r="M93" s="591"/>
      <c r="N93" s="591"/>
      <c r="O93" s="158"/>
      <c r="P93" s="571">
        <v>2</v>
      </c>
      <c r="Q93" s="386"/>
      <c r="R93" s="51"/>
    </row>
    <row r="94" spans="1:50" s="56" customFormat="1" ht="15.75" x14ac:dyDescent="0.25">
      <c r="B94" s="710"/>
      <c r="C94" s="711" t="s">
        <v>606</v>
      </c>
      <c r="D94" s="386"/>
      <c r="E94" s="386"/>
      <c r="F94" s="386"/>
      <c r="G94" s="386"/>
      <c r="H94" s="386"/>
      <c r="J94" s="380"/>
      <c r="K94" s="380"/>
      <c r="L94" s="380"/>
      <c r="M94" s="386"/>
      <c r="N94" s="386"/>
      <c r="O94" s="386"/>
      <c r="P94" s="566"/>
      <c r="Q94" s="386"/>
    </row>
    <row r="95" spans="1:50" s="56" customFormat="1" ht="12.75" customHeight="1" x14ac:dyDescent="0.25">
      <c r="B95" s="710"/>
      <c r="C95" s="711"/>
      <c r="D95" s="386"/>
      <c r="E95" s="386"/>
      <c r="F95" s="386"/>
      <c r="G95" s="386"/>
      <c r="H95" s="386"/>
      <c r="J95" s="380"/>
      <c r="K95" s="380"/>
      <c r="L95" s="380"/>
      <c r="M95" s="386"/>
      <c r="N95" s="386"/>
      <c r="O95" s="386"/>
      <c r="P95" s="566"/>
      <c r="Q95" s="386"/>
    </row>
    <row r="96" spans="1:50" s="56" customFormat="1" ht="12.75" customHeight="1" x14ac:dyDescent="0.2">
      <c r="B96" s="710"/>
      <c r="C96" s="396" t="s">
        <v>650</v>
      </c>
      <c r="D96" s="386"/>
      <c r="E96" s="386"/>
      <c r="F96" s="670" t="s">
        <v>243</v>
      </c>
      <c r="G96" s="915" t="s">
        <v>569</v>
      </c>
      <c r="H96" s="915"/>
      <c r="J96" s="380"/>
      <c r="K96" s="380"/>
      <c r="L96" s="380"/>
      <c r="M96" s="386"/>
      <c r="N96" s="386"/>
      <c r="O96" s="386"/>
      <c r="P96" s="566"/>
      <c r="Q96" s="386"/>
    </row>
    <row r="97" spans="2:18" s="56" customFormat="1" ht="12.75" customHeight="1" x14ac:dyDescent="0.25">
      <c r="B97" s="710"/>
      <c r="C97" s="386"/>
      <c r="D97" s="386"/>
      <c r="E97" s="386"/>
      <c r="F97" s="386"/>
      <c r="G97" s="386"/>
      <c r="H97" s="386"/>
      <c r="I97" s="736"/>
      <c r="J97" s="380"/>
      <c r="K97" s="380"/>
      <c r="L97" s="380"/>
      <c r="M97" s="386"/>
      <c r="N97" s="386"/>
      <c r="O97" s="386"/>
      <c r="P97" s="566"/>
      <c r="Q97" s="386"/>
    </row>
    <row r="98" spans="2:18" s="56" customFormat="1" x14ac:dyDescent="0.2">
      <c r="B98" s="710"/>
      <c r="C98" s="386"/>
      <c r="D98" s="386"/>
      <c r="E98" s="386"/>
      <c r="F98" s="386"/>
      <c r="G98" s="386"/>
      <c r="H98" s="386"/>
      <c r="I98" s="606" t="s">
        <v>607</v>
      </c>
      <c r="J98" s="889" t="s">
        <v>249</v>
      </c>
      <c r="K98" s="889"/>
      <c r="L98" s="380"/>
      <c r="N98" s="380"/>
      <c r="O98" s="386"/>
      <c r="P98" s="566"/>
      <c r="Q98" s="386"/>
    </row>
    <row r="99" spans="2:18" s="56" customFormat="1" x14ac:dyDescent="0.2">
      <c r="B99" s="710"/>
      <c r="C99" s="386"/>
      <c r="D99" s="386"/>
      <c r="E99" s="386"/>
      <c r="F99" s="386"/>
      <c r="G99" s="386" t="s">
        <v>608</v>
      </c>
      <c r="H99" s="386"/>
      <c r="I99" s="766" t="str">
        <f>M34</f>
        <v>No Data</v>
      </c>
      <c r="J99" s="902" t="str">
        <f>IF(OR(F17="No",ISBLANK(F17)),"No Data",F18)</f>
        <v>No Data</v>
      </c>
      <c r="K99" s="903"/>
      <c r="L99" s="380"/>
      <c r="N99" s="380"/>
      <c r="O99" s="386"/>
      <c r="P99" s="566"/>
      <c r="Q99" s="386"/>
    </row>
    <row r="100" spans="2:18" x14ac:dyDescent="0.2">
      <c r="B100" s="50"/>
      <c r="C100" s="386"/>
      <c r="D100" s="386"/>
      <c r="E100" s="386"/>
      <c r="F100" s="384"/>
      <c r="G100" s="386" t="s">
        <v>609</v>
      </c>
      <c r="H100" s="380"/>
      <c r="I100" s="737" t="str">
        <f>M56</f>
        <v>No Data</v>
      </c>
      <c r="J100" s="890" t="str">
        <f>IF(OR(F40="No",ISBLANK(F40)),"No Data",F41)</f>
        <v>No Data</v>
      </c>
      <c r="K100" s="890"/>
      <c r="L100" s="380"/>
      <c r="P100" s="566"/>
      <c r="Q100" s="380"/>
      <c r="R100" s="56"/>
    </row>
    <row r="101" spans="2:18" x14ac:dyDescent="0.2">
      <c r="B101" s="50"/>
      <c r="C101" s="386"/>
      <c r="D101" s="386"/>
      <c r="E101" s="386"/>
      <c r="F101" s="384"/>
      <c r="G101" s="386" t="s">
        <v>610</v>
      </c>
      <c r="H101" s="380"/>
      <c r="I101" s="737" t="str">
        <f>I72</f>
        <v>No Data</v>
      </c>
      <c r="J101" s="890" t="str">
        <f>IF(OR(F63="No",ISBLANK(F63)),"No Data",F64)</f>
        <v>No Data</v>
      </c>
      <c r="K101" s="890"/>
      <c r="L101" s="380"/>
      <c r="M101" s="380"/>
      <c r="N101" s="380"/>
      <c r="O101" s="380"/>
      <c r="P101" s="566"/>
      <c r="Q101" s="380"/>
    </row>
    <row r="102" spans="2:18" x14ac:dyDescent="0.2">
      <c r="B102" s="50"/>
      <c r="C102" s="386"/>
      <c r="D102" s="386"/>
      <c r="E102" s="386"/>
      <c r="F102" s="384"/>
      <c r="G102" s="386" t="s">
        <v>611</v>
      </c>
      <c r="H102" s="380"/>
      <c r="I102" s="737" t="str">
        <f>J88</f>
        <v>No Data</v>
      </c>
      <c r="J102" s="890" t="str">
        <f>IF(OR(F80="No",ISBLANK(F80)),"No Data",F81)</f>
        <v>No Data</v>
      </c>
      <c r="K102" s="890"/>
      <c r="L102" s="380"/>
      <c r="M102" s="380"/>
      <c r="N102" s="380"/>
      <c r="O102" s="380"/>
      <c r="P102" s="566"/>
      <c r="Q102" s="380"/>
    </row>
    <row r="103" spans="2:18" x14ac:dyDescent="0.2">
      <c r="B103" s="50"/>
      <c r="C103" s="386"/>
      <c r="D103" s="380"/>
      <c r="E103" s="380"/>
      <c r="F103" s="384"/>
      <c r="G103" s="386" t="s">
        <v>651</v>
      </c>
      <c r="H103" s="380"/>
      <c r="I103" s="699" t="str">
        <f>IF(G96="SCDOT Plans",I100,IF(G96="Hydraulic Model",I99,IF(G96="Topo Map",I101,IF(G96="FEMA Map",I102,IF(G96="Other (See Comments)",I102,"Enter Value")))))</f>
        <v>No Data</v>
      </c>
      <c r="J103" s="738"/>
      <c r="L103" s="380"/>
      <c r="M103" s="380"/>
      <c r="N103" s="380"/>
      <c r="O103" s="380"/>
      <c r="P103" s="566"/>
      <c r="Q103" s="380"/>
    </row>
    <row r="104" spans="2:18" x14ac:dyDescent="0.2">
      <c r="B104" s="50"/>
      <c r="C104" s="386"/>
      <c r="D104" s="380"/>
      <c r="E104" s="380"/>
      <c r="F104" s="384"/>
      <c r="G104" s="386"/>
      <c r="H104" s="380"/>
      <c r="I104" s="380"/>
      <c r="J104" s="391"/>
      <c r="K104" s="380"/>
      <c r="L104" s="380"/>
      <c r="M104" s="380"/>
      <c r="N104" s="380"/>
      <c r="O104" s="380"/>
      <c r="P104" s="566"/>
      <c r="Q104" s="380"/>
    </row>
    <row r="105" spans="2:18" s="171" customFormat="1" x14ac:dyDescent="0.2">
      <c r="B105" s="397"/>
      <c r="C105" s="739" t="s">
        <v>652</v>
      </c>
      <c r="D105" s="739"/>
      <c r="E105" s="739"/>
      <c r="F105" s="739"/>
      <c r="G105" s="739"/>
      <c r="H105" s="739"/>
      <c r="I105" s="739"/>
      <c r="J105" s="739"/>
      <c r="K105" s="739"/>
      <c r="L105" s="739"/>
      <c r="M105" s="739"/>
      <c r="N105" s="739"/>
      <c r="O105" s="739"/>
      <c r="P105" s="304"/>
      <c r="Q105" s="390"/>
      <c r="R105" s="51"/>
    </row>
    <row r="106" spans="2:18" s="387" customFormat="1" ht="26.1" customHeight="1" x14ac:dyDescent="0.2">
      <c r="B106" s="397"/>
      <c r="C106" s="901" t="s">
        <v>653</v>
      </c>
      <c r="D106" s="901"/>
      <c r="E106" s="901"/>
      <c r="F106" s="901"/>
      <c r="G106" s="901"/>
      <c r="H106" s="901"/>
      <c r="I106" s="901"/>
      <c r="J106" s="901"/>
      <c r="K106" s="901"/>
      <c r="L106" s="901"/>
      <c r="M106" s="901"/>
      <c r="N106" s="901"/>
      <c r="O106" s="901"/>
      <c r="P106" s="304"/>
      <c r="R106" s="171"/>
    </row>
    <row r="107" spans="2:18" ht="26.1" customHeight="1" x14ac:dyDescent="0.2">
      <c r="B107" s="50"/>
      <c r="C107" s="901"/>
      <c r="D107" s="901"/>
      <c r="E107" s="901"/>
      <c r="F107" s="901"/>
      <c r="G107" s="901"/>
      <c r="H107" s="901"/>
      <c r="I107" s="901"/>
      <c r="J107" s="901"/>
      <c r="K107" s="901"/>
      <c r="L107" s="901"/>
      <c r="M107" s="901"/>
      <c r="N107" s="901"/>
      <c r="O107" s="901"/>
      <c r="P107" s="566"/>
      <c r="Q107" s="380"/>
      <c r="R107" s="387"/>
    </row>
    <row r="108" spans="2:18" ht="13.5" thickBot="1" x14ac:dyDescent="0.25">
      <c r="B108" s="59"/>
      <c r="C108" s="61"/>
      <c r="D108" s="61"/>
      <c r="E108" s="61"/>
      <c r="F108" s="61"/>
      <c r="G108" s="61"/>
      <c r="H108" s="61"/>
      <c r="I108" s="61"/>
      <c r="J108" s="61"/>
      <c r="K108" s="61"/>
      <c r="L108" s="61"/>
      <c r="M108" s="61"/>
      <c r="N108" s="61"/>
      <c r="O108" s="61"/>
      <c r="P108" s="709"/>
      <c r="Q108" s="380"/>
    </row>
    <row r="109" spans="2:18" x14ac:dyDescent="0.2">
      <c r="B109" s="49"/>
      <c r="C109" s="591"/>
      <c r="D109" s="591"/>
      <c r="E109" s="591"/>
      <c r="F109" s="591"/>
      <c r="G109" s="591"/>
      <c r="H109" s="591"/>
      <c r="I109" s="591"/>
      <c r="J109" s="591"/>
      <c r="K109" s="591"/>
      <c r="L109" s="591"/>
      <c r="M109" s="591"/>
      <c r="N109" s="591"/>
      <c r="O109" s="591"/>
      <c r="P109" s="571"/>
      <c r="Q109" s="380"/>
    </row>
    <row r="110" spans="2:18" ht="15.75" x14ac:dyDescent="0.25">
      <c r="B110" s="50"/>
      <c r="C110" s="711" t="s">
        <v>33</v>
      </c>
      <c r="D110" s="380"/>
      <c r="E110" s="380"/>
      <c r="F110" s="380"/>
      <c r="G110" s="380"/>
      <c r="H110" s="380"/>
      <c r="I110" s="736"/>
      <c r="J110" s="380"/>
      <c r="K110" s="380"/>
      <c r="L110" s="380"/>
      <c r="M110" s="380"/>
      <c r="N110" s="380"/>
      <c r="O110" s="380"/>
      <c r="P110" s="566"/>
      <c r="Q110" s="380"/>
    </row>
    <row r="111" spans="2:18" s="63" customFormat="1" x14ac:dyDescent="0.2">
      <c r="B111" s="532"/>
      <c r="C111" s="384"/>
      <c r="D111" s="384"/>
      <c r="E111" s="384"/>
      <c r="F111" s="384"/>
      <c r="G111" s="384"/>
      <c r="H111" s="384"/>
      <c r="I111" s="729"/>
      <c r="J111" s="384"/>
      <c r="K111" s="384"/>
      <c r="L111" s="384"/>
      <c r="P111" s="566"/>
      <c r="Q111" s="384"/>
      <c r="R111" s="51"/>
    </row>
    <row r="112" spans="2:18" s="63" customFormat="1" x14ac:dyDescent="0.2">
      <c r="B112" s="532"/>
      <c r="C112" s="396" t="s">
        <v>458</v>
      </c>
      <c r="D112" s="384"/>
      <c r="E112" s="386"/>
      <c r="F112" s="384"/>
      <c r="G112" s="670" t="s">
        <v>243</v>
      </c>
      <c r="H112" s="916" t="s">
        <v>569</v>
      </c>
      <c r="I112" s="916"/>
      <c r="K112" s="384"/>
      <c r="L112" s="384"/>
      <c r="P112" s="566"/>
      <c r="Q112" s="384"/>
    </row>
    <row r="113" spans="2:18" s="63" customFormat="1" x14ac:dyDescent="0.2">
      <c r="B113" s="532"/>
      <c r="J113" s="384"/>
      <c r="K113" s="384"/>
      <c r="L113" s="384"/>
      <c r="M113" s="384"/>
      <c r="N113" s="384"/>
      <c r="O113" s="384"/>
      <c r="P113" s="566"/>
      <c r="Q113" s="384"/>
    </row>
    <row r="114" spans="2:18" s="63" customFormat="1" x14ac:dyDescent="0.2">
      <c r="B114" s="532"/>
      <c r="C114" s="384"/>
      <c r="D114" s="384"/>
      <c r="E114" s="384"/>
      <c r="F114" s="384"/>
      <c r="G114" s="729"/>
      <c r="H114" s="904" t="s">
        <v>250</v>
      </c>
      <c r="I114" s="905"/>
      <c r="J114" s="384"/>
      <c r="K114" s="904" t="s">
        <v>251</v>
      </c>
      <c r="L114" s="905"/>
      <c r="P114" s="566"/>
      <c r="Q114" s="384"/>
      <c r="R114" s="390"/>
    </row>
    <row r="115" spans="2:18" s="380" customFormat="1" ht="25.5" customHeight="1" x14ac:dyDescent="0.2">
      <c r="B115" s="50"/>
      <c r="H115" s="318" t="s">
        <v>252</v>
      </c>
      <c r="I115" s="318" t="s">
        <v>249</v>
      </c>
      <c r="K115" s="318" t="s">
        <v>252</v>
      </c>
      <c r="L115" s="318" t="s">
        <v>249</v>
      </c>
      <c r="P115" s="478"/>
      <c r="Q115" s="386"/>
      <c r="R115" s="390"/>
    </row>
    <row r="116" spans="2:18" s="380" customFormat="1" x14ac:dyDescent="0.2">
      <c r="B116" s="50"/>
      <c r="D116" s="386" t="s">
        <v>570</v>
      </c>
      <c r="H116" s="740" t="str">
        <f>M32</f>
        <v>No Data</v>
      </c>
      <c r="I116" s="772" t="str">
        <f>IF(OR(F17="No",ISBLANK(F17)),"No Data",F18)</f>
        <v>No Data</v>
      </c>
      <c r="K116" s="740" t="str">
        <f>M33</f>
        <v>No Data</v>
      </c>
      <c r="L116" s="741" t="str">
        <f>IF(OR(F17="No",ISBLANK(F17)),"No Data",F18)</f>
        <v>No Data</v>
      </c>
      <c r="P116" s="478"/>
      <c r="Q116" s="386"/>
      <c r="R116" s="383"/>
    </row>
    <row r="117" spans="2:18" s="380" customFormat="1" x14ac:dyDescent="0.2">
      <c r="B117" s="50"/>
      <c r="D117" s="386" t="s">
        <v>63</v>
      </c>
      <c r="H117" s="740" t="str">
        <f>M54</f>
        <v>No Data</v>
      </c>
      <c r="I117" s="772" t="str">
        <f>IF(OR(F40="No",ISBLANK(F40)),"No Data",F41)</f>
        <v>No Data</v>
      </c>
      <c r="K117" s="740" t="str">
        <f>M55</f>
        <v>No Data</v>
      </c>
      <c r="L117" s="741" t="str">
        <f>IF(OR(F40="No",ISBLANK(F40)),"No Data",F41)</f>
        <v>No Data</v>
      </c>
      <c r="P117" s="478"/>
      <c r="Q117" s="386"/>
      <c r="R117" s="383"/>
    </row>
    <row r="118" spans="2:18" s="380" customFormat="1" x14ac:dyDescent="0.2">
      <c r="B118" s="50"/>
      <c r="D118" s="386" t="s">
        <v>64</v>
      </c>
      <c r="H118" s="742" t="str">
        <f>IF(ISBLANK(I70),"No Data",IF(I70="Enter Value","No Data",I70))</f>
        <v>No Data</v>
      </c>
      <c r="I118" s="772" t="str">
        <f>IF(OR(F63="No",ISBLANK(F63)),"No Data",F64)</f>
        <v>No Data</v>
      </c>
      <c r="K118" s="742" t="str">
        <f>IF(ISBLANK(I71),"No Data",IF(I71="Enter Value","No Data",I71))</f>
        <v>No Data</v>
      </c>
      <c r="L118" s="741" t="str">
        <f>IF(OR(F63="No",ISBLANK(F63)),"No Data",F64)</f>
        <v>No Data</v>
      </c>
      <c r="P118" s="478"/>
      <c r="Q118" s="386"/>
    </row>
    <row r="119" spans="2:18" s="380" customFormat="1" x14ac:dyDescent="0.2">
      <c r="B119" s="50"/>
      <c r="D119" s="386" t="s">
        <v>309</v>
      </c>
      <c r="H119" s="742" t="str">
        <f>IF(ISBLANK(J86),"No Data",IF(J86="Enter Value","No Data",J86))</f>
        <v>No Data</v>
      </c>
      <c r="I119" s="772" t="str">
        <f>IF(OR(F80="No",ISBLANK(F80)),"No Data",F81)</f>
        <v>No Data</v>
      </c>
      <c r="K119" s="742" t="str">
        <f>IF(ISBLANK(J87),"No Data",IF(J87="Enter Value","No Data",+J87))</f>
        <v>No Data</v>
      </c>
      <c r="L119" s="741" t="str">
        <f>IF(OR(F80="No",ISBLANK(F80)),"No Data",F81)</f>
        <v>No Data</v>
      </c>
      <c r="P119" s="478"/>
      <c r="Q119" s="386"/>
    </row>
    <row r="120" spans="2:18" s="380" customFormat="1" x14ac:dyDescent="0.2">
      <c r="B120" s="50"/>
      <c r="D120" s="386"/>
      <c r="H120" s="743"/>
      <c r="I120" s="396"/>
      <c r="K120" s="743"/>
      <c r="L120" s="396"/>
      <c r="P120" s="478"/>
      <c r="Q120" s="386"/>
    </row>
    <row r="121" spans="2:18" s="380" customFormat="1" x14ac:dyDescent="0.2">
      <c r="B121" s="50"/>
      <c r="D121" s="386" t="s">
        <v>29</v>
      </c>
      <c r="H121" s="700" t="str">
        <f>IF(AND(H117="No Data",H118="No Data",H119="No Data",H116="No Data"),"No Data",IF(AND(J124="Yes",H112="SCDOT Plans"),MAX(H117,K117),IF(AND(J124="Yes",H112="Topo Map"),MAX(H118,K118),IF(AND(J124="Yes",H112="FEMA Map"),MAX(H119,K119),IF(AND(J124="Yes",H112="Other (See Comments)"),MAX(H119,K119),IF(AND(J124="Yes",H112="Hydraulic Model"),MAX(H116,K116),IF(AND(J124="No",H112="SCDOT Plans"),H117,IF(AND(J124="No",H112="Topo Map"),H118,IF(AND(J124="No",H112="FEMA Map"),H119,IF(AND(J124="No",H112="Hydraulic Model"),H116,IF(AND(J124="No",H112="Other (See Comments)"),H119,"Enter Value")))))))))))</f>
        <v>No Data</v>
      </c>
      <c r="I121" s="396" t="s">
        <v>7</v>
      </c>
      <c r="K121" s="700" t="str">
        <f>IF(AND(K116="No Data",K117="No Data",K118="No Data",K119="No Data"),"No Data",IF(AND(J124="Yes",H112="Hydraulic Model"),MAX(H116,K116),IF(AND(J124="Yes",H112="SCDOT Plans"),MAX(H117,K117),IF(AND(J124="Yes",H112="Topo Map"),MAX(H118,K118),IF(AND(J124="Yes",H112="FEMA Map"),MAX(H119,K119),IF(AND(J124="Yes",H112="Other (See Comments)"),MAX(H119,K119),IF(AND(J124="No",H112="Hydraulic Model"),K116,IF(AND(J124="No",H112="SCDOT Plans"),K117,IF(AND(J124="No",H112="Topo Map"),K118,IF(AND(J124="No",H112="FEMA Map"),K119,IF(AND(J124="No",H112="Other (See Comments)"),K119,"Enter Value")))))))))))</f>
        <v>No Data</v>
      </c>
      <c r="L121" s="396" t="s">
        <v>7</v>
      </c>
      <c r="P121" s="478"/>
      <c r="Q121" s="386"/>
    </row>
    <row r="122" spans="2:18" s="387" customFormat="1" x14ac:dyDescent="0.2">
      <c r="B122" s="397"/>
      <c r="F122" s="390"/>
      <c r="J122" s="391"/>
      <c r="K122" s="390"/>
      <c r="N122" s="391"/>
      <c r="O122" s="390"/>
      <c r="P122" s="574"/>
      <c r="Q122" s="390"/>
      <c r="R122" s="380"/>
    </row>
    <row r="123" spans="2:18" s="387" customFormat="1" x14ac:dyDescent="0.2">
      <c r="B123" s="397"/>
      <c r="F123" s="390"/>
      <c r="G123" s="390" t="s">
        <v>113</v>
      </c>
      <c r="N123" s="391"/>
      <c r="O123" s="390"/>
      <c r="P123" s="574"/>
      <c r="Q123" s="390"/>
    </row>
    <row r="124" spans="2:18" s="387" customFormat="1" ht="12.75" customHeight="1" x14ac:dyDescent="0.2">
      <c r="B124" s="397"/>
      <c r="F124" s="390"/>
      <c r="G124" s="917" t="s">
        <v>276</v>
      </c>
      <c r="H124" s="917"/>
      <c r="I124" s="917"/>
      <c r="J124" s="912" t="str">
        <f>IF(AND(N9&lt;=240,OR(J10="Yes",J11="Yes")),"Yes", "No")</f>
        <v>No</v>
      </c>
      <c r="N124" s="391"/>
      <c r="O124" s="390"/>
      <c r="P124" s="574"/>
      <c r="Q124" s="390"/>
    </row>
    <row r="125" spans="2:18" s="387" customFormat="1" x14ac:dyDescent="0.2">
      <c r="B125" s="397"/>
      <c r="F125" s="390"/>
      <c r="G125" s="917"/>
      <c r="H125" s="917"/>
      <c r="I125" s="917"/>
      <c r="J125" s="912"/>
      <c r="N125" s="391"/>
      <c r="O125" s="390"/>
      <c r="P125" s="574"/>
      <c r="Q125" s="390"/>
    </row>
    <row r="126" spans="2:18" s="387" customFormat="1" x14ac:dyDescent="0.2">
      <c r="B126" s="397"/>
      <c r="F126" s="390"/>
      <c r="G126" s="744" t="s">
        <v>253</v>
      </c>
      <c r="H126" s="745"/>
      <c r="I126" s="746"/>
      <c r="J126" s="912"/>
      <c r="N126" s="391"/>
      <c r="O126" s="390"/>
      <c r="P126" s="574"/>
      <c r="Q126" s="390"/>
    </row>
    <row r="127" spans="2:18" s="387" customFormat="1" x14ac:dyDescent="0.2">
      <c r="B127" s="397"/>
      <c r="F127" s="390"/>
      <c r="G127" s="744" t="s">
        <v>254</v>
      </c>
      <c r="H127" s="745"/>
      <c r="I127" s="745"/>
      <c r="J127" s="912"/>
      <c r="N127" s="391"/>
      <c r="O127" s="390"/>
      <c r="P127" s="574"/>
      <c r="Q127" s="390"/>
    </row>
    <row r="128" spans="2:18" s="387" customFormat="1" ht="18" x14ac:dyDescent="0.2">
      <c r="B128" s="397"/>
      <c r="F128" s="390"/>
      <c r="J128" s="383"/>
      <c r="M128" s="166"/>
      <c r="N128" s="391"/>
      <c r="O128" s="390"/>
      <c r="P128" s="574"/>
      <c r="Q128" s="390"/>
    </row>
    <row r="129" spans="2:21" s="171" customFormat="1" x14ac:dyDescent="0.2">
      <c r="B129" s="397"/>
      <c r="C129" s="918" t="s">
        <v>459</v>
      </c>
      <c r="D129" s="918"/>
      <c r="E129" s="918"/>
      <c r="F129" s="918"/>
      <c r="G129" s="918"/>
      <c r="H129" s="918"/>
      <c r="I129" s="918"/>
      <c r="J129" s="918"/>
      <c r="K129" s="918"/>
      <c r="L129" s="918"/>
      <c r="M129" s="918"/>
      <c r="N129" s="918"/>
      <c r="O129" s="918"/>
      <c r="P129" s="304"/>
      <c r="Q129" s="390"/>
      <c r="R129" s="387"/>
    </row>
    <row r="130" spans="2:21" s="387" customFormat="1" x14ac:dyDescent="0.2">
      <c r="B130" s="397"/>
      <c r="C130" s="918"/>
      <c r="D130" s="918"/>
      <c r="E130" s="918"/>
      <c r="F130" s="918"/>
      <c r="G130" s="918"/>
      <c r="H130" s="918"/>
      <c r="I130" s="918"/>
      <c r="J130" s="918"/>
      <c r="K130" s="918"/>
      <c r="L130" s="918"/>
      <c r="M130" s="918"/>
      <c r="N130" s="918"/>
      <c r="O130" s="918"/>
      <c r="P130" s="304"/>
      <c r="R130" s="171"/>
    </row>
    <row r="131" spans="2:21" s="387" customFormat="1" ht="33.950000000000003" customHeight="1" x14ac:dyDescent="0.2">
      <c r="B131" s="397"/>
      <c r="C131" s="901" t="s">
        <v>654</v>
      </c>
      <c r="D131" s="901"/>
      <c r="E131" s="901"/>
      <c r="F131" s="901"/>
      <c r="G131" s="901"/>
      <c r="H131" s="901"/>
      <c r="I131" s="901"/>
      <c r="J131" s="901"/>
      <c r="K131" s="901"/>
      <c r="L131" s="901"/>
      <c r="M131" s="901"/>
      <c r="N131" s="901"/>
      <c r="O131" s="901"/>
      <c r="P131" s="304"/>
    </row>
    <row r="132" spans="2:21" s="387" customFormat="1" ht="33.950000000000003" customHeight="1" x14ac:dyDescent="0.2">
      <c r="B132" s="397"/>
      <c r="C132" s="901"/>
      <c r="D132" s="901"/>
      <c r="E132" s="901"/>
      <c r="F132" s="901"/>
      <c r="G132" s="901"/>
      <c r="H132" s="901"/>
      <c r="I132" s="901"/>
      <c r="J132" s="901"/>
      <c r="K132" s="901"/>
      <c r="L132" s="901"/>
      <c r="M132" s="901"/>
      <c r="N132" s="901"/>
      <c r="O132" s="901"/>
      <c r="P132" s="574"/>
      <c r="Q132" s="390"/>
    </row>
    <row r="133" spans="2:21" ht="13.5" thickBot="1" x14ac:dyDescent="0.25">
      <c r="B133" s="59"/>
      <c r="C133" s="61"/>
      <c r="D133" s="60"/>
      <c r="E133" s="61"/>
      <c r="F133" s="61"/>
      <c r="G133" s="61"/>
      <c r="H133" s="61"/>
      <c r="I133" s="60"/>
      <c r="J133" s="61"/>
      <c r="K133" s="60"/>
      <c r="L133" s="61"/>
      <c r="M133" s="61"/>
      <c r="N133" s="61"/>
      <c r="O133" s="61"/>
      <c r="P133" s="709"/>
      <c r="Q133" s="386"/>
      <c r="R133" s="387"/>
    </row>
    <row r="134" spans="2:21" x14ac:dyDescent="0.2">
      <c r="B134" s="49"/>
      <c r="C134" s="591"/>
      <c r="D134" s="370"/>
      <c r="E134" s="591"/>
      <c r="F134" s="591"/>
      <c r="G134" s="591"/>
      <c r="H134" s="591"/>
      <c r="I134" s="370"/>
      <c r="J134" s="591"/>
      <c r="K134" s="370"/>
      <c r="L134" s="591"/>
      <c r="M134" s="591"/>
      <c r="N134" s="591"/>
      <c r="O134" s="591"/>
      <c r="P134" s="571"/>
      <c r="Q134" s="386"/>
    </row>
    <row r="135" spans="2:21" ht="15.75" x14ac:dyDescent="0.25">
      <c r="B135" s="50"/>
      <c r="C135" s="711" t="s">
        <v>255</v>
      </c>
      <c r="D135" s="386"/>
      <c r="E135" s="380"/>
      <c r="F135" s="380"/>
      <c r="G135" s="380"/>
      <c r="H135" s="380"/>
      <c r="I135" s="386"/>
      <c r="J135" s="380"/>
      <c r="K135" s="386"/>
      <c r="M135" s="380"/>
      <c r="N135" s="386"/>
      <c r="O135" s="380"/>
      <c r="P135" s="566"/>
      <c r="Q135" s="386"/>
    </row>
    <row r="136" spans="2:21" x14ac:dyDescent="0.2">
      <c r="B136" s="50"/>
      <c r="C136" s="380"/>
      <c r="D136" s="386"/>
      <c r="E136" s="380"/>
      <c r="F136" s="380"/>
      <c r="G136" s="380"/>
      <c r="H136" s="380"/>
      <c r="I136" s="386"/>
      <c r="J136" s="380"/>
      <c r="K136" s="386"/>
      <c r="O136" s="380"/>
      <c r="P136" s="566"/>
      <c r="Q136" s="386"/>
    </row>
    <row r="137" spans="2:21" x14ac:dyDescent="0.2">
      <c r="B137" s="50"/>
      <c r="C137" s="396" t="s">
        <v>462</v>
      </c>
      <c r="D137" s="380"/>
      <c r="E137" s="380"/>
      <c r="F137" s="380"/>
      <c r="G137" s="670" t="s">
        <v>243</v>
      </c>
      <c r="H137" s="916" t="s">
        <v>245</v>
      </c>
      <c r="I137" s="916"/>
      <c r="J137" s="386"/>
      <c r="K137" s="380"/>
      <c r="L137" s="380"/>
      <c r="M137" s="380"/>
      <c r="N137" s="380"/>
      <c r="O137" s="380"/>
      <c r="P137" s="566"/>
      <c r="Q137" s="386"/>
      <c r="R137" s="56" t="s">
        <v>262</v>
      </c>
    </row>
    <row r="138" spans="2:21" ht="13.5" thickBot="1" x14ac:dyDescent="0.25">
      <c r="B138" s="50"/>
      <c r="C138" s="380"/>
      <c r="D138" s="380"/>
      <c r="E138" s="380"/>
      <c r="F138" s="380"/>
      <c r="G138" s="387"/>
      <c r="H138" s="386"/>
      <c r="I138" s="380"/>
      <c r="J138" s="386"/>
      <c r="K138" s="380"/>
      <c r="L138" s="380"/>
      <c r="M138" s="380"/>
      <c r="N138" s="387"/>
      <c r="O138" s="380"/>
      <c r="P138" s="566"/>
      <c r="Q138" s="386"/>
    </row>
    <row r="139" spans="2:21" s="63" customFormat="1" x14ac:dyDescent="0.2">
      <c r="B139" s="532"/>
      <c r="C139" s="384"/>
      <c r="D139" s="384"/>
      <c r="E139" s="384"/>
      <c r="F139" s="384"/>
      <c r="G139" s="383"/>
      <c r="H139" s="386"/>
      <c r="I139" s="388" t="s">
        <v>109</v>
      </c>
      <c r="J139" s="384"/>
      <c r="K139" s="384"/>
      <c r="L139" s="388" t="s">
        <v>110</v>
      </c>
      <c r="N139" s="383"/>
      <c r="O139" s="384"/>
      <c r="P139" s="566"/>
      <c r="Q139" s="386"/>
      <c r="R139" s="53" t="s">
        <v>245</v>
      </c>
    </row>
    <row r="140" spans="2:21" ht="16.5" thickBot="1" x14ac:dyDescent="0.3">
      <c r="B140" s="50"/>
      <c r="C140" s="380"/>
      <c r="D140" s="380"/>
      <c r="E140" s="380"/>
      <c r="F140" s="380"/>
      <c r="G140" s="387"/>
      <c r="H140" s="386"/>
      <c r="I140" s="372" t="s">
        <v>307</v>
      </c>
      <c r="J140" s="747"/>
      <c r="K140" s="54"/>
      <c r="L140" s="372" t="s">
        <v>308</v>
      </c>
      <c r="N140" s="387"/>
      <c r="O140" s="380"/>
      <c r="P140" s="566"/>
      <c r="Q140" s="386"/>
      <c r="R140" s="55" t="s">
        <v>569</v>
      </c>
    </row>
    <row r="141" spans="2:21" x14ac:dyDescent="0.2">
      <c r="B141" s="50"/>
      <c r="C141" s="380"/>
      <c r="D141" s="386"/>
      <c r="E141" s="386" t="s">
        <v>438</v>
      </c>
      <c r="F141" s="380"/>
      <c r="G141" s="380"/>
      <c r="H141" s="380"/>
      <c r="I141" s="787" t="str">
        <f>IF(AND(ISBLANK(M46),ISBLANK(M44)),"No Data",IF(OR(J10="Yes",J11="Yes"),M51/2,ABS(M46-M44)))</f>
        <v>No Data</v>
      </c>
      <c r="J141" s="396" t="s">
        <v>7</v>
      </c>
      <c r="K141" s="380"/>
      <c r="L141" s="787" t="str">
        <f>IF(AND(ISBLANK(M45),ISBLANK(M47)),"No Data",IF(OR(J10="Yes",J11="Yes"),M51/2,ABS(M45-M47)))</f>
        <v>No Data</v>
      </c>
      <c r="M141" s="396" t="s">
        <v>7</v>
      </c>
      <c r="O141" s="380"/>
      <c r="P141" s="566"/>
      <c r="Q141" s="386"/>
    </row>
    <row r="142" spans="2:21" x14ac:dyDescent="0.2">
      <c r="B142" s="50"/>
      <c r="C142" s="380"/>
      <c r="D142" s="386"/>
      <c r="E142" s="386" t="s">
        <v>571</v>
      </c>
      <c r="F142" s="380"/>
      <c r="G142" s="380"/>
      <c r="H142" s="380"/>
      <c r="I142" s="771" t="str">
        <f>IF(AND(ISBLANK(M23),ISBLANK(M21)),"No Data",IF(OR(J10="Yes",J11="Yes"),M29/2,ABS(M23-M21)))</f>
        <v>No Data</v>
      </c>
      <c r="J142" s="396" t="s">
        <v>7</v>
      </c>
      <c r="K142" s="380"/>
      <c r="L142" s="801" t="str">
        <f>IF(AND(ISBLANK(M25),ISBLANK(M22)),"No Data",IF(OR(J10="Yes",J11="Yes"),M29/2,ABS(M25-M22)))</f>
        <v>No Data</v>
      </c>
      <c r="M142" s="396" t="s">
        <v>7</v>
      </c>
      <c r="O142" s="380"/>
      <c r="P142" s="566"/>
      <c r="Q142" s="386"/>
    </row>
    <row r="143" spans="2:21" s="171" customFormat="1" x14ac:dyDescent="0.2">
      <c r="B143" s="397"/>
      <c r="C143" s="387"/>
      <c r="D143" s="390"/>
      <c r="E143" s="390"/>
      <c r="F143" s="387"/>
      <c r="G143" s="387"/>
      <c r="H143" s="387"/>
      <c r="I143" s="585"/>
      <c r="J143" s="303"/>
      <c r="K143" s="387"/>
      <c r="L143" s="585"/>
      <c r="M143" s="303"/>
      <c r="O143" s="387"/>
      <c r="P143" s="304"/>
      <c r="Q143" s="390"/>
      <c r="R143" s="51"/>
      <c r="U143" s="51"/>
    </row>
    <row r="144" spans="2:21" s="380" customFormat="1" x14ac:dyDescent="0.2">
      <c r="B144" s="50"/>
      <c r="E144" s="386" t="s">
        <v>261</v>
      </c>
      <c r="I144" s="701" t="str">
        <f>IF(H137="SCDOT Plans",I141,IF(H137="Hydraulic Model",I142,"No Data"))</f>
        <v>No Data</v>
      </c>
      <c r="J144" s="396" t="s">
        <v>7</v>
      </c>
      <c r="L144" s="701" t="str">
        <f>IF(H137="SCDOT Plans",L141,IF(H137="Hydraulic Model",L142,"No Data"))</f>
        <v>No Data</v>
      </c>
      <c r="M144" s="396" t="s">
        <v>7</v>
      </c>
      <c r="P144" s="478"/>
      <c r="Q144" s="386"/>
      <c r="R144" s="171"/>
    </row>
    <row r="145" spans="2:19" x14ac:dyDescent="0.2">
      <c r="B145" s="50"/>
      <c r="C145" s="380"/>
      <c r="D145" s="380"/>
      <c r="E145" s="386"/>
      <c r="F145" s="386"/>
      <c r="G145" s="380"/>
      <c r="H145" s="380"/>
      <c r="I145" s="380"/>
      <c r="J145" s="382"/>
      <c r="K145" s="386"/>
      <c r="L145" s="386"/>
      <c r="M145" s="382"/>
      <c r="N145" s="386"/>
      <c r="O145" s="380"/>
      <c r="P145" s="566"/>
      <c r="Q145" s="386"/>
      <c r="R145" s="380"/>
    </row>
    <row r="146" spans="2:19" x14ac:dyDescent="0.2">
      <c r="B146" s="50"/>
      <c r="C146" s="380"/>
      <c r="D146" s="380"/>
      <c r="E146" s="386" t="s">
        <v>113</v>
      </c>
      <c r="F146" s="386"/>
      <c r="G146" s="380"/>
      <c r="H146" s="380"/>
      <c r="I146" s="380"/>
      <c r="J146" s="382"/>
      <c r="K146" s="386"/>
      <c r="L146" s="386"/>
      <c r="M146" s="382"/>
      <c r="N146" s="386"/>
      <c r="O146" s="380"/>
      <c r="P146" s="566"/>
      <c r="Q146" s="386"/>
      <c r="R146" s="380"/>
    </row>
    <row r="147" spans="2:19" ht="14.25" x14ac:dyDescent="0.2">
      <c r="B147" s="50"/>
      <c r="C147" s="380"/>
      <c r="D147" s="380"/>
      <c r="E147" s="386" t="s">
        <v>572</v>
      </c>
      <c r="F147" s="386"/>
      <c r="G147" s="380"/>
      <c r="H147" s="380"/>
      <c r="I147" s="768" t="str">
        <f>IF(I144="No Data", "No Data",IF(I144&lt;10,"No", "Yes"))</f>
        <v>No Data</v>
      </c>
      <c r="J147" s="382"/>
      <c r="K147" s="386"/>
      <c r="L147" s="768" t="str">
        <f>IF(L144="No Data", "No Data",IF(L144&lt;10,"No", "Yes"))</f>
        <v>No Data</v>
      </c>
      <c r="M147" s="382"/>
      <c r="N147" s="386"/>
      <c r="O147" s="380"/>
      <c r="P147" s="566"/>
      <c r="Q147" s="386"/>
      <c r="R147" s="380"/>
    </row>
    <row r="148" spans="2:19" x14ac:dyDescent="0.2">
      <c r="B148" s="50"/>
      <c r="C148" s="380"/>
      <c r="D148" s="380"/>
      <c r="E148" s="386"/>
      <c r="F148" s="386"/>
      <c r="G148" s="380"/>
      <c r="H148" s="380"/>
      <c r="I148" s="380"/>
      <c r="J148" s="382"/>
      <c r="K148" s="386"/>
      <c r="L148" s="386"/>
      <c r="M148" s="382"/>
      <c r="N148" s="386"/>
      <c r="O148" s="380"/>
      <c r="P148" s="566"/>
      <c r="Q148" s="386"/>
      <c r="R148" s="380"/>
    </row>
    <row r="149" spans="2:19" ht="12.75" customHeight="1" x14ac:dyDescent="0.2">
      <c r="B149" s="50"/>
      <c r="C149" s="901" t="s">
        <v>463</v>
      </c>
      <c r="D149" s="901"/>
      <c r="E149" s="901"/>
      <c r="F149" s="901"/>
      <c r="G149" s="901"/>
      <c r="H149" s="901"/>
      <c r="I149" s="901"/>
      <c r="J149" s="901"/>
      <c r="K149" s="901"/>
      <c r="L149" s="901"/>
      <c r="M149" s="901"/>
      <c r="N149" s="901"/>
      <c r="O149" s="901"/>
      <c r="P149" s="566"/>
      <c r="Q149" s="386"/>
    </row>
    <row r="150" spans="2:19" x14ac:dyDescent="0.2">
      <c r="B150" s="50"/>
      <c r="C150" s="901"/>
      <c r="D150" s="901"/>
      <c r="E150" s="901"/>
      <c r="F150" s="901"/>
      <c r="G150" s="901"/>
      <c r="H150" s="901"/>
      <c r="I150" s="901"/>
      <c r="J150" s="901"/>
      <c r="K150" s="901"/>
      <c r="L150" s="901"/>
      <c r="M150" s="901"/>
      <c r="N150" s="901"/>
      <c r="O150" s="901"/>
      <c r="P150" s="566"/>
      <c r="Q150" s="386"/>
    </row>
    <row r="151" spans="2:19" x14ac:dyDescent="0.2">
      <c r="B151" s="50"/>
      <c r="C151" s="384" t="s">
        <v>464</v>
      </c>
      <c r="E151" s="386"/>
      <c r="F151" s="386"/>
      <c r="G151" s="380"/>
      <c r="H151" s="380"/>
      <c r="I151" s="380"/>
      <c r="J151" s="382"/>
      <c r="K151" s="386"/>
      <c r="L151" s="386"/>
      <c r="M151" s="386"/>
      <c r="N151" s="382"/>
      <c r="O151" s="386"/>
      <c r="P151" s="566"/>
      <c r="Q151" s="386"/>
    </row>
    <row r="152" spans="2:19" ht="26.25" customHeight="1" x14ac:dyDescent="0.2">
      <c r="B152" s="50"/>
      <c r="C152" s="901" t="s">
        <v>540</v>
      </c>
      <c r="D152" s="901"/>
      <c r="E152" s="901"/>
      <c r="F152" s="901"/>
      <c r="G152" s="901"/>
      <c r="H152" s="901"/>
      <c r="I152" s="901"/>
      <c r="J152" s="901"/>
      <c r="K152" s="901"/>
      <c r="L152" s="901"/>
      <c r="M152" s="901"/>
      <c r="N152" s="901"/>
      <c r="O152" s="901"/>
      <c r="P152" s="566"/>
      <c r="Q152" s="386"/>
    </row>
    <row r="153" spans="2:19" ht="13.5" thickBot="1" x14ac:dyDescent="0.25">
      <c r="B153" s="728"/>
      <c r="C153" s="61"/>
      <c r="D153" s="60"/>
      <c r="E153" s="61"/>
      <c r="F153" s="61"/>
      <c r="G153" s="61"/>
      <c r="H153" s="62"/>
      <c r="I153" s="61"/>
      <c r="J153" s="61"/>
      <c r="K153" s="60"/>
      <c r="L153" s="61"/>
      <c r="M153" s="61"/>
      <c r="N153" s="61"/>
      <c r="O153" s="62"/>
      <c r="P153" s="480"/>
      <c r="Q153" s="386"/>
    </row>
    <row r="154" spans="2:19" ht="20.25" customHeight="1" x14ac:dyDescent="0.2">
      <c r="B154" s="735"/>
      <c r="C154" s="591"/>
      <c r="D154" s="591"/>
      <c r="E154" s="591"/>
      <c r="F154" s="591"/>
      <c r="G154" s="591"/>
      <c r="H154" s="591"/>
      <c r="I154" s="591"/>
      <c r="J154" s="591"/>
      <c r="K154" s="591"/>
      <c r="L154" s="591"/>
      <c r="M154" s="591"/>
      <c r="N154" s="591"/>
      <c r="O154" s="591"/>
      <c r="P154" s="571">
        <v>3</v>
      </c>
    </row>
    <row r="155" spans="2:19" ht="15.75" x14ac:dyDescent="0.25">
      <c r="B155" s="50"/>
      <c r="C155" s="381" t="s">
        <v>452</v>
      </c>
      <c r="E155" s="380"/>
      <c r="F155" s="380"/>
      <c r="G155" s="380"/>
      <c r="H155" s="380"/>
      <c r="I155" s="380"/>
      <c r="J155" s="380"/>
      <c r="K155" s="380"/>
      <c r="L155" s="380"/>
      <c r="M155" s="380"/>
      <c r="N155" s="380"/>
      <c r="O155" s="380"/>
      <c r="P155" s="478"/>
      <c r="Q155" s="387"/>
      <c r="S155" s="387"/>
    </row>
    <row r="156" spans="2:19" ht="12.75" customHeight="1" x14ac:dyDescent="0.2">
      <c r="B156" s="50"/>
      <c r="C156" s="388">
        <v>1</v>
      </c>
      <c r="D156" s="913" t="s">
        <v>541</v>
      </c>
      <c r="E156" s="913"/>
      <c r="F156" s="913"/>
      <c r="G156" s="913"/>
      <c r="H156" s="913"/>
      <c r="I156" s="913"/>
      <c r="J156" s="913"/>
      <c r="K156" s="913"/>
      <c r="L156" s="913"/>
      <c r="M156" s="913"/>
      <c r="N156" s="913"/>
      <c r="O156" s="913"/>
      <c r="P156" s="478"/>
      <c r="Q156" s="387"/>
      <c r="R156" s="387"/>
      <c r="S156" s="387"/>
    </row>
    <row r="157" spans="2:19" x14ac:dyDescent="0.2">
      <c r="B157" s="50"/>
      <c r="C157" s="223"/>
      <c r="D157" s="913"/>
      <c r="E157" s="913"/>
      <c r="F157" s="913"/>
      <c r="G157" s="913"/>
      <c r="H157" s="913"/>
      <c r="I157" s="913"/>
      <c r="J157" s="913"/>
      <c r="K157" s="913"/>
      <c r="L157" s="913"/>
      <c r="M157" s="913"/>
      <c r="N157" s="913"/>
      <c r="O157" s="913"/>
      <c r="P157" s="478"/>
      <c r="Q157" s="387"/>
      <c r="R157" s="383"/>
      <c r="S157" s="387"/>
    </row>
    <row r="158" spans="2:19" x14ac:dyDescent="0.2">
      <c r="B158" s="50"/>
      <c r="C158" s="223"/>
      <c r="D158" s="913"/>
      <c r="E158" s="913"/>
      <c r="F158" s="913"/>
      <c r="G158" s="913"/>
      <c r="H158" s="913"/>
      <c r="I158" s="913"/>
      <c r="J158" s="913"/>
      <c r="K158" s="913"/>
      <c r="L158" s="913"/>
      <c r="M158" s="913"/>
      <c r="N158" s="913"/>
      <c r="O158" s="913"/>
      <c r="P158" s="478"/>
      <c r="Q158" s="387"/>
      <c r="R158" s="383"/>
      <c r="S158" s="387"/>
    </row>
    <row r="159" spans="2:19" x14ac:dyDescent="0.2">
      <c r="B159" s="50"/>
      <c r="C159" s="223"/>
      <c r="D159" s="913"/>
      <c r="E159" s="913"/>
      <c r="F159" s="913"/>
      <c r="G159" s="913"/>
      <c r="H159" s="913"/>
      <c r="I159" s="913"/>
      <c r="J159" s="913"/>
      <c r="K159" s="913"/>
      <c r="L159" s="913"/>
      <c r="M159" s="913"/>
      <c r="N159" s="913"/>
      <c r="O159" s="913"/>
      <c r="P159" s="478"/>
      <c r="Q159" s="387"/>
      <c r="R159" s="383"/>
      <c r="S159" s="387"/>
    </row>
    <row r="160" spans="2:19" x14ac:dyDescent="0.2">
      <c r="B160" s="50"/>
      <c r="C160" s="223">
        <v>2</v>
      </c>
      <c r="D160" s="913" t="s">
        <v>542</v>
      </c>
      <c r="E160" s="913"/>
      <c r="F160" s="913"/>
      <c r="G160" s="913"/>
      <c r="H160" s="913"/>
      <c r="I160" s="913"/>
      <c r="J160" s="913"/>
      <c r="K160" s="913"/>
      <c r="L160" s="913"/>
      <c r="M160" s="913"/>
      <c r="N160" s="913"/>
      <c r="O160" s="913"/>
      <c r="P160" s="478"/>
      <c r="Q160" s="387"/>
      <c r="R160" s="387"/>
      <c r="S160" s="387"/>
    </row>
    <row r="161" spans="2:18" x14ac:dyDescent="0.2">
      <c r="B161" s="50"/>
      <c r="C161" s="223"/>
      <c r="D161" s="913"/>
      <c r="E161" s="913"/>
      <c r="F161" s="913"/>
      <c r="G161" s="913"/>
      <c r="H161" s="913"/>
      <c r="I161" s="913"/>
      <c r="J161" s="913"/>
      <c r="K161" s="913"/>
      <c r="L161" s="913"/>
      <c r="M161" s="913"/>
      <c r="N161" s="913"/>
      <c r="O161" s="913"/>
      <c r="P161" s="478"/>
      <c r="R161" s="387"/>
    </row>
    <row r="162" spans="2:18" x14ac:dyDescent="0.2">
      <c r="B162" s="50"/>
      <c r="C162" s="223"/>
      <c r="D162" s="913"/>
      <c r="E162" s="913"/>
      <c r="F162" s="913"/>
      <c r="G162" s="913"/>
      <c r="H162" s="913"/>
      <c r="I162" s="913"/>
      <c r="J162" s="913"/>
      <c r="K162" s="913"/>
      <c r="L162" s="913"/>
      <c r="M162" s="913"/>
      <c r="N162" s="913"/>
      <c r="O162" s="913"/>
      <c r="P162" s="566"/>
    </row>
    <row r="163" spans="2:18" x14ac:dyDescent="0.2">
      <c r="B163" s="50"/>
      <c r="C163" s="223"/>
      <c r="D163" s="913"/>
      <c r="E163" s="913"/>
      <c r="F163" s="913"/>
      <c r="G163" s="913"/>
      <c r="H163" s="913"/>
      <c r="I163" s="913"/>
      <c r="J163" s="913"/>
      <c r="K163" s="913"/>
      <c r="L163" s="913"/>
      <c r="M163" s="913"/>
      <c r="N163" s="913"/>
      <c r="O163" s="913"/>
      <c r="P163" s="566"/>
    </row>
    <row r="164" spans="2:18" x14ac:dyDescent="0.2">
      <c r="B164" s="50"/>
      <c r="C164" s="223">
        <v>3</v>
      </c>
      <c r="D164" s="913" t="s">
        <v>584</v>
      </c>
      <c r="E164" s="913"/>
      <c r="F164" s="913"/>
      <c r="G164" s="913"/>
      <c r="H164" s="913"/>
      <c r="I164" s="913"/>
      <c r="J164" s="913"/>
      <c r="K164" s="913"/>
      <c r="L164" s="913"/>
      <c r="M164" s="913"/>
      <c r="N164" s="913"/>
      <c r="O164" s="913"/>
      <c r="P164" s="566"/>
    </row>
    <row r="165" spans="2:18" x14ac:dyDescent="0.2">
      <c r="B165" s="50"/>
      <c r="C165" s="223"/>
      <c r="D165" s="913"/>
      <c r="E165" s="913"/>
      <c r="F165" s="913"/>
      <c r="G165" s="913"/>
      <c r="H165" s="913"/>
      <c r="I165" s="913"/>
      <c r="J165" s="913"/>
      <c r="K165" s="913"/>
      <c r="L165" s="913"/>
      <c r="M165" s="913"/>
      <c r="N165" s="913"/>
      <c r="O165" s="913"/>
      <c r="P165" s="566"/>
    </row>
    <row r="166" spans="2:18" ht="15.75" customHeight="1" x14ac:dyDescent="0.2">
      <c r="B166" s="50"/>
      <c r="C166" s="223"/>
      <c r="D166" s="913"/>
      <c r="E166" s="913"/>
      <c r="F166" s="913"/>
      <c r="G166" s="913"/>
      <c r="H166" s="913"/>
      <c r="I166" s="913"/>
      <c r="J166" s="913"/>
      <c r="K166" s="913"/>
      <c r="L166" s="913"/>
      <c r="M166" s="913"/>
      <c r="N166" s="913"/>
      <c r="O166" s="913"/>
      <c r="P166" s="566"/>
    </row>
    <row r="167" spans="2:18" x14ac:dyDescent="0.2">
      <c r="B167" s="50"/>
      <c r="C167" s="223"/>
      <c r="D167" s="913"/>
      <c r="E167" s="913"/>
      <c r="F167" s="913"/>
      <c r="G167" s="913"/>
      <c r="H167" s="913"/>
      <c r="I167" s="913"/>
      <c r="J167" s="913"/>
      <c r="K167" s="913"/>
      <c r="L167" s="913"/>
      <c r="M167" s="913"/>
      <c r="N167" s="913"/>
      <c r="O167" s="913"/>
      <c r="P167" s="566"/>
    </row>
    <row r="168" spans="2:18" x14ac:dyDescent="0.2">
      <c r="B168" s="50"/>
      <c r="C168" s="223">
        <v>4</v>
      </c>
      <c r="D168" s="913" t="s">
        <v>543</v>
      </c>
      <c r="E168" s="913"/>
      <c r="F168" s="913"/>
      <c r="G168" s="913"/>
      <c r="H168" s="913"/>
      <c r="I168" s="913"/>
      <c r="J168" s="913"/>
      <c r="K168" s="913"/>
      <c r="L168" s="913"/>
      <c r="M168" s="913"/>
      <c r="N168" s="913"/>
      <c r="O168" s="913"/>
      <c r="P168" s="566"/>
    </row>
    <row r="169" spans="2:18" x14ac:dyDescent="0.2">
      <c r="B169" s="50"/>
      <c r="C169" s="388"/>
      <c r="D169" s="913"/>
      <c r="E169" s="913"/>
      <c r="F169" s="913"/>
      <c r="G169" s="913"/>
      <c r="H169" s="913"/>
      <c r="I169" s="913"/>
      <c r="J169" s="913"/>
      <c r="K169" s="913"/>
      <c r="L169" s="913"/>
      <c r="M169" s="913"/>
      <c r="N169" s="913"/>
      <c r="O169" s="913"/>
      <c r="P169" s="566"/>
    </row>
    <row r="170" spans="2:18" x14ac:dyDescent="0.2">
      <c r="B170" s="50"/>
      <c r="C170" s="388"/>
      <c r="D170" s="913"/>
      <c r="E170" s="913"/>
      <c r="F170" s="913"/>
      <c r="G170" s="913"/>
      <c r="H170" s="913"/>
      <c r="I170" s="913"/>
      <c r="J170" s="913"/>
      <c r="K170" s="913"/>
      <c r="L170" s="913"/>
      <c r="M170" s="913"/>
      <c r="N170" s="913"/>
      <c r="O170" s="913"/>
      <c r="P170" s="566"/>
    </row>
    <row r="171" spans="2:18" x14ac:dyDescent="0.2">
      <c r="B171" s="50"/>
      <c r="C171" s="388"/>
      <c r="D171" s="913"/>
      <c r="E171" s="913"/>
      <c r="F171" s="913"/>
      <c r="G171" s="913"/>
      <c r="H171" s="913"/>
      <c r="I171" s="913"/>
      <c r="J171" s="913"/>
      <c r="K171" s="913"/>
      <c r="L171" s="913"/>
      <c r="M171" s="913"/>
      <c r="N171" s="913"/>
      <c r="O171" s="913"/>
      <c r="P171" s="566"/>
    </row>
    <row r="172" spans="2:18" x14ac:dyDescent="0.2">
      <c r="B172" s="50"/>
      <c r="C172" s="388">
        <v>5</v>
      </c>
      <c r="D172" s="914"/>
      <c r="E172" s="914"/>
      <c r="F172" s="914"/>
      <c r="G172" s="914"/>
      <c r="H172" s="914"/>
      <c r="I172" s="914"/>
      <c r="J172" s="914"/>
      <c r="K172" s="914"/>
      <c r="L172" s="914"/>
      <c r="M172" s="914"/>
      <c r="N172" s="914"/>
      <c r="O172" s="914"/>
      <c r="P172" s="566"/>
    </row>
    <row r="173" spans="2:18" x14ac:dyDescent="0.2">
      <c r="B173" s="50"/>
      <c r="C173" s="388"/>
      <c r="D173" s="914"/>
      <c r="E173" s="914"/>
      <c r="F173" s="914"/>
      <c r="G173" s="914"/>
      <c r="H173" s="914"/>
      <c r="I173" s="914"/>
      <c r="J173" s="914"/>
      <c r="K173" s="914"/>
      <c r="L173" s="914"/>
      <c r="M173" s="914"/>
      <c r="N173" s="914"/>
      <c r="O173" s="914"/>
      <c r="P173" s="566"/>
    </row>
    <row r="174" spans="2:18" x14ac:dyDescent="0.2">
      <c r="B174" s="50"/>
      <c r="C174" s="388"/>
      <c r="D174" s="914"/>
      <c r="E174" s="914"/>
      <c r="F174" s="914"/>
      <c r="G174" s="914"/>
      <c r="H174" s="914"/>
      <c r="I174" s="914"/>
      <c r="J174" s="914"/>
      <c r="K174" s="914"/>
      <c r="L174" s="914"/>
      <c r="M174" s="914"/>
      <c r="N174" s="914"/>
      <c r="O174" s="914"/>
      <c r="P174" s="566"/>
    </row>
    <row r="175" spans="2:18" x14ac:dyDescent="0.2">
      <c r="B175" s="50"/>
      <c r="C175" s="388"/>
      <c r="D175" s="914"/>
      <c r="E175" s="914"/>
      <c r="F175" s="914"/>
      <c r="G175" s="914"/>
      <c r="H175" s="914"/>
      <c r="I175" s="914"/>
      <c r="J175" s="914"/>
      <c r="K175" s="914"/>
      <c r="L175" s="914"/>
      <c r="M175" s="914"/>
      <c r="N175" s="914"/>
      <c r="O175" s="914"/>
      <c r="P175" s="566"/>
    </row>
    <row r="176" spans="2:18" x14ac:dyDescent="0.2">
      <c r="B176" s="50"/>
      <c r="C176" s="388">
        <v>6</v>
      </c>
      <c r="D176" s="909"/>
      <c r="E176" s="909"/>
      <c r="F176" s="909"/>
      <c r="G176" s="909"/>
      <c r="H176" s="909"/>
      <c r="I176" s="909"/>
      <c r="J176" s="909"/>
      <c r="K176" s="909"/>
      <c r="L176" s="909"/>
      <c r="M176" s="909"/>
      <c r="N176" s="909"/>
      <c r="O176" s="909"/>
      <c r="P176" s="566"/>
    </row>
    <row r="177" spans="2:16" x14ac:dyDescent="0.2">
      <c r="B177" s="50"/>
      <c r="C177" s="388"/>
      <c r="D177" s="909"/>
      <c r="E177" s="909"/>
      <c r="F177" s="909"/>
      <c r="G177" s="909"/>
      <c r="H177" s="909"/>
      <c r="I177" s="909"/>
      <c r="J177" s="909"/>
      <c r="K177" s="909"/>
      <c r="L177" s="909"/>
      <c r="M177" s="909"/>
      <c r="N177" s="909"/>
      <c r="O177" s="909"/>
      <c r="P177" s="566"/>
    </row>
    <row r="178" spans="2:16" x14ac:dyDescent="0.2">
      <c r="B178" s="50"/>
      <c r="C178" s="388"/>
      <c r="D178" s="909"/>
      <c r="E178" s="909"/>
      <c r="F178" s="909"/>
      <c r="G178" s="909"/>
      <c r="H178" s="909"/>
      <c r="I178" s="909"/>
      <c r="J178" s="909"/>
      <c r="K178" s="909"/>
      <c r="L178" s="909"/>
      <c r="M178" s="909"/>
      <c r="N178" s="909"/>
      <c r="O178" s="909"/>
      <c r="P178" s="566"/>
    </row>
    <row r="179" spans="2:16" x14ac:dyDescent="0.2">
      <c r="B179" s="50"/>
      <c r="C179" s="388"/>
      <c r="D179" s="909"/>
      <c r="E179" s="909"/>
      <c r="F179" s="909"/>
      <c r="G179" s="909"/>
      <c r="H179" s="909"/>
      <c r="I179" s="909"/>
      <c r="J179" s="909"/>
      <c r="K179" s="909"/>
      <c r="L179" s="909"/>
      <c r="M179" s="909"/>
      <c r="N179" s="909"/>
      <c r="O179" s="909"/>
      <c r="P179" s="566"/>
    </row>
    <row r="180" spans="2:16" x14ac:dyDescent="0.2">
      <c r="B180" s="50"/>
      <c r="C180" s="54"/>
      <c r="D180" s="380"/>
      <c r="E180" s="380"/>
      <c r="F180" s="380"/>
      <c r="G180" s="380"/>
      <c r="H180" s="380"/>
      <c r="I180" s="380"/>
      <c r="J180" s="380"/>
      <c r="K180" s="380"/>
      <c r="L180" s="380"/>
      <c r="M180" s="380"/>
      <c r="N180" s="380"/>
      <c r="O180" s="380"/>
      <c r="P180" s="566"/>
    </row>
    <row r="181" spans="2:16" ht="13.5" thickBot="1" x14ac:dyDescent="0.25">
      <c r="B181" s="59"/>
      <c r="C181" s="61"/>
      <c r="D181" s="61"/>
      <c r="E181" s="61"/>
      <c r="F181" s="61"/>
      <c r="G181" s="61"/>
      <c r="H181" s="61"/>
      <c r="I181" s="61"/>
      <c r="J181" s="61"/>
      <c r="K181" s="61"/>
      <c r="L181" s="61"/>
      <c r="M181" s="61"/>
      <c r="N181" s="61"/>
      <c r="O181" s="61"/>
      <c r="P181" s="709"/>
    </row>
  </sheetData>
  <sheetProtection algorithmName="SHA-512" hashValue="gs8ub2649lJME+aiV4psER+ogtpE+AQRzYiTnHmwxB3vi6Z5Tk9k1nnxKp7wzPBDC44i17zjoDu4JPIXJHfBOg==" saltValue="0BCg6F1cgQHIdwwZkrAckA==" spinCount="100000" sheet="1" objects="1" scenarios="1"/>
  <customSheetViews>
    <customSheetView guid="{1D46CCF0-D0A9-4A4B-AB32-CC50C778381E}" showPageBreaks="1" printArea="1" hiddenColumns="1">
      <pane ySplit="12" topLeftCell="A13" activePane="bottomLeft" state="frozen"/>
      <selection pane="bottomLeft"/>
      <rowBreaks count="2" manualBreakCount="2">
        <brk id="68" max="16383" man="1"/>
        <brk id="123" max="16383" man="1"/>
      </rowBreaks>
      <pageMargins left="0.75" right="0.67" top="0.5" bottom="0.5" header="0.25" footer="0.5"/>
      <pageSetup scale="57" fitToWidth="2" orientation="landscape" useFirstPageNumber="1" r:id="rId1"/>
      <headerFooter scaleWithDoc="0">
        <oddHeader>&amp;C&amp;8 Bridge-Scour Envelope Curve Template</oddHeader>
        <oddFooter>&amp;C&amp;A&amp;RPage &amp;P  of  &amp;N</oddFooter>
      </headerFooter>
    </customSheetView>
  </customSheetViews>
  <mergeCells count="65">
    <mergeCell ref="J23:L24"/>
    <mergeCell ref="M23:M24"/>
    <mergeCell ref="C3:O3"/>
    <mergeCell ref="J46:L46"/>
    <mergeCell ref="D176:O179"/>
    <mergeCell ref="O86:O87"/>
    <mergeCell ref="J124:J127"/>
    <mergeCell ref="D156:O159"/>
    <mergeCell ref="D160:O163"/>
    <mergeCell ref="D164:O167"/>
    <mergeCell ref="D168:O171"/>
    <mergeCell ref="D172:O175"/>
    <mergeCell ref="G96:H96"/>
    <mergeCell ref="H112:I112"/>
    <mergeCell ref="G124:I125"/>
    <mergeCell ref="C129:O130"/>
    <mergeCell ref="C90:I90"/>
    <mergeCell ref="M25:M26"/>
    <mergeCell ref="C152:O152"/>
    <mergeCell ref="C106:O107"/>
    <mergeCell ref="J99:K99"/>
    <mergeCell ref="K114:L114"/>
    <mergeCell ref="H114:I114"/>
    <mergeCell ref="C149:O150"/>
    <mergeCell ref="H137:I137"/>
    <mergeCell ref="J101:K101"/>
    <mergeCell ref="C18:E18"/>
    <mergeCell ref="I26:I27"/>
    <mergeCell ref="C131:O132"/>
    <mergeCell ref="C80:E80"/>
    <mergeCell ref="J102:K102"/>
    <mergeCell ref="J25:L26"/>
    <mergeCell ref="N68:N69"/>
    <mergeCell ref="N25:N26"/>
    <mergeCell ref="I23:I25"/>
    <mergeCell ref="D29:G31"/>
    <mergeCell ref="H26:H27"/>
    <mergeCell ref="J47:L47"/>
    <mergeCell ref="C23:G25"/>
    <mergeCell ref="H23:H25"/>
    <mergeCell ref="H29:H31"/>
    <mergeCell ref="C26:G27"/>
    <mergeCell ref="J98:K98"/>
    <mergeCell ref="J100:K100"/>
    <mergeCell ref="C2:O2"/>
    <mergeCell ref="C4:O4"/>
    <mergeCell ref="C46:G46"/>
    <mergeCell ref="C47:G47"/>
    <mergeCell ref="C40:E40"/>
    <mergeCell ref="C41:E41"/>
    <mergeCell ref="J11:J12"/>
    <mergeCell ref="E6:F6"/>
    <mergeCell ref="E7:F7"/>
    <mergeCell ref="I6:J6"/>
    <mergeCell ref="I7:J7"/>
    <mergeCell ref="I11:I12"/>
    <mergeCell ref="N23:N24"/>
    <mergeCell ref="C17:E17"/>
    <mergeCell ref="C20:G22"/>
    <mergeCell ref="I20:I22"/>
    <mergeCell ref="H20:H22"/>
    <mergeCell ref="C81:E81"/>
    <mergeCell ref="H51:H52"/>
    <mergeCell ref="C63:E63"/>
    <mergeCell ref="C64:E64"/>
  </mergeCells>
  <phoneticPr fontId="0" type="noConversion"/>
  <conditionalFormatting sqref="N68 O86:O87 H54 H51">
    <cfRule type="cellIs" dxfId="135" priority="25" stopIfTrue="1" operator="equal">
      <formula>"Yes"</formula>
    </cfRule>
    <cfRule type="cellIs" dxfId="134" priority="26" stopIfTrue="1" operator="equal">
      <formula>"No"</formula>
    </cfRule>
  </conditionalFormatting>
  <conditionalFormatting sqref="J124:J125">
    <cfRule type="cellIs" dxfId="133" priority="19" stopIfTrue="1" operator="equal">
      <formula>"No"</formula>
    </cfRule>
    <cfRule type="cellIs" dxfId="132" priority="20" stopIfTrue="1" operator="equal">
      <formula>"Yes"</formula>
    </cfRule>
  </conditionalFormatting>
  <conditionalFormatting sqref="H55:H56">
    <cfRule type="cellIs" dxfId="131" priority="17" operator="equal">
      <formula>"No"</formula>
    </cfRule>
    <cfRule type="cellIs" dxfId="130" priority="18" operator="equal">
      <formula>"Yes"</formula>
    </cfRule>
  </conditionalFormatting>
  <conditionalFormatting sqref="H33">
    <cfRule type="cellIs" dxfId="129" priority="9" operator="equal">
      <formula>"No"</formula>
    </cfRule>
    <cfRule type="cellIs" dxfId="128" priority="10" operator="equal">
      <formula>"Yes"</formula>
    </cfRule>
  </conditionalFormatting>
  <conditionalFormatting sqref="H32 H29">
    <cfRule type="cellIs" dxfId="127" priority="11" stopIfTrue="1" operator="equal">
      <formula>"Yes"</formula>
    </cfRule>
    <cfRule type="cellIs" dxfId="126" priority="12" stopIfTrue="1" operator="equal">
      <formula>"No"</formula>
    </cfRule>
  </conditionalFormatting>
  <conditionalFormatting sqref="I147">
    <cfRule type="cellIs" dxfId="125" priority="7" stopIfTrue="1" operator="equal">
      <formula>"No"</formula>
    </cfRule>
    <cfRule type="cellIs" dxfId="124" priority="8" stopIfTrue="1" operator="equal">
      <formula>"Yes"</formula>
    </cfRule>
  </conditionalFormatting>
  <conditionalFormatting sqref="L147">
    <cfRule type="cellIs" dxfId="123" priority="1" stopIfTrue="1" operator="equal">
      <formula>"No"</formula>
    </cfRule>
    <cfRule type="cellIs" dxfId="122" priority="2" stopIfTrue="1" operator="equal">
      <formula>"Yes"</formula>
    </cfRule>
  </conditionalFormatting>
  <dataValidations count="6">
    <dataValidation type="list" allowBlank="1" showInputMessage="1" showErrorMessage="1" sqref="I66:I67 F40 F63 F80 J9:J11 F17">
      <formula1>$R$48:$R$49</formula1>
    </dataValidation>
    <dataValidation type="list" allowBlank="1" showInputMessage="1" showErrorMessage="1" sqref="H44">
      <formula1>$R$42:$R$43</formula1>
    </dataValidation>
    <dataValidation type="list" allowBlank="1" showInputMessage="1" showErrorMessage="1" sqref="G9">
      <formula1>$R$7:$R$8</formula1>
    </dataValidation>
    <dataValidation type="list" allowBlank="1" showInputMessage="1" showErrorMessage="1" sqref="H137">
      <formula1>$R$139:$R$140</formula1>
    </dataValidation>
    <dataValidation type="list" allowBlank="1" showInputMessage="1" showErrorMessage="1" sqref="F41 M80:M82 F81 M63:M64 F64 F18 O89:O91">
      <formula1>$R$56:$R$59</formula1>
    </dataValidation>
    <dataValidation type="list" allowBlank="1" showInputMessage="1" showErrorMessage="1" sqref="G96 H112">
      <formula1>$R$66:$R$70</formula1>
    </dataValidation>
  </dataValidations>
  <pageMargins left="0.75" right="0.67" top="0.5" bottom="0.5" header="0.25" footer="0.5"/>
  <pageSetup scale="57" fitToWidth="2" orientation="landscape" useFirstPageNumber="1" r:id="rId2"/>
  <headerFooter scaleWithDoc="0">
    <oddHeader>&amp;C&amp;8 Bridge-Scour Envelope Curve Template</oddHeader>
    <oddFooter>&amp;C&amp;A&amp;RPage &amp;P  of  &amp;N</oddFooter>
  </headerFooter>
  <rowBreaks count="2" manualBreakCount="2">
    <brk id="92" max="16383" man="1"/>
    <brk id="153" max="16383" man="1"/>
  </rowBreak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AC170"/>
  <sheetViews>
    <sheetView zoomScaleNormal="100" zoomScaleSheetLayoutView="40" workbookViewId="0">
      <pane ySplit="16" topLeftCell="A17" activePane="bottomLeft" state="frozen"/>
      <selection pane="bottomLeft" activeCell="I23" sqref="I23"/>
    </sheetView>
  </sheetViews>
  <sheetFormatPr defaultColWidth="9.140625" defaultRowHeight="12.75" x14ac:dyDescent="0.2"/>
  <cols>
    <col min="1" max="1" width="2.140625" style="171" customWidth="1"/>
    <col min="2" max="2" width="4.7109375" style="387" customWidth="1"/>
    <col min="3" max="5" width="9.140625" style="171" customWidth="1"/>
    <col min="6" max="6" width="13" style="171" customWidth="1"/>
    <col min="7" max="7" width="12.7109375" style="171" customWidth="1"/>
    <col min="8" max="8" width="11.7109375" style="171" customWidth="1"/>
    <col min="9" max="9" width="28" style="171" customWidth="1"/>
    <col min="10" max="10" width="17.85546875" style="171" customWidth="1"/>
    <col min="11" max="11" width="15.28515625" style="171" customWidth="1"/>
    <col min="12" max="12" width="2.28515625" style="171" customWidth="1"/>
    <col min="13" max="13" width="17.85546875" style="171" customWidth="1"/>
    <col min="14" max="14" width="16.28515625" style="171" customWidth="1"/>
    <col min="15" max="15" width="17" style="171" customWidth="1"/>
    <col min="16" max="16" width="3.85546875" style="171" customWidth="1"/>
    <col min="17" max="17" width="3.7109375" style="563" customWidth="1"/>
    <col min="18" max="18" width="9.140625" style="171"/>
    <col min="19" max="19" width="9.140625" style="171" hidden="1" customWidth="1"/>
    <col min="20" max="20" width="14.85546875" style="171" hidden="1" customWidth="1"/>
    <col min="21" max="22" width="9.140625" style="171" hidden="1" customWidth="1"/>
    <col min="23" max="23" width="11" style="171" hidden="1" customWidth="1"/>
    <col min="24" max="25" width="9.140625" style="171" hidden="1" customWidth="1"/>
    <col min="26" max="26" width="14.85546875" style="171" hidden="1" customWidth="1"/>
    <col min="27" max="28" width="9.140625" style="171" hidden="1" customWidth="1"/>
    <col min="29" max="29" width="10.85546875" style="171" hidden="1" customWidth="1"/>
    <col min="30" max="16384" width="9.140625" style="171"/>
  </cols>
  <sheetData>
    <row r="1" spans="2:29" ht="13.5" thickBot="1" x14ac:dyDescent="0.25"/>
    <row r="2" spans="2:29" ht="20.25" x14ac:dyDescent="0.3">
      <c r="B2" s="169"/>
      <c r="C2" s="960" t="s">
        <v>43</v>
      </c>
      <c r="D2" s="960"/>
      <c r="E2" s="960"/>
      <c r="F2" s="960"/>
      <c r="G2" s="960"/>
      <c r="H2" s="960"/>
      <c r="I2" s="960"/>
      <c r="J2" s="960"/>
      <c r="K2" s="960"/>
      <c r="L2" s="960"/>
      <c r="M2" s="960"/>
      <c r="N2" s="960"/>
      <c r="O2" s="960"/>
      <c r="P2" s="960"/>
      <c r="Q2" s="369">
        <v>1</v>
      </c>
      <c r="R2" s="387"/>
    </row>
    <row r="3" spans="2:29" ht="18" x14ac:dyDescent="0.25">
      <c r="B3" s="397"/>
      <c r="C3" s="961" t="s">
        <v>432</v>
      </c>
      <c r="D3" s="961"/>
      <c r="E3" s="961"/>
      <c r="F3" s="961"/>
      <c r="G3" s="961"/>
      <c r="H3" s="961"/>
      <c r="I3" s="961"/>
      <c r="J3" s="961"/>
      <c r="K3" s="961"/>
      <c r="L3" s="961"/>
      <c r="M3" s="961"/>
      <c r="N3" s="961"/>
      <c r="O3" s="961"/>
      <c r="P3" s="961"/>
      <c r="Q3" s="304"/>
      <c r="R3" s="387"/>
    </row>
    <row r="4" spans="2:29" ht="18" x14ac:dyDescent="0.25">
      <c r="B4" s="397"/>
      <c r="C4" s="962" t="s">
        <v>405</v>
      </c>
      <c r="D4" s="962"/>
      <c r="E4" s="962"/>
      <c r="F4" s="962"/>
      <c r="G4" s="962"/>
      <c r="H4" s="962"/>
      <c r="I4" s="962"/>
      <c r="J4" s="962"/>
      <c r="K4" s="962"/>
      <c r="L4" s="962"/>
      <c r="M4" s="962"/>
      <c r="N4" s="962"/>
      <c r="O4" s="962"/>
      <c r="P4" s="962"/>
      <c r="Q4" s="304"/>
      <c r="R4" s="387"/>
      <c r="S4" s="173" t="s">
        <v>65</v>
      </c>
    </row>
    <row r="5" spans="2:29" s="175" customFormat="1" ht="13.5" thickBot="1" x14ac:dyDescent="0.25">
      <c r="B5" s="159"/>
      <c r="C5" s="390"/>
      <c r="D5" s="383"/>
      <c r="E5" s="383"/>
      <c r="F5" s="383"/>
      <c r="G5" s="383"/>
      <c r="H5" s="383"/>
      <c r="I5" s="383"/>
      <c r="J5" s="383"/>
      <c r="K5" s="383"/>
      <c r="L5" s="383"/>
      <c r="M5" s="383"/>
      <c r="N5" s="383"/>
      <c r="O5" s="383"/>
      <c r="P5" s="383"/>
      <c r="Q5" s="304"/>
      <c r="R5" s="383"/>
      <c r="T5" s="182" t="s">
        <v>203</v>
      </c>
      <c r="Z5" s="182" t="s">
        <v>207</v>
      </c>
    </row>
    <row r="6" spans="2:29" s="175" customFormat="1" x14ac:dyDescent="0.2">
      <c r="B6" s="159"/>
      <c r="C6" s="390" t="s">
        <v>0</v>
      </c>
      <c r="E6" s="383"/>
      <c r="F6" s="963">
        <f>'Site Info'!E6</f>
        <v>0</v>
      </c>
      <c r="G6" s="968"/>
      <c r="H6" s="390" t="s">
        <v>2</v>
      </c>
      <c r="I6" s="963">
        <f>'Site Info'!I6</f>
        <v>0</v>
      </c>
      <c r="J6" s="964"/>
      <c r="K6" s="383"/>
      <c r="L6" s="775" t="s">
        <v>32</v>
      </c>
      <c r="M6" s="775"/>
      <c r="N6" s="788">
        <f>'Site Info'!N6</f>
        <v>0</v>
      </c>
      <c r="O6" s="579"/>
      <c r="P6" s="383"/>
      <c r="Q6" s="304"/>
      <c r="R6" s="383"/>
      <c r="S6" s="597"/>
      <c r="T6" s="559"/>
      <c r="U6" s="559"/>
      <c r="V6" s="559"/>
      <c r="W6" s="598"/>
      <c r="Y6" s="597"/>
      <c r="Z6" s="559"/>
      <c r="AA6" s="559"/>
      <c r="AB6" s="559"/>
      <c r="AC6" s="598"/>
    </row>
    <row r="7" spans="2:29" s="175" customFormat="1" x14ac:dyDescent="0.2">
      <c r="B7" s="159"/>
      <c r="C7" s="390" t="s">
        <v>1</v>
      </c>
      <c r="E7" s="383"/>
      <c r="F7" s="756">
        <f>'Site Info'!E7</f>
        <v>0</v>
      </c>
      <c r="G7" s="383"/>
      <c r="H7" s="390" t="s">
        <v>3</v>
      </c>
      <c r="I7" s="963">
        <f>'Site Info'!I7</f>
        <v>0</v>
      </c>
      <c r="J7" s="964"/>
      <c r="K7" s="383"/>
      <c r="L7" s="383"/>
      <c r="M7" s="383"/>
      <c r="N7" s="382"/>
      <c r="O7" s="383"/>
      <c r="P7" s="383"/>
      <c r="Q7" s="304"/>
      <c r="R7" s="383"/>
      <c r="S7" s="159"/>
      <c r="T7" s="382" t="s">
        <v>21</v>
      </c>
      <c r="U7" s="382" t="s">
        <v>26</v>
      </c>
      <c r="V7" s="383"/>
      <c r="W7" s="165"/>
      <c r="Y7" s="159"/>
      <c r="Z7" s="382" t="s">
        <v>21</v>
      </c>
      <c r="AA7" s="382" t="s">
        <v>26</v>
      </c>
      <c r="AB7" s="383"/>
      <c r="AC7" s="165"/>
    </row>
    <row r="8" spans="2:29" s="175" customFormat="1" x14ac:dyDescent="0.2">
      <c r="B8" s="159"/>
      <c r="C8" s="383"/>
      <c r="E8" s="383"/>
      <c r="F8" s="383"/>
      <c r="G8" s="383"/>
      <c r="H8" s="383"/>
      <c r="I8" s="383"/>
      <c r="J8" s="383"/>
      <c r="K8" s="383"/>
      <c r="L8" s="383"/>
      <c r="M8" s="383"/>
      <c r="N8" s="383"/>
      <c r="O8" s="383"/>
      <c r="P8" s="383"/>
      <c r="Q8" s="304"/>
      <c r="R8" s="383"/>
      <c r="S8" s="300" t="s">
        <v>66</v>
      </c>
      <c r="T8" s="58">
        <v>6</v>
      </c>
      <c r="U8" s="58">
        <v>11</v>
      </c>
      <c r="V8" s="383" t="s">
        <v>212</v>
      </c>
      <c r="W8" s="165"/>
      <c r="Y8" s="300" t="s">
        <v>66</v>
      </c>
      <c r="Z8" s="58">
        <v>6</v>
      </c>
      <c r="AA8" s="58">
        <v>11</v>
      </c>
      <c r="AB8" s="383" t="s">
        <v>212</v>
      </c>
      <c r="AC8" s="165"/>
    </row>
    <row r="9" spans="2:29" s="175" customFormat="1" x14ac:dyDescent="0.2">
      <c r="B9" s="159"/>
      <c r="C9" s="383"/>
      <c r="E9" s="383"/>
      <c r="F9" s="383"/>
      <c r="G9" s="383"/>
      <c r="H9" s="383"/>
      <c r="I9" s="595" t="s">
        <v>34</v>
      </c>
      <c r="J9" s="785">
        <f>'Site Info'!J9</f>
        <v>0</v>
      </c>
      <c r="K9" s="383"/>
      <c r="L9" s="390" t="s">
        <v>42</v>
      </c>
      <c r="M9" s="390"/>
      <c r="N9" s="58">
        <f>'Site Info'!N9</f>
        <v>0</v>
      </c>
      <c r="O9" s="390" t="s">
        <v>7</v>
      </c>
      <c r="P9" s="383"/>
      <c r="Q9" s="304"/>
      <c r="R9" s="383"/>
      <c r="S9" s="300" t="s">
        <v>67</v>
      </c>
      <c r="T9" s="58">
        <v>8830</v>
      </c>
      <c r="U9" s="58">
        <v>1620</v>
      </c>
      <c r="V9" s="383" t="s">
        <v>212</v>
      </c>
      <c r="W9" s="165"/>
      <c r="Y9" s="300" t="s">
        <v>67</v>
      </c>
      <c r="Z9" s="58">
        <v>426</v>
      </c>
      <c r="AA9" s="58">
        <v>395</v>
      </c>
      <c r="AB9" s="383" t="s">
        <v>212</v>
      </c>
      <c r="AC9" s="165"/>
    </row>
    <row r="10" spans="2:29" s="175" customFormat="1" x14ac:dyDescent="0.2">
      <c r="B10" s="159"/>
      <c r="C10" s="390" t="s">
        <v>6</v>
      </c>
      <c r="E10" s="383"/>
      <c r="F10" s="788">
        <f>'Site Info'!G9</f>
        <v>0</v>
      </c>
      <c r="G10" s="579"/>
      <c r="H10" s="383"/>
      <c r="I10" s="596" t="s">
        <v>275</v>
      </c>
      <c r="J10" s="785">
        <f>'Site Info'!J10</f>
        <v>0</v>
      </c>
      <c r="K10" s="383"/>
      <c r="L10" s="383"/>
      <c r="M10" s="383"/>
      <c r="N10" s="383"/>
      <c r="O10" s="390"/>
      <c r="P10" s="383"/>
      <c r="Q10" s="304"/>
      <c r="R10" s="383"/>
      <c r="S10" s="159" t="s">
        <v>69</v>
      </c>
      <c r="T10" s="58">
        <v>426</v>
      </c>
      <c r="U10" s="58">
        <v>400</v>
      </c>
      <c r="V10" s="383" t="s">
        <v>212</v>
      </c>
      <c r="W10" s="165"/>
      <c r="Y10" s="159" t="s">
        <v>69</v>
      </c>
      <c r="Z10" s="58">
        <v>146</v>
      </c>
      <c r="AA10" s="58">
        <v>180</v>
      </c>
      <c r="AB10" s="383" t="s">
        <v>212</v>
      </c>
      <c r="AC10" s="165"/>
    </row>
    <row r="11" spans="2:29" s="175" customFormat="1" ht="13.15" customHeight="1" x14ac:dyDescent="0.2">
      <c r="B11" s="159"/>
      <c r="C11" s="390"/>
      <c r="E11" s="383"/>
      <c r="F11" s="590"/>
      <c r="G11" s="590"/>
      <c r="H11" s="383"/>
      <c r="I11" s="967" t="s">
        <v>288</v>
      </c>
      <c r="J11" s="965">
        <f>'Site Info'!J11</f>
        <v>0</v>
      </c>
      <c r="K11" s="383"/>
      <c r="L11" s="390" t="s">
        <v>57</v>
      </c>
      <c r="M11" s="390"/>
      <c r="N11" s="58">
        <f>'Site Info'!N11</f>
        <v>0</v>
      </c>
      <c r="O11" s="390" t="s">
        <v>58</v>
      </c>
      <c r="P11" s="383"/>
      <c r="Q11" s="304"/>
      <c r="R11" s="383"/>
      <c r="S11" s="159"/>
      <c r="T11" s="383"/>
      <c r="U11" s="383"/>
      <c r="V11" s="383"/>
      <c r="W11" s="165"/>
      <c r="Y11" s="159"/>
      <c r="Z11" s="383"/>
      <c r="AA11" s="383"/>
      <c r="AB11" s="383"/>
      <c r="AC11" s="165"/>
    </row>
    <row r="12" spans="2:29" s="175" customFormat="1" ht="13.15" customHeight="1" x14ac:dyDescent="0.2">
      <c r="B12" s="159"/>
      <c r="C12" s="390" t="s">
        <v>90</v>
      </c>
      <c r="E12" s="383"/>
      <c r="F12" s="58">
        <f>'Site Info'!E11</f>
        <v>0</v>
      </c>
      <c r="G12" s="395" t="s">
        <v>92</v>
      </c>
      <c r="H12" s="383"/>
      <c r="I12" s="967"/>
      <c r="J12" s="966"/>
      <c r="K12" s="382"/>
      <c r="L12" s="390"/>
      <c r="M12" s="390"/>
      <c r="N12" s="383"/>
      <c r="O12" s="383"/>
      <c r="P12" s="383"/>
      <c r="Q12" s="304"/>
      <c r="R12" s="383"/>
      <c r="S12" s="159" t="s">
        <v>208</v>
      </c>
      <c r="T12" s="383" t="s">
        <v>70</v>
      </c>
      <c r="U12" s="383"/>
      <c r="V12" s="383"/>
      <c r="W12" s="165"/>
      <c r="Y12" s="159" t="s">
        <v>208</v>
      </c>
      <c r="Z12" s="383" t="s">
        <v>70</v>
      </c>
      <c r="AA12" s="383"/>
      <c r="AB12" s="383"/>
      <c r="AC12" s="165"/>
    </row>
    <row r="13" spans="2:29" s="175" customFormat="1" ht="13.5" thickBot="1" x14ac:dyDescent="0.25">
      <c r="B13" s="159"/>
      <c r="C13" s="390" t="s">
        <v>91</v>
      </c>
      <c r="E13" s="383"/>
      <c r="F13" s="58">
        <f>'Site Info'!E12</f>
        <v>0</v>
      </c>
      <c r="G13" s="395" t="s">
        <v>92</v>
      </c>
      <c r="H13" s="383"/>
      <c r="I13" s="383"/>
      <c r="J13" s="383"/>
      <c r="K13" s="383"/>
      <c r="L13" s="383"/>
      <c r="M13" s="383"/>
      <c r="N13" s="383"/>
      <c r="O13" s="383"/>
      <c r="P13" s="383"/>
      <c r="Q13" s="599"/>
      <c r="R13" s="383"/>
      <c r="S13" s="301" t="s">
        <v>209</v>
      </c>
      <c r="T13" s="203" t="s">
        <v>71</v>
      </c>
      <c r="U13" s="203"/>
      <c r="V13" s="203"/>
      <c r="W13" s="600"/>
      <c r="Y13" s="301" t="s">
        <v>209</v>
      </c>
      <c r="Z13" s="203" t="s">
        <v>70</v>
      </c>
      <c r="AA13" s="203"/>
      <c r="AB13" s="203"/>
      <c r="AC13" s="600"/>
    </row>
    <row r="14" spans="2:29" s="175" customFormat="1" x14ac:dyDescent="0.2">
      <c r="B14" s="159"/>
      <c r="C14" s="390"/>
      <c r="D14" s="383"/>
      <c r="E14" s="383"/>
      <c r="F14" s="382"/>
      <c r="G14" s="395"/>
      <c r="H14" s="383"/>
      <c r="I14" s="383"/>
      <c r="J14" s="383"/>
      <c r="K14" s="383"/>
      <c r="L14" s="580" t="s">
        <v>499</v>
      </c>
      <c r="M14" s="935" t="str">
        <f>IF(AND(F10="Coastal Plain",N11&lt;T8),"DA OUTSIDE RANGE (Below)",IF(AND(F10="Coastal Plain",N11&gt;T9),"DA OUTSIDE RANGE (Above)",IF(AND(F10="Coastal Plain",N11&lt;=T9,N11&gt;T10),T12,IF(AND(F10="Piedmont",N11&lt;U8),"DA OUTSIDE RANGE (Below)",IF(AND(F10="Piedmont",N11&gt;U9),"DA OUTSIDE RANGE (Above)",IF(AND(F10="Piedmont",N11&lt;=U9,N11&gt;U10),T13,"DA IN RANGE"))))))</f>
        <v>DA IN RANGE</v>
      </c>
      <c r="N14" s="935"/>
      <c r="O14" s="935"/>
      <c r="P14" s="516"/>
      <c r="Q14" s="599"/>
      <c r="R14" s="383"/>
      <c r="S14" s="383"/>
      <c r="T14" s="383"/>
      <c r="U14" s="383"/>
      <c r="V14" s="383"/>
      <c r="W14" s="383"/>
      <c r="Y14" s="383"/>
      <c r="Z14" s="383"/>
      <c r="AA14" s="383"/>
      <c r="AB14" s="383"/>
      <c r="AC14" s="383"/>
    </row>
    <row r="15" spans="2:29" s="175" customFormat="1" x14ac:dyDescent="0.2">
      <c r="B15" s="159"/>
      <c r="C15" s="390"/>
      <c r="D15" s="383"/>
      <c r="E15" s="383"/>
      <c r="F15" s="382"/>
      <c r="G15" s="395"/>
      <c r="H15" s="383"/>
      <c r="I15" s="383"/>
      <c r="J15" s="383"/>
      <c r="K15" s="383"/>
      <c r="L15" s="580" t="s">
        <v>500</v>
      </c>
      <c r="M15" s="935" t="str">
        <f>IF(AND(F10="Coastal Plain",N11&lt;Z8),"DA OUTSIDE RANGE (Below)",IF(AND(F10="Coastal Plain",N11&gt;Z9),"DA OUTSIDE RANGE (Above)",IF(AND(F10="Coastal Plain",N11&lt;=Z9,N11&gt;Z10),Z12,IF(AND(F10="Piedmont",N11&lt;AA8),"DA OUTSIDE RANGE (Below)",IF(AND(F10="Piedmont",N11&gt;AA9),"DA OUTSIDE RANGE (Above)",IF(AND(F10="Piedmont",N11&lt;=AA9,N11&gt;AA10),Z13,"DA IN RANGE"))))))</f>
        <v>DA IN RANGE</v>
      </c>
      <c r="N15" s="935"/>
      <c r="O15" s="935"/>
      <c r="P15" s="516"/>
      <c r="Q15" s="599"/>
      <c r="R15" s="383"/>
    </row>
    <row r="16" spans="2:29" s="175" customFormat="1" ht="13.5" thickBot="1" x14ac:dyDescent="0.25">
      <c r="B16" s="301"/>
      <c r="C16" s="178"/>
      <c r="D16" s="203"/>
      <c r="E16" s="203"/>
      <c r="F16" s="601"/>
      <c r="G16" s="601"/>
      <c r="H16" s="203"/>
      <c r="I16" s="203"/>
      <c r="J16" s="203"/>
      <c r="K16" s="203"/>
      <c r="L16" s="203"/>
      <c r="M16" s="203"/>
      <c r="N16" s="203"/>
      <c r="O16" s="203"/>
      <c r="P16" s="203"/>
      <c r="Q16" s="564"/>
      <c r="R16" s="383"/>
    </row>
    <row r="17" spans="2:18" x14ac:dyDescent="0.2">
      <c r="B17" s="169"/>
      <c r="C17" s="200"/>
      <c r="D17" s="158"/>
      <c r="E17" s="158"/>
      <c r="F17" s="567"/>
      <c r="G17" s="567"/>
      <c r="H17" s="158"/>
      <c r="I17" s="158"/>
      <c r="J17" s="158"/>
      <c r="K17" s="158"/>
      <c r="L17" s="158"/>
      <c r="M17" s="158"/>
      <c r="N17" s="158"/>
      <c r="O17" s="158"/>
      <c r="P17" s="158"/>
      <c r="Q17" s="369"/>
      <c r="R17" s="387"/>
    </row>
    <row r="18" spans="2:18" s="173" customFormat="1" ht="15.75" x14ac:dyDescent="0.25">
      <c r="B18" s="583"/>
      <c r="C18" s="604" t="s">
        <v>606</v>
      </c>
      <c r="D18" s="604"/>
      <c r="E18" s="604"/>
      <c r="F18" s="604"/>
      <c r="G18" s="604"/>
      <c r="H18" s="604"/>
      <c r="I18" s="604"/>
      <c r="J18" s="604"/>
      <c r="K18" s="604"/>
      <c r="L18" s="604"/>
      <c r="M18" s="604"/>
      <c r="N18" s="604"/>
      <c r="O18" s="604"/>
      <c r="P18" s="604"/>
      <c r="Q18" s="561"/>
      <c r="R18" s="65"/>
    </row>
    <row r="19" spans="2:18" s="182" customFormat="1" ht="12.75" customHeight="1" x14ac:dyDescent="0.25">
      <c r="B19" s="181"/>
      <c r="C19" s="390"/>
      <c r="D19" s="390"/>
      <c r="E19" s="390"/>
      <c r="F19" s="390"/>
      <c r="G19" s="390"/>
      <c r="H19" s="387"/>
      <c r="I19" s="531"/>
      <c r="J19" s="387"/>
      <c r="K19" s="390"/>
      <c r="L19" s="390"/>
      <c r="M19" s="390"/>
      <c r="N19" s="390"/>
      <c r="O19" s="390"/>
      <c r="P19" s="390"/>
      <c r="Q19" s="304"/>
      <c r="R19" s="390"/>
    </row>
    <row r="20" spans="2:18" s="182" customFormat="1" x14ac:dyDescent="0.2">
      <c r="B20" s="181"/>
      <c r="C20" s="390"/>
      <c r="D20" s="390"/>
      <c r="E20" s="390"/>
      <c r="F20" s="383"/>
      <c r="G20" s="387"/>
      <c r="H20" s="387"/>
      <c r="I20" s="390"/>
      <c r="J20" s="606" t="s">
        <v>607</v>
      </c>
      <c r="K20" s="889" t="s">
        <v>249</v>
      </c>
      <c r="L20" s="889"/>
      <c r="M20" s="702"/>
      <c r="N20" s="390"/>
      <c r="O20" s="383"/>
      <c r="P20" s="390"/>
      <c r="Q20" s="304"/>
      <c r="R20" s="390"/>
    </row>
    <row r="21" spans="2:18" s="182" customFormat="1" x14ac:dyDescent="0.2">
      <c r="B21" s="181"/>
      <c r="C21" s="390"/>
      <c r="D21" s="390" t="s">
        <v>608</v>
      </c>
      <c r="E21" s="390"/>
      <c r="F21" s="383"/>
      <c r="G21" s="387"/>
      <c r="H21" s="387"/>
      <c r="I21" s="390"/>
      <c r="J21" s="783" t="str">
        <f>'Site Info'!I99</f>
        <v>No Data</v>
      </c>
      <c r="K21" s="902" t="str">
        <f>'Site Info'!J99</f>
        <v>No Data</v>
      </c>
      <c r="L21" s="903"/>
      <c r="M21" s="702"/>
      <c r="N21" s="390"/>
      <c r="O21" s="383"/>
      <c r="P21" s="390"/>
      <c r="Q21" s="304"/>
      <c r="R21" s="390"/>
    </row>
    <row r="22" spans="2:18" x14ac:dyDescent="0.2">
      <c r="B22" s="397"/>
      <c r="C22" s="390"/>
      <c r="D22" s="390" t="s">
        <v>609</v>
      </c>
      <c r="E22" s="390"/>
      <c r="F22" s="387"/>
      <c r="G22" s="387"/>
      <c r="H22" s="387"/>
      <c r="I22" s="387"/>
      <c r="J22" s="783" t="str">
        <f>'Site Info'!I100</f>
        <v>No Data</v>
      </c>
      <c r="K22" s="959" t="str">
        <f>'Site Info'!J100</f>
        <v>No Data</v>
      </c>
      <c r="L22" s="959"/>
      <c r="M22" s="64"/>
      <c r="N22" s="387"/>
      <c r="O22" s="387"/>
      <c r="P22" s="387"/>
      <c r="Q22" s="304"/>
      <c r="R22" s="387"/>
    </row>
    <row r="23" spans="2:18" x14ac:dyDescent="0.2">
      <c r="B23" s="397"/>
      <c r="C23" s="390"/>
      <c r="D23" s="390" t="s">
        <v>610</v>
      </c>
      <c r="E23" s="390"/>
      <c r="F23" s="387"/>
      <c r="G23" s="387"/>
      <c r="H23" s="387"/>
      <c r="I23" s="387"/>
      <c r="J23" s="783" t="str">
        <f>'Site Info'!I101</f>
        <v>No Data</v>
      </c>
      <c r="K23" s="959" t="str">
        <f>'Site Info'!J101</f>
        <v>No Data</v>
      </c>
      <c r="L23" s="959"/>
      <c r="M23" s="64"/>
      <c r="N23" s="387"/>
      <c r="O23" s="387"/>
      <c r="P23" s="387"/>
      <c r="Q23" s="304"/>
      <c r="R23" s="387"/>
    </row>
    <row r="24" spans="2:18" x14ac:dyDescent="0.2">
      <c r="B24" s="397"/>
      <c r="C24" s="390"/>
      <c r="D24" s="390" t="s">
        <v>611</v>
      </c>
      <c r="E24" s="390"/>
      <c r="F24" s="387"/>
      <c r="G24" s="387"/>
      <c r="H24" s="387"/>
      <c r="I24" s="387"/>
      <c r="J24" s="783" t="str">
        <f>'Site Info'!I102</f>
        <v>No Data</v>
      </c>
      <c r="K24" s="959" t="str">
        <f>'Site Info'!J102</f>
        <v>No Data</v>
      </c>
      <c r="L24" s="959"/>
      <c r="M24" s="64"/>
      <c r="N24" s="387"/>
      <c r="O24" s="387"/>
      <c r="P24" s="387"/>
      <c r="Q24" s="304"/>
      <c r="R24" s="387"/>
    </row>
    <row r="25" spans="2:18" x14ac:dyDescent="0.2">
      <c r="B25" s="397"/>
      <c r="C25" s="390"/>
      <c r="D25" s="68" t="s">
        <v>612</v>
      </c>
      <c r="E25" s="387"/>
      <c r="F25" s="387"/>
      <c r="G25" s="387"/>
      <c r="H25" s="387"/>
      <c r="I25" s="387"/>
      <c r="J25" s="783" t="str">
        <f>'Site Info'!I103</f>
        <v>No Data</v>
      </c>
      <c r="K25" s="387"/>
      <c r="N25" s="387"/>
      <c r="O25" s="387"/>
      <c r="P25" s="387"/>
      <c r="Q25" s="304"/>
      <c r="R25" s="387"/>
    </row>
    <row r="26" spans="2:18" x14ac:dyDescent="0.2">
      <c r="B26" s="397"/>
      <c r="C26" s="390"/>
      <c r="D26" s="68"/>
      <c r="E26" s="387"/>
      <c r="F26" s="387"/>
      <c r="G26" s="387"/>
      <c r="H26" s="387"/>
      <c r="I26" s="387"/>
      <c r="J26" s="387"/>
      <c r="K26" s="387"/>
      <c r="N26" s="387"/>
      <c r="O26" s="387"/>
      <c r="P26" s="387"/>
      <c r="Q26" s="304"/>
      <c r="R26" s="387"/>
    </row>
    <row r="27" spans="2:18" x14ac:dyDescent="0.2">
      <c r="B27" s="397"/>
      <c r="C27" s="390"/>
      <c r="D27" s="386" t="s">
        <v>613</v>
      </c>
      <c r="E27" s="387"/>
      <c r="F27" s="387"/>
      <c r="G27" s="387"/>
      <c r="H27" s="387"/>
      <c r="I27" s="387"/>
      <c r="J27" s="780" t="str">
        <f>IF(F10="Coastal Plain",EQUATIONS!F37,EQUATIONS!F47)</f>
        <v>OUTSIDE RANGE</v>
      </c>
      <c r="K27" s="387"/>
      <c r="N27" s="387"/>
      <c r="O27" s="387"/>
      <c r="P27" s="387"/>
      <c r="Q27" s="304"/>
      <c r="R27" s="387"/>
    </row>
    <row r="28" spans="2:18" x14ac:dyDescent="0.2">
      <c r="B28" s="397"/>
      <c r="C28" s="390"/>
      <c r="D28" s="386" t="s">
        <v>614</v>
      </c>
      <c r="E28" s="387"/>
      <c r="F28" s="387"/>
      <c r="G28" s="387"/>
      <c r="H28" s="387"/>
      <c r="I28" s="387"/>
      <c r="J28" s="780" t="str">
        <f>IF(F10="Coastal Plain",EQUATIONS!F67,EQUATIONS!F94)</f>
        <v>OUTSIDE RANGE</v>
      </c>
      <c r="K28" s="387"/>
      <c r="N28" s="387"/>
      <c r="O28" s="387"/>
      <c r="P28" s="387"/>
      <c r="Q28" s="304"/>
      <c r="R28" s="387"/>
    </row>
    <row r="29" spans="2:18" x14ac:dyDescent="0.2">
      <c r="B29" s="397"/>
      <c r="C29" s="390"/>
      <c r="D29" s="387"/>
      <c r="E29" s="387"/>
      <c r="F29" s="390"/>
      <c r="G29" s="387"/>
      <c r="H29" s="387"/>
      <c r="I29" s="387"/>
      <c r="J29" s="64"/>
      <c r="K29" s="387"/>
      <c r="L29" s="387"/>
      <c r="M29" s="387"/>
      <c r="N29" s="387"/>
      <c r="O29" s="387"/>
      <c r="P29" s="387"/>
      <c r="Q29" s="304"/>
      <c r="R29" s="387"/>
    </row>
    <row r="30" spans="2:18" s="387" customFormat="1" ht="12.75" customHeight="1" x14ac:dyDescent="0.2">
      <c r="B30" s="397"/>
      <c r="C30" s="918" t="s">
        <v>615</v>
      </c>
      <c r="D30" s="918"/>
      <c r="E30" s="918"/>
      <c r="F30" s="918"/>
      <c r="G30" s="918"/>
      <c r="H30" s="918"/>
      <c r="I30" s="918"/>
      <c r="J30" s="918"/>
      <c r="K30" s="918"/>
      <c r="L30" s="918"/>
      <c r="M30" s="918"/>
      <c r="N30" s="918"/>
      <c r="O30" s="918"/>
      <c r="Q30" s="304"/>
    </row>
    <row r="31" spans="2:18" s="387" customFormat="1" x14ac:dyDescent="0.2">
      <c r="B31" s="397"/>
      <c r="C31" s="918"/>
      <c r="D31" s="918"/>
      <c r="E31" s="918"/>
      <c r="F31" s="918"/>
      <c r="G31" s="918"/>
      <c r="H31" s="918"/>
      <c r="I31" s="918"/>
      <c r="J31" s="918"/>
      <c r="K31" s="918"/>
      <c r="L31" s="918"/>
      <c r="M31" s="918"/>
      <c r="N31" s="918"/>
      <c r="O31" s="918"/>
      <c r="Q31" s="304"/>
    </row>
    <row r="32" spans="2:18" s="387" customFormat="1" x14ac:dyDescent="0.2">
      <c r="B32" s="397"/>
      <c r="F32" s="183"/>
      <c r="Q32" s="304"/>
    </row>
    <row r="33" spans="2:18" s="387" customFormat="1" ht="15.75" x14ac:dyDescent="0.25">
      <c r="B33" s="397"/>
      <c r="C33" s="507" t="s">
        <v>451</v>
      </c>
      <c r="Q33" s="304"/>
    </row>
    <row r="34" spans="2:18" s="383" customFormat="1" ht="12.75" customHeight="1" x14ac:dyDescent="0.2">
      <c r="B34" s="159"/>
      <c r="C34" s="508" t="s">
        <v>465</v>
      </c>
      <c r="F34" s="68"/>
      <c r="Q34" s="304"/>
    </row>
    <row r="35" spans="2:18" s="383" customFormat="1" ht="12.75" customHeight="1" x14ac:dyDescent="0.2">
      <c r="B35" s="159"/>
      <c r="C35" s="605" t="s">
        <v>503</v>
      </c>
      <c r="F35" s="68"/>
      <c r="Q35" s="304"/>
    </row>
    <row r="36" spans="2:18" s="383" customFormat="1" ht="12.75" customHeight="1" x14ac:dyDescent="0.2">
      <c r="B36" s="159"/>
      <c r="C36" s="221" t="s">
        <v>422</v>
      </c>
      <c r="D36" s="221" t="s">
        <v>616</v>
      </c>
      <c r="Q36" s="304"/>
    </row>
    <row r="37" spans="2:18" s="383" customFormat="1" ht="12.75" customHeight="1" x14ac:dyDescent="0.2">
      <c r="B37" s="159"/>
      <c r="D37" s="221" t="s">
        <v>617</v>
      </c>
      <c r="Q37" s="304"/>
    </row>
    <row r="38" spans="2:18" s="383" customFormat="1" ht="12.75" customHeight="1" x14ac:dyDescent="0.2">
      <c r="B38" s="159"/>
      <c r="D38" s="383" t="s">
        <v>423</v>
      </c>
      <c r="Q38" s="304"/>
    </row>
    <row r="39" spans="2:18" s="383" customFormat="1" ht="12.75" customHeight="1" x14ac:dyDescent="0.2">
      <c r="B39" s="159"/>
      <c r="Q39" s="304"/>
    </row>
    <row r="40" spans="2:18" s="383" customFormat="1" ht="12.75" customHeight="1" x14ac:dyDescent="0.2">
      <c r="B40" s="159"/>
      <c r="C40" s="508" t="s">
        <v>467</v>
      </c>
      <c r="Q40" s="304"/>
    </row>
    <row r="41" spans="2:18" s="383" customFormat="1" ht="12.75" customHeight="1" x14ac:dyDescent="0.2">
      <c r="B41" s="159"/>
      <c r="C41" s="68" t="s">
        <v>504</v>
      </c>
      <c r="Q41" s="304"/>
    </row>
    <row r="42" spans="2:18" s="383" customFormat="1" ht="12.75" customHeight="1" x14ac:dyDescent="0.2">
      <c r="B42" s="159"/>
      <c r="C42" s="221" t="s">
        <v>418</v>
      </c>
      <c r="D42" s="221" t="s">
        <v>618</v>
      </c>
      <c r="Q42" s="304"/>
    </row>
    <row r="43" spans="2:18" s="383" customFormat="1" ht="12.75" customHeight="1" x14ac:dyDescent="0.2">
      <c r="B43" s="159"/>
      <c r="D43" s="221" t="s">
        <v>619</v>
      </c>
      <c r="Q43" s="304"/>
    </row>
    <row r="44" spans="2:18" s="383" customFormat="1" ht="12.75" customHeight="1" x14ac:dyDescent="0.2">
      <c r="B44" s="159"/>
      <c r="D44" s="383" t="s">
        <v>424</v>
      </c>
      <c r="Q44" s="304"/>
    </row>
    <row r="45" spans="2:18" s="387" customFormat="1" ht="13.5" thickBot="1" x14ac:dyDescent="0.25">
      <c r="B45" s="177"/>
      <c r="C45" s="62"/>
      <c r="D45" s="62"/>
      <c r="E45" s="62"/>
      <c r="F45" s="62"/>
      <c r="G45" s="62"/>
      <c r="H45" s="62"/>
      <c r="I45" s="62"/>
      <c r="J45" s="62"/>
      <c r="K45" s="62"/>
      <c r="L45" s="62"/>
      <c r="M45" s="62"/>
      <c r="N45" s="62"/>
      <c r="O45" s="62"/>
      <c r="P45" s="62"/>
      <c r="Q45" s="564"/>
    </row>
    <row r="46" spans="2:18" s="387" customFormat="1" ht="20.25" customHeight="1" x14ac:dyDescent="0.2">
      <c r="B46" s="169"/>
      <c r="C46" s="158"/>
      <c r="D46" s="158"/>
      <c r="E46" s="158"/>
      <c r="F46" s="158"/>
      <c r="G46" s="158"/>
      <c r="H46" s="158"/>
      <c r="I46" s="158"/>
      <c r="J46" s="158"/>
      <c r="K46" s="158"/>
      <c r="L46" s="158"/>
      <c r="M46" s="158"/>
      <c r="N46" s="158"/>
      <c r="O46" s="158"/>
      <c r="P46" s="158"/>
      <c r="Q46" s="369">
        <v>2</v>
      </c>
    </row>
    <row r="47" spans="2:18" s="146" customFormat="1" ht="15.75" x14ac:dyDescent="0.25">
      <c r="B47" s="607"/>
      <c r="C47" s="604" t="s">
        <v>33</v>
      </c>
      <c r="D47" s="604"/>
      <c r="E47" s="604"/>
      <c r="F47" s="604"/>
      <c r="G47" s="604"/>
      <c r="H47" s="604"/>
      <c r="I47" s="604"/>
      <c r="J47" s="604"/>
      <c r="K47" s="604"/>
      <c r="L47" s="604"/>
      <c r="M47" s="604"/>
      <c r="N47" s="604"/>
      <c r="O47" s="604"/>
      <c r="P47" s="604"/>
      <c r="Q47" s="561"/>
    </row>
    <row r="48" spans="2:18" ht="15.75" x14ac:dyDescent="0.25">
      <c r="B48" s="397"/>
      <c r="C48" s="387"/>
      <c r="D48" s="66"/>
      <c r="E48" s="387"/>
      <c r="F48" s="387"/>
      <c r="G48" s="387"/>
      <c r="H48" s="387"/>
      <c r="I48" s="387"/>
      <c r="K48" s="973" t="s">
        <v>250</v>
      </c>
      <c r="L48" s="978"/>
      <c r="M48" s="974"/>
      <c r="N48" s="973" t="s">
        <v>251</v>
      </c>
      <c r="O48" s="974"/>
      <c r="P48" s="387"/>
      <c r="Q48" s="574"/>
      <c r="R48" s="390"/>
    </row>
    <row r="49" spans="2:28" ht="27" customHeight="1" x14ac:dyDescent="0.2">
      <c r="B49" s="397"/>
      <c r="C49" s="387"/>
      <c r="D49" s="387"/>
      <c r="E49" s="387"/>
      <c r="F49" s="387"/>
      <c r="G49" s="387"/>
      <c r="H49" s="387"/>
      <c r="I49" s="387"/>
      <c r="K49" s="319" t="s">
        <v>252</v>
      </c>
      <c r="L49" s="902" t="s">
        <v>249</v>
      </c>
      <c r="M49" s="903"/>
      <c r="N49" s="319" t="s">
        <v>252</v>
      </c>
      <c r="O49" s="318" t="s">
        <v>249</v>
      </c>
      <c r="P49" s="387"/>
      <c r="Q49" s="574"/>
      <c r="R49" s="390"/>
    </row>
    <row r="50" spans="2:28" x14ac:dyDescent="0.2">
      <c r="B50" s="397"/>
      <c r="C50" s="387"/>
      <c r="D50" s="390" t="s">
        <v>570</v>
      </c>
      <c r="E50" s="387"/>
      <c r="F50" s="387"/>
      <c r="G50" s="387"/>
      <c r="H50" s="387"/>
      <c r="I50" s="387"/>
      <c r="K50" s="57" t="str">
        <f>'Site Info'!H116</f>
        <v>No Data</v>
      </c>
      <c r="L50" s="940" t="str">
        <f>'Site Info'!I116</f>
        <v>No Data</v>
      </c>
      <c r="M50" s="941"/>
      <c r="N50" s="57" t="str">
        <f>'Site Info'!K116</f>
        <v>No Data</v>
      </c>
      <c r="O50" s="57" t="str">
        <f>'Site Info'!L116</f>
        <v>No Data</v>
      </c>
      <c r="P50" s="387"/>
      <c r="Q50" s="574"/>
      <c r="R50" s="390"/>
    </row>
    <row r="51" spans="2:28" x14ac:dyDescent="0.2">
      <c r="B51" s="397"/>
      <c r="C51" s="387"/>
      <c r="D51" s="390" t="s">
        <v>63</v>
      </c>
      <c r="E51" s="387"/>
      <c r="F51" s="387"/>
      <c r="G51" s="387"/>
      <c r="H51" s="387"/>
      <c r="I51" s="387"/>
      <c r="K51" s="57" t="str">
        <f>'Site Info'!H117</f>
        <v>No Data</v>
      </c>
      <c r="L51" s="940" t="str">
        <f>'Site Info'!I117</f>
        <v>No Data</v>
      </c>
      <c r="M51" s="941"/>
      <c r="N51" s="57" t="str">
        <f>'Site Info'!K117</f>
        <v>No Data</v>
      </c>
      <c r="O51" s="57" t="str">
        <f>'Site Info'!L117</f>
        <v>No Data</v>
      </c>
      <c r="P51" s="387"/>
      <c r="Q51" s="574"/>
      <c r="R51" s="390"/>
    </row>
    <row r="52" spans="2:28" x14ac:dyDescent="0.2">
      <c r="B52" s="397"/>
      <c r="C52" s="387"/>
      <c r="D52" s="390" t="s">
        <v>64</v>
      </c>
      <c r="E52" s="387"/>
      <c r="F52" s="387"/>
      <c r="G52" s="387"/>
      <c r="H52" s="387"/>
      <c r="I52" s="387"/>
      <c r="K52" s="57" t="str">
        <f>'Site Info'!H118</f>
        <v>No Data</v>
      </c>
      <c r="L52" s="940" t="str">
        <f>'Site Info'!I118</f>
        <v>No Data</v>
      </c>
      <c r="M52" s="941"/>
      <c r="N52" s="57" t="str">
        <f>'Site Info'!K118</f>
        <v>No Data</v>
      </c>
      <c r="O52" s="57" t="str">
        <f>'Site Info'!L118</f>
        <v>No Data</v>
      </c>
      <c r="P52" s="387"/>
      <c r="Q52" s="304"/>
      <c r="R52" s="390"/>
    </row>
    <row r="53" spans="2:28" s="387" customFormat="1" x14ac:dyDescent="0.2">
      <c r="B53" s="397"/>
      <c r="D53" s="390" t="s">
        <v>309</v>
      </c>
      <c r="K53" s="57" t="str">
        <f>'Site Info'!H119</f>
        <v>No Data</v>
      </c>
      <c r="L53" s="940" t="str">
        <f>'Site Info'!I119</f>
        <v>No Data</v>
      </c>
      <c r="M53" s="941"/>
      <c r="N53" s="57" t="str">
        <f>'Site Info'!K119</f>
        <v>No Data</v>
      </c>
      <c r="O53" s="57" t="str">
        <f>'Site Info'!L119</f>
        <v>No Data</v>
      </c>
      <c r="Q53" s="574"/>
      <c r="R53" s="390"/>
    </row>
    <row r="54" spans="2:28" x14ac:dyDescent="0.2">
      <c r="B54" s="397"/>
      <c r="C54" s="387"/>
      <c r="D54" s="390" t="s">
        <v>466</v>
      </c>
      <c r="E54" s="387"/>
      <c r="F54" s="387"/>
      <c r="G54" s="387"/>
      <c r="H54" s="387"/>
      <c r="I54" s="387"/>
      <c r="K54" s="791" t="str">
        <f>'Site Info'!H121</f>
        <v>No Data</v>
      </c>
      <c r="L54" s="390"/>
      <c r="M54" s="390"/>
      <c r="N54" s="791" t="str">
        <f>'Site Info'!K121</f>
        <v>No Data</v>
      </c>
      <c r="O54" s="390"/>
      <c r="P54" s="387"/>
      <c r="Q54" s="304"/>
      <c r="R54" s="390"/>
      <c r="S54" s="383"/>
      <c r="T54" s="383"/>
      <c r="U54" s="383"/>
      <c r="V54" s="383"/>
      <c r="W54" s="383"/>
      <c r="X54" s="383"/>
      <c r="Y54" s="383"/>
      <c r="Z54" s="383"/>
      <c r="AA54" s="383"/>
      <c r="AB54" s="387"/>
    </row>
    <row r="55" spans="2:28" s="387" customFormat="1" x14ac:dyDescent="0.2">
      <c r="B55" s="397"/>
      <c r="D55" s="390"/>
      <c r="K55" s="67"/>
      <c r="L55" s="390"/>
      <c r="M55" s="390"/>
      <c r="N55" s="67"/>
      <c r="O55" s="390"/>
      <c r="Q55" s="304"/>
      <c r="R55" s="390"/>
      <c r="S55" s="383"/>
      <c r="T55" s="383"/>
      <c r="U55" s="383"/>
      <c r="V55" s="383"/>
      <c r="W55" s="383"/>
      <c r="X55" s="383"/>
      <c r="Y55" s="383"/>
      <c r="Z55" s="383"/>
      <c r="AA55" s="383"/>
    </row>
    <row r="56" spans="2:28" s="210" customFormat="1" x14ac:dyDescent="0.2">
      <c r="B56" s="302"/>
      <c r="C56" s="160"/>
      <c r="D56" s="979" t="s">
        <v>501</v>
      </c>
      <c r="E56" s="979"/>
      <c r="F56" s="979"/>
      <c r="G56" s="979"/>
      <c r="H56" s="979"/>
      <c r="I56" s="979"/>
      <c r="J56" s="979"/>
      <c r="K56" s="980" t="str">
        <f>IF(F10="Coastal Plain",EQUATIONS!F13,EQUATIONS!F23)</f>
        <v>OUTSIDE RANGE</v>
      </c>
      <c r="L56" s="303"/>
      <c r="M56" s="303"/>
      <c r="N56" s="975" t="str">
        <f>IF(F10="Coastal Plain",EQUATIONS!H13,EQUATIONS!H23)</f>
        <v>OUTSIDE RANGE</v>
      </c>
      <c r="O56" s="303"/>
      <c r="P56" s="160"/>
      <c r="Q56" s="304"/>
      <c r="R56" s="303"/>
      <c r="S56" s="526"/>
      <c r="T56" s="526"/>
      <c r="U56" s="526"/>
      <c r="V56" s="526"/>
      <c r="W56" s="526"/>
      <c r="X56" s="526"/>
      <c r="Y56" s="526"/>
      <c r="Z56" s="526"/>
      <c r="AA56" s="526"/>
      <c r="AB56" s="160"/>
    </row>
    <row r="57" spans="2:28" s="210" customFormat="1" x14ac:dyDescent="0.2">
      <c r="B57" s="302"/>
      <c r="C57" s="160"/>
      <c r="D57" s="979"/>
      <c r="E57" s="979"/>
      <c r="F57" s="979"/>
      <c r="G57" s="979"/>
      <c r="H57" s="979"/>
      <c r="I57" s="979"/>
      <c r="J57" s="979"/>
      <c r="K57" s="980"/>
      <c r="L57" s="303"/>
      <c r="M57" s="303"/>
      <c r="N57" s="976"/>
      <c r="O57" s="303"/>
      <c r="P57" s="160"/>
      <c r="Q57" s="304"/>
      <c r="R57" s="303"/>
      <c r="S57" s="526"/>
      <c r="T57" s="526"/>
      <c r="U57" s="526"/>
      <c r="V57" s="526"/>
      <c r="W57" s="526"/>
      <c r="X57" s="526"/>
      <c r="Y57" s="526"/>
      <c r="Z57" s="526"/>
      <c r="AA57" s="526"/>
      <c r="AB57" s="160"/>
    </row>
    <row r="58" spans="2:28" s="210" customFormat="1" x14ac:dyDescent="0.2">
      <c r="B58" s="302"/>
      <c r="C58" s="160"/>
      <c r="D58" s="979" t="s">
        <v>502</v>
      </c>
      <c r="E58" s="979"/>
      <c r="F58" s="979"/>
      <c r="G58" s="979"/>
      <c r="H58" s="979"/>
      <c r="I58" s="979"/>
      <c r="J58" s="979"/>
      <c r="K58" s="980" t="str">
        <f>IF(F10="Coastal Plain",EQUATIONS!F65,EQUATIONS!F92)</f>
        <v>OUTSIDE RANGE</v>
      </c>
      <c r="L58" s="303"/>
      <c r="M58" s="303"/>
      <c r="N58" s="975" t="str">
        <f>IF(F10="Coastal Plain",EQUATIONS!H65,EQUATIONS!H92)</f>
        <v>OUTSIDE RANGE</v>
      </c>
      <c r="O58" s="303"/>
      <c r="P58" s="160"/>
      <c r="Q58" s="304"/>
      <c r="R58" s="303"/>
      <c r="S58" s="526"/>
      <c r="T58" s="526"/>
      <c r="U58" s="526"/>
      <c r="V58" s="526"/>
      <c r="W58" s="526"/>
      <c r="X58" s="526"/>
      <c r="Y58" s="526"/>
      <c r="Z58" s="526"/>
      <c r="AA58" s="526"/>
      <c r="AB58" s="160"/>
    </row>
    <row r="59" spans="2:28" x14ac:dyDescent="0.2">
      <c r="B59" s="397"/>
      <c r="C59" s="387"/>
      <c r="D59" s="979"/>
      <c r="E59" s="979"/>
      <c r="F59" s="979"/>
      <c r="G59" s="979"/>
      <c r="H59" s="979"/>
      <c r="I59" s="979"/>
      <c r="J59" s="979"/>
      <c r="K59" s="980"/>
      <c r="L59" s="387"/>
      <c r="M59" s="387"/>
      <c r="N59" s="976"/>
      <c r="O59" s="67"/>
      <c r="P59" s="390"/>
      <c r="Q59" s="304"/>
      <c r="R59" s="390"/>
      <c r="S59" s="383"/>
      <c r="T59" s="383"/>
      <c r="U59" s="383"/>
      <c r="V59" s="383"/>
      <c r="W59" s="383"/>
      <c r="X59" s="383"/>
      <c r="Y59" s="383"/>
      <c r="Z59" s="383"/>
      <c r="AA59" s="383"/>
      <c r="AB59" s="387"/>
    </row>
    <row r="60" spans="2:28" x14ac:dyDescent="0.2">
      <c r="B60" s="397"/>
      <c r="C60" s="387"/>
      <c r="D60" s="390"/>
      <c r="E60" s="387"/>
      <c r="F60" s="387"/>
      <c r="G60" s="387"/>
      <c r="H60" s="387"/>
      <c r="I60" s="387"/>
      <c r="J60" s="67"/>
      <c r="K60" s="390"/>
      <c r="L60" s="387"/>
      <c r="M60" s="387"/>
      <c r="N60" s="387"/>
      <c r="O60" s="67"/>
      <c r="P60" s="390"/>
      <c r="Q60" s="304"/>
      <c r="R60" s="390"/>
      <c r="S60" s="387"/>
      <c r="T60" s="387"/>
      <c r="U60" s="387"/>
      <c r="V60" s="387"/>
      <c r="W60" s="387"/>
      <c r="X60" s="387"/>
      <c r="Y60" s="387"/>
      <c r="Z60" s="387"/>
      <c r="AA60" s="387"/>
      <c r="AB60" s="387"/>
    </row>
    <row r="61" spans="2:28" ht="12.75" customHeight="1" x14ac:dyDescent="0.2">
      <c r="B61" s="397"/>
      <c r="C61" s="977" t="s">
        <v>544</v>
      </c>
      <c r="D61" s="977"/>
      <c r="E61" s="977"/>
      <c r="F61" s="977"/>
      <c r="G61" s="977"/>
      <c r="H61" s="977"/>
      <c r="I61" s="977"/>
      <c r="J61" s="977"/>
      <c r="K61" s="977"/>
      <c r="L61" s="977"/>
      <c r="M61" s="977"/>
      <c r="N61" s="977"/>
      <c r="O61" s="977"/>
      <c r="P61" s="390"/>
      <c r="Q61" s="304"/>
      <c r="R61" s="390"/>
      <c r="S61" s="387"/>
      <c r="T61" s="387"/>
      <c r="U61" s="387"/>
      <c r="V61" s="387"/>
      <c r="W61" s="387"/>
      <c r="X61" s="387"/>
      <c r="Y61" s="387"/>
      <c r="Z61" s="387"/>
      <c r="AA61" s="387"/>
      <c r="AB61" s="387"/>
    </row>
    <row r="62" spans="2:28" s="387" customFormat="1" x14ac:dyDescent="0.2">
      <c r="B62" s="397"/>
      <c r="C62" s="977"/>
      <c r="D62" s="977"/>
      <c r="E62" s="977"/>
      <c r="F62" s="977"/>
      <c r="G62" s="977"/>
      <c r="H62" s="977"/>
      <c r="I62" s="977"/>
      <c r="J62" s="977"/>
      <c r="K62" s="977"/>
      <c r="L62" s="977"/>
      <c r="M62" s="977"/>
      <c r="N62" s="977"/>
      <c r="O62" s="977"/>
      <c r="Q62" s="304"/>
    </row>
    <row r="63" spans="2:28" x14ac:dyDescent="0.2">
      <c r="B63" s="397"/>
      <c r="C63" s="387"/>
      <c r="D63" s="390"/>
      <c r="E63" s="387"/>
      <c r="F63" s="183"/>
      <c r="G63" s="387"/>
      <c r="H63" s="387"/>
      <c r="I63" s="387"/>
      <c r="J63" s="390" t="s">
        <v>113</v>
      </c>
      <c r="K63" s="387"/>
      <c r="L63" s="387"/>
      <c r="M63" s="387"/>
      <c r="N63" s="387"/>
      <c r="O63" s="67"/>
      <c r="P63" s="390"/>
      <c r="Q63" s="304"/>
      <c r="R63" s="390"/>
    </row>
    <row r="64" spans="2:28" ht="13.15" customHeight="1" x14ac:dyDescent="0.2">
      <c r="B64" s="397"/>
      <c r="C64" s="387"/>
      <c r="D64" s="390"/>
      <c r="E64" s="387"/>
      <c r="F64" s="183"/>
      <c r="G64" s="387"/>
      <c r="H64" s="387"/>
      <c r="I64" s="387"/>
      <c r="J64" s="945" t="s">
        <v>271</v>
      </c>
      <c r="K64" s="946"/>
      <c r="L64" s="946"/>
      <c r="M64" s="947"/>
      <c r="N64" s="912" t="str">
        <f>'Site Info'!J124</f>
        <v>No</v>
      </c>
      <c r="O64" s="67"/>
      <c r="P64" s="390"/>
      <c r="Q64" s="304"/>
      <c r="R64" s="390"/>
    </row>
    <row r="65" spans="2:18" x14ac:dyDescent="0.2">
      <c r="B65" s="397"/>
      <c r="C65" s="387"/>
      <c r="D65" s="390"/>
      <c r="E65" s="387"/>
      <c r="F65" s="183"/>
      <c r="G65" s="387"/>
      <c r="H65" s="387"/>
      <c r="I65" s="387"/>
      <c r="J65" s="948"/>
      <c r="K65" s="949"/>
      <c r="L65" s="949"/>
      <c r="M65" s="950"/>
      <c r="N65" s="912"/>
      <c r="O65" s="67"/>
      <c r="P65" s="390"/>
      <c r="Q65" s="304"/>
      <c r="R65" s="390"/>
    </row>
    <row r="66" spans="2:18" ht="12.75" customHeight="1" x14ac:dyDescent="0.2">
      <c r="B66" s="397"/>
      <c r="C66" s="387"/>
      <c r="D66" s="390"/>
      <c r="E66" s="387"/>
      <c r="F66" s="183"/>
      <c r="G66" s="387"/>
      <c r="H66" s="387"/>
      <c r="I66" s="387"/>
      <c r="J66" s="981" t="s">
        <v>413</v>
      </c>
      <c r="K66" s="982"/>
      <c r="L66" s="982"/>
      <c r="M66" s="983"/>
      <c r="N66" s="912"/>
      <c r="O66" s="67"/>
      <c r="P66" s="390"/>
      <c r="Q66" s="304"/>
      <c r="R66" s="390"/>
    </row>
    <row r="67" spans="2:18" x14ac:dyDescent="0.2">
      <c r="B67" s="397"/>
      <c r="C67" s="387"/>
      <c r="D67" s="390"/>
      <c r="E67" s="387"/>
      <c r="F67" s="183"/>
      <c r="G67" s="387"/>
      <c r="H67" s="387"/>
      <c r="I67" s="387"/>
      <c r="J67" s="984"/>
      <c r="K67" s="985"/>
      <c r="L67" s="985"/>
      <c r="M67" s="986"/>
      <c r="N67" s="912"/>
      <c r="O67" s="67"/>
      <c r="P67" s="390"/>
      <c r="Q67" s="304"/>
      <c r="R67" s="390"/>
    </row>
    <row r="68" spans="2:18" ht="15.75" x14ac:dyDescent="0.25">
      <c r="B68" s="397"/>
      <c r="C68" s="507" t="s">
        <v>451</v>
      </c>
      <c r="E68" s="387"/>
      <c r="F68" s="387"/>
      <c r="G68" s="387"/>
      <c r="H68" s="387"/>
      <c r="I68" s="387"/>
      <c r="J68" s="67"/>
      <c r="K68" s="390"/>
      <c r="L68" s="387"/>
      <c r="M68" s="387"/>
      <c r="N68" s="387"/>
      <c r="O68" s="67"/>
      <c r="P68" s="390"/>
      <c r="Q68" s="304"/>
      <c r="R68" s="390"/>
    </row>
    <row r="69" spans="2:18" s="387" customFormat="1" ht="12.75" customHeight="1" x14ac:dyDescent="0.25">
      <c r="B69" s="397"/>
      <c r="C69" s="508" t="s">
        <v>465</v>
      </c>
      <c r="F69" s="220"/>
      <c r="Q69" s="304"/>
    </row>
    <row r="70" spans="2:18" s="387" customFormat="1" x14ac:dyDescent="0.2">
      <c r="B70" s="397"/>
      <c r="C70" s="390" t="s">
        <v>503</v>
      </c>
      <c r="Q70" s="304"/>
    </row>
    <row r="71" spans="2:18" x14ac:dyDescent="0.2">
      <c r="B71" s="397"/>
      <c r="C71" s="221" t="s">
        <v>418</v>
      </c>
      <c r="D71" s="221" t="s">
        <v>419</v>
      </c>
      <c r="F71" s="387"/>
      <c r="G71" s="387"/>
      <c r="H71" s="387"/>
      <c r="I71" s="387"/>
      <c r="J71" s="67"/>
      <c r="K71" s="390"/>
      <c r="L71" s="387"/>
      <c r="M71" s="387"/>
      <c r="N71" s="387"/>
      <c r="O71" s="67"/>
      <c r="P71" s="390"/>
      <c r="Q71" s="304"/>
      <c r="R71" s="390"/>
    </row>
    <row r="72" spans="2:18" x14ac:dyDescent="0.2">
      <c r="B72" s="397"/>
      <c r="C72" s="387"/>
      <c r="D72" s="221" t="s">
        <v>415</v>
      </c>
      <c r="F72" s="387"/>
      <c r="G72" s="387"/>
      <c r="H72" s="387"/>
      <c r="I72" s="387"/>
      <c r="J72" s="67"/>
      <c r="K72" s="390"/>
      <c r="L72" s="387"/>
      <c r="M72" s="387"/>
      <c r="N72" s="387"/>
      <c r="O72" s="67"/>
      <c r="P72" s="390"/>
      <c r="Q72" s="304"/>
      <c r="R72" s="390"/>
    </row>
    <row r="73" spans="2:18" x14ac:dyDescent="0.2">
      <c r="B73" s="397"/>
      <c r="C73" s="387"/>
      <c r="D73" s="221" t="s">
        <v>416</v>
      </c>
      <c r="F73" s="387"/>
      <c r="G73" s="387"/>
      <c r="H73" s="387"/>
      <c r="I73" s="390"/>
      <c r="J73" s="387"/>
      <c r="K73" s="390"/>
      <c r="L73" s="387"/>
      <c r="M73" s="387"/>
      <c r="N73" s="387"/>
      <c r="O73" s="387"/>
      <c r="P73" s="387"/>
      <c r="Q73" s="304"/>
      <c r="R73" s="390"/>
    </row>
    <row r="74" spans="2:18" x14ac:dyDescent="0.2">
      <c r="B74" s="397"/>
      <c r="C74" s="387"/>
      <c r="D74" s="383" t="s">
        <v>417</v>
      </c>
      <c r="F74" s="387"/>
      <c r="G74" s="387"/>
      <c r="H74" s="387"/>
      <c r="I74" s="390"/>
      <c r="J74" s="387"/>
      <c r="K74" s="390"/>
      <c r="L74" s="387"/>
      <c r="M74" s="387"/>
      <c r="N74" s="387"/>
      <c r="O74" s="387"/>
      <c r="P74" s="387"/>
      <c r="Q74" s="304"/>
      <c r="R74" s="390"/>
    </row>
    <row r="75" spans="2:18" x14ac:dyDescent="0.2">
      <c r="B75" s="397"/>
      <c r="C75" s="387"/>
      <c r="D75" s="390"/>
      <c r="F75" s="387"/>
      <c r="G75" s="387"/>
      <c r="H75" s="387"/>
      <c r="I75" s="390"/>
      <c r="J75" s="387"/>
      <c r="K75" s="390"/>
      <c r="L75" s="387"/>
      <c r="M75" s="387"/>
      <c r="N75" s="387"/>
      <c r="O75" s="387"/>
      <c r="P75" s="387"/>
      <c r="Q75" s="304"/>
      <c r="R75" s="390"/>
    </row>
    <row r="76" spans="2:18" x14ac:dyDescent="0.2">
      <c r="B76" s="397"/>
      <c r="C76" s="508" t="s">
        <v>467</v>
      </c>
      <c r="D76" s="390"/>
      <c r="F76" s="387"/>
      <c r="G76" s="387"/>
      <c r="H76" s="387"/>
      <c r="I76" s="390"/>
      <c r="J76" s="387"/>
      <c r="K76" s="390"/>
      <c r="L76" s="387"/>
      <c r="M76" s="387"/>
      <c r="N76" s="387"/>
      <c r="O76" s="387"/>
      <c r="P76" s="387"/>
      <c r="Q76" s="304"/>
      <c r="R76" s="390"/>
    </row>
    <row r="77" spans="2:18" s="387" customFormat="1" x14ac:dyDescent="0.2">
      <c r="B77" s="397"/>
      <c r="C77" s="390" t="s">
        <v>504</v>
      </c>
      <c r="Q77" s="304"/>
    </row>
    <row r="78" spans="2:18" x14ac:dyDescent="0.2">
      <c r="B78" s="397"/>
      <c r="C78" s="221" t="s">
        <v>418</v>
      </c>
      <c r="D78" s="221" t="s">
        <v>419</v>
      </c>
      <c r="F78" s="387"/>
      <c r="G78" s="387"/>
      <c r="H78" s="387"/>
      <c r="I78" s="387"/>
      <c r="J78" s="67"/>
      <c r="K78" s="390"/>
      <c r="L78" s="387"/>
      <c r="M78" s="387"/>
      <c r="N78" s="387"/>
      <c r="O78" s="67"/>
      <c r="P78" s="390"/>
      <c r="Q78" s="304"/>
      <c r="R78" s="390"/>
    </row>
    <row r="79" spans="2:18" x14ac:dyDescent="0.2">
      <c r="B79" s="397"/>
      <c r="C79" s="387"/>
      <c r="D79" s="221" t="s">
        <v>420</v>
      </c>
      <c r="F79" s="387"/>
      <c r="G79" s="387"/>
      <c r="H79" s="387"/>
      <c r="I79" s="387"/>
      <c r="J79" s="67"/>
      <c r="K79" s="390"/>
      <c r="L79" s="387"/>
      <c r="M79" s="387"/>
      <c r="N79" s="387"/>
      <c r="O79" s="67"/>
      <c r="P79" s="390"/>
      <c r="Q79" s="304"/>
      <c r="R79" s="390"/>
    </row>
    <row r="80" spans="2:18" x14ac:dyDescent="0.2">
      <c r="B80" s="397"/>
      <c r="C80" s="387"/>
      <c r="D80" s="383" t="s">
        <v>421</v>
      </c>
      <c r="F80" s="387"/>
      <c r="G80" s="387"/>
      <c r="H80" s="387"/>
      <c r="I80" s="390"/>
      <c r="J80" s="387"/>
      <c r="K80" s="390"/>
      <c r="L80" s="387"/>
      <c r="M80" s="387"/>
      <c r="N80" s="387"/>
      <c r="O80" s="387"/>
      <c r="P80" s="387"/>
      <c r="Q80" s="304"/>
      <c r="R80" s="390"/>
    </row>
    <row r="81" spans="2:21" ht="13.5" thickBot="1" x14ac:dyDescent="0.25">
      <c r="B81" s="177"/>
      <c r="C81" s="62"/>
      <c r="D81" s="178"/>
      <c r="E81" s="62"/>
      <c r="F81" s="602"/>
      <c r="G81" s="62"/>
      <c r="H81" s="62"/>
      <c r="I81" s="178"/>
      <c r="J81" s="62"/>
      <c r="K81" s="178"/>
      <c r="L81" s="62"/>
      <c r="M81" s="62"/>
      <c r="N81" s="62"/>
      <c r="O81" s="62"/>
      <c r="P81" s="62"/>
      <c r="Q81" s="564"/>
      <c r="R81" s="390"/>
    </row>
    <row r="82" spans="2:21" ht="20.25" customHeight="1" x14ac:dyDescent="0.2">
      <c r="B82" s="169"/>
      <c r="C82" s="158"/>
      <c r="D82" s="200"/>
      <c r="E82" s="158"/>
      <c r="F82" s="603"/>
      <c r="G82" s="158"/>
      <c r="H82" s="158"/>
      <c r="I82" s="200"/>
      <c r="J82" s="158"/>
      <c r="K82" s="200"/>
      <c r="L82" s="158"/>
      <c r="M82" s="158"/>
      <c r="N82" s="158"/>
      <c r="O82" s="158"/>
      <c r="P82" s="158"/>
      <c r="Q82" s="369">
        <v>3</v>
      </c>
      <c r="R82" s="390"/>
    </row>
    <row r="83" spans="2:21" s="510" customFormat="1" ht="15.75" x14ac:dyDescent="0.25">
      <c r="B83" s="509"/>
      <c r="C83" s="604" t="s">
        <v>430</v>
      </c>
      <c r="D83" s="604"/>
      <c r="E83" s="604"/>
      <c r="F83" s="604"/>
      <c r="G83" s="604"/>
      <c r="H83" s="604"/>
      <c r="I83" s="604"/>
      <c r="J83" s="604"/>
      <c r="K83" s="604"/>
      <c r="L83" s="604"/>
      <c r="M83" s="604"/>
      <c r="N83" s="604"/>
      <c r="O83" s="604"/>
      <c r="P83" s="604"/>
      <c r="Q83" s="575"/>
      <c r="R83" s="184"/>
    </row>
    <row r="84" spans="2:21" s="383" customFormat="1" x14ac:dyDescent="0.2">
      <c r="B84" s="159"/>
      <c r="D84" s="390"/>
      <c r="I84" s="390"/>
      <c r="J84" s="944" t="s">
        <v>4</v>
      </c>
      <c r="K84" s="944"/>
      <c r="L84" s="558"/>
      <c r="M84" s="944" t="s">
        <v>5</v>
      </c>
      <c r="N84" s="944"/>
      <c r="O84" s="390"/>
      <c r="Q84" s="304"/>
      <c r="R84" s="390"/>
    </row>
    <row r="85" spans="2:21" s="383" customFormat="1" x14ac:dyDescent="0.2">
      <c r="B85" s="159"/>
      <c r="D85" s="508" t="s">
        <v>505</v>
      </c>
      <c r="L85" s="390"/>
      <c r="M85" s="390"/>
      <c r="O85" s="390"/>
      <c r="Q85" s="304"/>
      <c r="R85" s="390"/>
    </row>
    <row r="86" spans="2:21" s="175" customFormat="1" x14ac:dyDescent="0.2">
      <c r="B86" s="159"/>
      <c r="C86" s="383"/>
      <c r="D86" s="383"/>
      <c r="E86" s="936" t="s">
        <v>41</v>
      </c>
      <c r="F86" s="936"/>
      <c r="G86" s="936"/>
      <c r="H86" s="936"/>
      <c r="I86" s="937"/>
      <c r="J86" s="943" t="str">
        <f>IF(F10="Coastal Plain",EQUATIONS!F11,EQUATIONS!F21)</f>
        <v>N/A</v>
      </c>
      <c r="K86" s="943"/>
      <c r="L86" s="390" t="s">
        <v>7</v>
      </c>
      <c r="M86" s="943" t="str">
        <f>IF(F10="Coastal Plain",EQUATIONS!H11,EQUATIONS!H21)</f>
        <v>N/A</v>
      </c>
      <c r="N86" s="943"/>
      <c r="O86" s="390" t="s">
        <v>7</v>
      </c>
      <c r="P86" s="383"/>
      <c r="Q86" s="304"/>
      <c r="R86" s="390"/>
    </row>
    <row r="87" spans="2:21" s="175" customFormat="1" x14ac:dyDescent="0.2">
      <c r="B87" s="159"/>
      <c r="C87" s="383"/>
      <c r="D87" s="383"/>
      <c r="E87" s="936" t="s">
        <v>620</v>
      </c>
      <c r="F87" s="936"/>
      <c r="G87" s="936"/>
      <c r="H87" s="936"/>
      <c r="I87" s="937"/>
      <c r="J87" s="943" t="str">
        <f>IF(F10="Coastal Plain",EQUATIONS!F35,EQUATIONS!F45)</f>
        <v>N/A</v>
      </c>
      <c r="K87" s="943"/>
      <c r="L87" s="390" t="s">
        <v>7</v>
      </c>
      <c r="M87" s="943" t="str">
        <f>IF(F10="Coastal Plain",EQUATIONS!H35,EQUATIONS!H45)</f>
        <v>N/A</v>
      </c>
      <c r="N87" s="943"/>
      <c r="O87" s="390" t="s">
        <v>7</v>
      </c>
      <c r="P87" s="383"/>
      <c r="Q87" s="304"/>
      <c r="R87" s="390"/>
    </row>
    <row r="88" spans="2:21" s="175" customFormat="1" x14ac:dyDescent="0.2">
      <c r="B88" s="159"/>
      <c r="C88" s="383"/>
      <c r="D88" s="383"/>
      <c r="E88" s="938" t="s">
        <v>484</v>
      </c>
      <c r="F88" s="938"/>
      <c r="G88" s="938"/>
      <c r="H88" s="938"/>
      <c r="I88" s="939"/>
      <c r="J88" s="942" t="s">
        <v>259</v>
      </c>
      <c r="K88" s="942"/>
      <c r="L88" s="390"/>
      <c r="M88" s="942" t="s">
        <v>259</v>
      </c>
      <c r="N88" s="942"/>
      <c r="O88" s="390"/>
      <c r="P88" s="383"/>
      <c r="Q88" s="304"/>
      <c r="R88" s="390"/>
      <c r="S88" s="175" t="s">
        <v>259</v>
      </c>
    </row>
    <row r="89" spans="2:21" s="175" customFormat="1" x14ac:dyDescent="0.2">
      <c r="B89" s="159"/>
      <c r="C89" s="383"/>
      <c r="D89" s="383"/>
      <c r="E89" s="938" t="s">
        <v>486</v>
      </c>
      <c r="F89" s="938"/>
      <c r="G89" s="938"/>
      <c r="H89" s="938"/>
      <c r="I89" s="939"/>
      <c r="J89" s="971" t="str">
        <f>IF(J88="Automatic Calculation",(IF(AND(J9="No",F10="Coastal Plain",N64="Yes"),MAX(J86,M86),IF(AND(J9="No",F10="Piedmont",N64="Yes"),MAX(J86,M86),IF(AND(J9="No",N64="No"),J86,IF(AND(J9="Yes",F10="Piedmont"),J87,IF(AND(J9="Yes",F10="Coastal Plain",K54&lt;426),J87,IF(AND(J9="Yes",N64="Yes",F10="Coastal Plain",K54&gt;=426),MAX(J86,M86),IF(AND(J9="Yes",N64="No",F10="Coastal Plain",K54&gt;=426),J86,"N/A")))))))), IF(J88="Embankment Length",J86,IF(J88="Geometric-Contraction Ratio",J87,"N/A")))</f>
        <v>N/A</v>
      </c>
      <c r="K89" s="971"/>
      <c r="L89" s="390" t="s">
        <v>7</v>
      </c>
      <c r="M89" s="971" t="str">
        <f>IF(M88="Automatic Calculation",(IF(AND(J9="No",F10="Coastal Plain",N64="Yes"),MAX(J86,M86),IF(AND(J9="No",F10="Piedmont",N64="Yes"),MAX(J86,M86),IF(AND(J9="No",N64="No"),M86,IF(AND(J9="Yes",F10="Piedmont"),M87,IF(AND(J9="Yes",F10="Coastal Plain",N54&lt;426),M87,IF(AND(J9="Yes",N64="Yes",F10="Coastal Plain",N54&gt;=426),MAX(J86,M86),IF(AND(J9="Yes",N64="No",F10="Coastal Plain",N54&gt;=426),M86,"N/A")))))))),IF(M88="Embankment Length",M86,IF(M88="Geometric-Contraction Ratio",M87,"N/A")))</f>
        <v>N/A</v>
      </c>
      <c r="N89" s="971"/>
      <c r="O89" s="390" t="s">
        <v>7</v>
      </c>
      <c r="P89" s="383"/>
      <c r="Q89" s="304"/>
      <c r="R89" s="390"/>
      <c r="S89" s="175" t="s">
        <v>480</v>
      </c>
    </row>
    <row r="90" spans="2:21" s="175" customFormat="1" x14ac:dyDescent="0.2">
      <c r="B90" s="159"/>
      <c r="C90" s="383"/>
      <c r="D90" s="390"/>
      <c r="E90" s="383"/>
      <c r="F90" s="383"/>
      <c r="G90" s="383"/>
      <c r="H90" s="383"/>
      <c r="I90" s="390"/>
      <c r="J90" s="383"/>
      <c r="K90" s="334"/>
      <c r="L90" s="390"/>
      <c r="M90" s="390"/>
      <c r="N90" s="334"/>
      <c r="O90" s="390"/>
      <c r="P90" s="383"/>
      <c r="Q90" s="304"/>
      <c r="R90" s="390"/>
      <c r="S90" s="175" t="s">
        <v>481</v>
      </c>
    </row>
    <row r="91" spans="2:21" s="383" customFormat="1" x14ac:dyDescent="0.2">
      <c r="B91" s="159"/>
      <c r="D91" s="508" t="s">
        <v>506</v>
      </c>
      <c r="L91" s="390"/>
      <c r="M91" s="390"/>
      <c r="O91" s="390"/>
      <c r="Q91" s="304"/>
      <c r="R91" s="390"/>
    </row>
    <row r="92" spans="2:21" s="175" customFormat="1" x14ac:dyDescent="0.2">
      <c r="B92" s="159"/>
      <c r="C92" s="383"/>
      <c r="D92" s="383"/>
      <c r="E92" s="936" t="s">
        <v>210</v>
      </c>
      <c r="F92" s="936"/>
      <c r="G92" s="936"/>
      <c r="H92" s="936"/>
      <c r="I92" s="937"/>
      <c r="J92" s="943" t="str">
        <f>IF(F10="Coastal Plain",EQUATIONS!F61,EQUATIONS!F88)</f>
        <v>N/A</v>
      </c>
      <c r="K92" s="943"/>
      <c r="L92" s="390" t="s">
        <v>7</v>
      </c>
      <c r="M92" s="943" t="str">
        <f>IF(F10="Coastal Plain",EQUATIONS!H61,EQUATIONS!H88)</f>
        <v>N/A</v>
      </c>
      <c r="N92" s="943"/>
      <c r="O92" s="390" t="s">
        <v>7</v>
      </c>
      <c r="P92" s="383"/>
      <c r="Q92" s="304"/>
      <c r="R92" s="390"/>
    </row>
    <row r="93" spans="2:21" s="175" customFormat="1" x14ac:dyDescent="0.2">
      <c r="B93" s="159"/>
      <c r="C93" s="383"/>
      <c r="D93" s="383"/>
      <c r="E93" s="936" t="s">
        <v>211</v>
      </c>
      <c r="F93" s="936"/>
      <c r="G93" s="936"/>
      <c r="H93" s="936"/>
      <c r="I93" s="937"/>
      <c r="J93" s="943" t="str">
        <f>IF(F10="Coastal Plain",EQUATIONS!F63,EQUATIONS!F90)</f>
        <v>N/A</v>
      </c>
      <c r="K93" s="943"/>
      <c r="L93" s="390" t="s">
        <v>7</v>
      </c>
      <c r="M93" s="943" t="str">
        <f>IF(F10="Coastal Plain",EQUATIONS!H63,EQUATIONS!H90)</f>
        <v>N/A</v>
      </c>
      <c r="N93" s="943"/>
      <c r="O93" s="390" t="s">
        <v>7</v>
      </c>
      <c r="P93" s="383"/>
      <c r="Q93" s="304"/>
      <c r="R93" s="390"/>
    </row>
    <row r="94" spans="2:21" s="175" customFormat="1" x14ac:dyDescent="0.2">
      <c r="B94" s="159"/>
      <c r="C94" s="383"/>
      <c r="D94" s="383"/>
      <c r="E94" s="938" t="s">
        <v>485</v>
      </c>
      <c r="F94" s="938"/>
      <c r="G94" s="938"/>
      <c r="H94" s="938"/>
      <c r="I94" s="939"/>
      <c r="J94" s="972" t="s">
        <v>259</v>
      </c>
      <c r="K94" s="972"/>
      <c r="L94" s="390"/>
      <c r="M94" s="942" t="s">
        <v>259</v>
      </c>
      <c r="N94" s="942"/>
      <c r="O94" s="390"/>
      <c r="P94" s="383"/>
      <c r="Q94" s="304"/>
      <c r="R94" s="390"/>
      <c r="S94" s="175" t="s">
        <v>259</v>
      </c>
    </row>
    <row r="95" spans="2:21" s="175" customFormat="1" x14ac:dyDescent="0.2">
      <c r="B95" s="159"/>
      <c r="C95" s="383"/>
      <c r="D95" s="383"/>
      <c r="E95" s="938" t="s">
        <v>487</v>
      </c>
      <c r="F95" s="938"/>
      <c r="G95" s="938"/>
      <c r="H95" s="938"/>
      <c r="I95" s="939"/>
      <c r="J95" s="971" t="str">
        <f>IF(J94="Automatic Calculation",(IF(AND(J92="N/A",J93="N/A"),"N/A",MAX(J93,J92))),IF(J94="Embankment Length Category",J92,IF(J94="Interpolation",J93,"N/A")))</f>
        <v>N/A</v>
      </c>
      <c r="K95" s="971"/>
      <c r="L95" s="390" t="s">
        <v>7</v>
      </c>
      <c r="M95" s="971" t="str">
        <f>IF(M94="Automatic Calculation",(IF(AND(M92="N/A",M93="N/A"),"N/A",MAX(M93,M92))),IF(M94="Embankment Length Category",M92,IF(M94="Interpolation",M93,"N/A")))</f>
        <v>N/A</v>
      </c>
      <c r="N95" s="971"/>
      <c r="O95" s="390" t="s">
        <v>7</v>
      </c>
      <c r="P95" s="383"/>
      <c r="Q95" s="304"/>
      <c r="R95" s="390"/>
      <c r="S95" s="175" t="s">
        <v>482</v>
      </c>
    </row>
    <row r="96" spans="2:21" s="175" customFormat="1" x14ac:dyDescent="0.2">
      <c r="B96" s="159"/>
      <c r="C96" s="383"/>
      <c r="D96" s="383"/>
      <c r="E96" s="383"/>
      <c r="F96" s="383"/>
      <c r="G96" s="383"/>
      <c r="H96" s="383"/>
      <c r="I96" s="383"/>
      <c r="J96" s="383"/>
      <c r="K96" s="383"/>
      <c r="L96" s="383"/>
      <c r="M96" s="383"/>
      <c r="N96" s="383"/>
      <c r="O96" s="383"/>
      <c r="P96" s="383"/>
      <c r="Q96" s="304"/>
      <c r="S96" s="383" t="s">
        <v>483</v>
      </c>
      <c r="T96" s="383"/>
      <c r="U96" s="383"/>
    </row>
    <row r="97" spans="2:21" s="175" customFormat="1" ht="12.75" customHeight="1" x14ac:dyDescent="0.2">
      <c r="B97" s="159"/>
      <c r="C97" s="383"/>
      <c r="D97" s="991" t="s">
        <v>407</v>
      </c>
      <c r="E97" s="991"/>
      <c r="F97" s="991"/>
      <c r="G97" s="991"/>
      <c r="H97" s="991"/>
      <c r="I97" s="991"/>
      <c r="P97" s="383"/>
      <c r="Q97" s="304"/>
      <c r="S97" s="383"/>
      <c r="T97" s="383"/>
      <c r="U97" s="383"/>
    </row>
    <row r="98" spans="2:21" s="175" customFormat="1" ht="12.75" customHeight="1" x14ac:dyDescent="0.2">
      <c r="B98" s="159"/>
      <c r="C98" s="383"/>
      <c r="D98" s="784"/>
      <c r="E98" s="979" t="s">
        <v>488</v>
      </c>
      <c r="F98" s="979"/>
      <c r="G98" s="979"/>
      <c r="H98" s="979"/>
      <c r="I98" s="979"/>
      <c r="J98" s="953" t="s">
        <v>489</v>
      </c>
      <c r="K98" s="954"/>
      <c r="L98" s="303"/>
      <c r="M98" s="953" t="s">
        <v>489</v>
      </c>
      <c r="N98" s="954"/>
      <c r="O98" s="303"/>
      <c r="P98" s="383"/>
      <c r="Q98" s="304"/>
      <c r="S98" s="383" t="s">
        <v>489</v>
      </c>
      <c r="T98" s="383"/>
      <c r="U98" s="383"/>
    </row>
    <row r="99" spans="2:21" s="175" customFormat="1" ht="12.75" customHeight="1" x14ac:dyDescent="0.2">
      <c r="B99" s="159"/>
      <c r="C99" s="383"/>
      <c r="D99" s="784"/>
      <c r="E99" s="979" t="s">
        <v>492</v>
      </c>
      <c r="F99" s="979"/>
      <c r="G99" s="979"/>
      <c r="H99" s="979"/>
      <c r="I99" s="990"/>
      <c r="J99" s="957" t="str">
        <f>IF(J98="Automatic Selection",(IF(J95="N/A",J89,IF(AND(K54&lt;=500,J9="No",J95&lt;J89),J95,J89))),IF(J98="Original Curve Selection",J89,IF(J98="Modified Curve Selection",J95,"N/A")))</f>
        <v>N/A</v>
      </c>
      <c r="K99" s="958"/>
      <c r="L99" s="303" t="s">
        <v>7</v>
      </c>
      <c r="M99" s="957" t="str">
        <f>IF(M98="Automatic Selection",(IF(M95="N/A",M89,IF(AND(N54&lt;=500,J9="No",M95&lt;M89),M95,M89))),IF(M98="Original Curve Selection",M89,IF(M98="Modified Curve Selection",M95,"N/A")))</f>
        <v>N/A</v>
      </c>
      <c r="N99" s="958"/>
      <c r="O99" s="303" t="s">
        <v>7</v>
      </c>
      <c r="P99" s="383"/>
      <c r="Q99" s="304"/>
      <c r="S99" s="383" t="s">
        <v>490</v>
      </c>
      <c r="T99" s="383"/>
      <c r="U99" s="383"/>
    </row>
    <row r="100" spans="2:21" s="175" customFormat="1" x14ac:dyDescent="0.2">
      <c r="B100" s="159"/>
      <c r="C100" s="383"/>
      <c r="D100" s="390"/>
      <c r="E100" s="383"/>
      <c r="F100" s="383"/>
      <c r="G100" s="383"/>
      <c r="H100" s="383"/>
      <c r="I100" s="390"/>
      <c r="J100" s="383"/>
      <c r="K100" s="334"/>
      <c r="L100" s="390"/>
      <c r="M100" s="390"/>
      <c r="N100" s="334"/>
      <c r="O100" s="390"/>
      <c r="P100" s="383"/>
      <c r="Q100" s="304"/>
      <c r="R100" s="390"/>
      <c r="S100" s="383" t="s">
        <v>491</v>
      </c>
      <c r="T100" s="383"/>
      <c r="U100" s="383"/>
    </row>
    <row r="101" spans="2:21" s="175" customFormat="1" x14ac:dyDescent="0.2">
      <c r="B101" s="159"/>
      <c r="C101" s="383"/>
      <c r="D101" s="508" t="s">
        <v>507</v>
      </c>
      <c r="E101" s="383"/>
      <c r="F101" s="383"/>
      <c r="G101" s="383"/>
      <c r="H101" s="383"/>
      <c r="I101" s="390"/>
      <c r="J101" s="383"/>
      <c r="K101" s="390"/>
      <c r="L101" s="383"/>
      <c r="M101" s="383"/>
      <c r="N101" s="383"/>
      <c r="O101" s="383"/>
      <c r="P101" s="383"/>
      <c r="Q101" s="304"/>
      <c r="R101" s="390"/>
      <c r="S101" s="383"/>
      <c r="T101" s="383"/>
      <c r="U101" s="383"/>
    </row>
    <row r="102" spans="2:21" s="175" customFormat="1" x14ac:dyDescent="0.2">
      <c r="B102" s="159"/>
      <c r="C102" s="383"/>
      <c r="D102" s="508"/>
      <c r="E102" s="383" t="s">
        <v>493</v>
      </c>
      <c r="F102" s="383"/>
      <c r="G102" s="383"/>
      <c r="H102" s="383"/>
      <c r="I102" s="390"/>
      <c r="J102" s="955">
        <v>1.21</v>
      </c>
      <c r="K102" s="956"/>
      <c r="L102" s="383"/>
      <c r="M102" s="955">
        <v>1.21</v>
      </c>
      <c r="N102" s="956"/>
      <c r="O102" s="383"/>
      <c r="P102" s="383"/>
      <c r="Q102" s="304"/>
      <c r="R102" s="390"/>
      <c r="S102" s="383"/>
      <c r="T102" s="383"/>
      <c r="U102" s="383"/>
    </row>
    <row r="103" spans="2:21" s="175" customFormat="1" x14ac:dyDescent="0.2">
      <c r="B103" s="159"/>
      <c r="C103" s="383"/>
      <c r="D103" s="383"/>
      <c r="E103" s="390" t="s">
        <v>403</v>
      </c>
      <c r="F103" s="383"/>
      <c r="G103" s="383"/>
      <c r="H103" s="383"/>
      <c r="I103" s="390"/>
      <c r="J103" s="951" t="str">
        <f>IF(ISNUMBER(J99),ROUND(J99*1.21,1),"N/A")</f>
        <v>N/A</v>
      </c>
      <c r="K103" s="952"/>
      <c r="L103" s="303" t="s">
        <v>7</v>
      </c>
      <c r="M103" s="951" t="str">
        <f>IF(ISNUMBER(M99),ROUND(M99*1.21,1),"N/A")</f>
        <v>N/A</v>
      </c>
      <c r="N103" s="952"/>
      <c r="O103" s="303" t="s">
        <v>7</v>
      </c>
      <c r="P103" s="383"/>
      <c r="Q103" s="304"/>
      <c r="R103" s="390"/>
      <c r="S103" s="383"/>
      <c r="T103" s="383"/>
      <c r="U103" s="383"/>
    </row>
    <row r="104" spans="2:21" x14ac:dyDescent="0.2">
      <c r="B104" s="397"/>
      <c r="C104" s="387"/>
      <c r="D104" s="390"/>
      <c r="E104" s="387"/>
      <c r="F104" s="387"/>
      <c r="G104" s="387"/>
      <c r="H104" s="387"/>
      <c r="I104" s="390"/>
      <c r="J104" s="387"/>
      <c r="K104" s="390"/>
      <c r="L104" s="303"/>
      <c r="M104" s="303"/>
      <c r="N104" s="387"/>
      <c r="O104" s="390"/>
      <c r="P104" s="303"/>
      <c r="Q104" s="304"/>
      <c r="R104" s="390"/>
      <c r="S104" s="387"/>
      <c r="T104" s="387"/>
      <c r="U104" s="387"/>
    </row>
    <row r="105" spans="2:21" ht="18" x14ac:dyDescent="0.25">
      <c r="B105" s="397"/>
      <c r="C105" s="507" t="s">
        <v>451</v>
      </c>
      <c r="E105" s="387"/>
      <c r="F105" s="387"/>
      <c r="G105" s="387"/>
      <c r="H105" s="387"/>
      <c r="I105" s="390"/>
      <c r="J105" s="387"/>
      <c r="K105" s="383"/>
      <c r="L105" s="387"/>
      <c r="M105" s="387"/>
      <c r="N105" s="387"/>
      <c r="O105" s="166"/>
      <c r="P105" s="387"/>
      <c r="Q105" s="304"/>
      <c r="R105" s="390"/>
    </row>
    <row r="106" spans="2:21" ht="12.75" customHeight="1" x14ac:dyDescent="0.2">
      <c r="B106" s="397"/>
      <c r="C106" s="508" t="s">
        <v>465</v>
      </c>
      <c r="D106" s="387"/>
      <c r="F106" s="387"/>
      <c r="G106" s="387"/>
      <c r="H106" s="387"/>
      <c r="I106" s="387"/>
      <c r="J106" s="390"/>
      <c r="K106" s="387"/>
      <c r="L106" s="387"/>
      <c r="M106" s="387"/>
      <c r="N106" s="387"/>
      <c r="O106" s="166"/>
      <c r="P106" s="387"/>
      <c r="Q106" s="304"/>
      <c r="R106" s="390"/>
    </row>
    <row r="107" spans="2:21" ht="12.75" customHeight="1" x14ac:dyDescent="0.2">
      <c r="B107" s="397"/>
      <c r="C107" s="390" t="s">
        <v>503</v>
      </c>
      <c r="D107" s="387"/>
      <c r="E107" s="508"/>
      <c r="F107" s="387"/>
      <c r="G107" s="387"/>
      <c r="H107" s="387"/>
      <c r="I107" s="387"/>
      <c r="J107" s="390"/>
      <c r="K107" s="387"/>
      <c r="L107" s="387"/>
      <c r="M107" s="387"/>
      <c r="N107" s="387"/>
      <c r="O107" s="166"/>
      <c r="P107" s="387"/>
      <c r="Q107" s="304"/>
      <c r="R107" s="390"/>
    </row>
    <row r="108" spans="2:21" ht="12.75" customHeight="1" x14ac:dyDescent="0.2">
      <c r="B108" s="397"/>
      <c r="C108" s="387"/>
      <c r="D108" s="988" t="s">
        <v>414</v>
      </c>
      <c r="E108" s="988"/>
      <c r="F108" s="988"/>
      <c r="G108" s="988"/>
      <c r="H108" s="988"/>
      <c r="I108" s="988"/>
      <c r="J108" s="988"/>
      <c r="K108" s="988"/>
      <c r="L108" s="988"/>
      <c r="M108" s="988"/>
      <c r="N108" s="988"/>
      <c r="O108" s="988"/>
      <c r="P108" s="779"/>
      <c r="Q108" s="304"/>
      <c r="R108" s="390"/>
    </row>
    <row r="109" spans="2:21" x14ac:dyDescent="0.2">
      <c r="B109" s="397"/>
      <c r="C109" s="387"/>
      <c r="D109" s="988"/>
      <c r="E109" s="988"/>
      <c r="F109" s="988"/>
      <c r="G109" s="988"/>
      <c r="H109" s="988"/>
      <c r="I109" s="988"/>
      <c r="J109" s="988"/>
      <c r="K109" s="988"/>
      <c r="L109" s="988"/>
      <c r="M109" s="988"/>
      <c r="N109" s="988"/>
      <c r="O109" s="988"/>
      <c r="P109" s="779"/>
      <c r="Q109" s="304"/>
      <c r="R109" s="390"/>
    </row>
    <row r="110" spans="2:21" ht="26.25" customHeight="1" x14ac:dyDescent="0.2">
      <c r="B110" s="397"/>
      <c r="C110" s="387"/>
      <c r="D110" s="987" t="s">
        <v>589</v>
      </c>
      <c r="E110" s="987"/>
      <c r="F110" s="987"/>
      <c r="G110" s="987"/>
      <c r="H110" s="987"/>
      <c r="I110" s="987"/>
      <c r="J110" s="987"/>
      <c r="K110" s="987"/>
      <c r="L110" s="987"/>
      <c r="M110" s="987"/>
      <c r="N110" s="987"/>
      <c r="O110" s="987"/>
      <c r="P110" s="387"/>
      <c r="Q110" s="304"/>
      <c r="R110" s="390"/>
    </row>
    <row r="111" spans="2:21" x14ac:dyDescent="0.2">
      <c r="B111" s="397"/>
      <c r="C111" s="387"/>
      <c r="D111" s="383" t="s">
        <v>621</v>
      </c>
      <c r="E111" s="387"/>
      <c r="F111" s="387"/>
      <c r="G111" s="387"/>
      <c r="H111" s="387"/>
      <c r="I111" s="390"/>
      <c r="J111" s="387"/>
      <c r="K111" s="387"/>
      <c r="L111" s="387"/>
      <c r="M111" s="387"/>
      <c r="N111" s="387"/>
      <c r="P111" s="387"/>
      <c r="Q111" s="304"/>
      <c r="R111" s="390"/>
    </row>
    <row r="112" spans="2:21" x14ac:dyDescent="0.2">
      <c r="B112" s="397"/>
      <c r="C112" s="387"/>
      <c r="D112" s="383" t="s">
        <v>622</v>
      </c>
      <c r="E112" s="387"/>
      <c r="F112" s="387"/>
      <c r="G112" s="387"/>
      <c r="H112" s="387"/>
      <c r="I112" s="390"/>
      <c r="J112" s="387"/>
      <c r="K112" s="387"/>
      <c r="L112" s="387"/>
      <c r="M112" s="387"/>
      <c r="N112" s="387"/>
      <c r="P112" s="387"/>
      <c r="Q112" s="304"/>
      <c r="R112" s="390"/>
    </row>
    <row r="113" spans="2:21" ht="26.25" customHeight="1" x14ac:dyDescent="0.2">
      <c r="B113" s="397"/>
      <c r="C113" s="387"/>
      <c r="D113" s="987" t="s">
        <v>590</v>
      </c>
      <c r="E113" s="987"/>
      <c r="F113" s="987"/>
      <c r="G113" s="987"/>
      <c r="H113" s="987"/>
      <c r="I113" s="987"/>
      <c r="J113" s="987"/>
      <c r="K113" s="987"/>
      <c r="L113" s="987"/>
      <c r="M113" s="987"/>
      <c r="N113" s="987"/>
      <c r="O113" s="987"/>
      <c r="P113" s="387"/>
      <c r="Q113" s="304"/>
      <c r="R113" s="390"/>
    </row>
    <row r="114" spans="2:21" ht="12.75" customHeight="1" x14ac:dyDescent="0.2">
      <c r="B114" s="397"/>
      <c r="C114" s="387"/>
      <c r="D114" s="987" t="s">
        <v>623</v>
      </c>
      <c r="E114" s="987"/>
      <c r="F114" s="987"/>
      <c r="G114" s="987"/>
      <c r="H114" s="987"/>
      <c r="I114" s="987"/>
      <c r="J114" s="987"/>
      <c r="K114" s="987"/>
      <c r="L114" s="987"/>
      <c r="M114" s="987"/>
      <c r="N114" s="987"/>
      <c r="O114" s="987"/>
      <c r="P114" s="778"/>
      <c r="Q114" s="304"/>
      <c r="R114" s="390"/>
    </row>
    <row r="115" spans="2:21" x14ac:dyDescent="0.2">
      <c r="B115" s="397"/>
      <c r="C115" s="387"/>
      <c r="D115" s="987"/>
      <c r="E115" s="987"/>
      <c r="F115" s="987"/>
      <c r="G115" s="987"/>
      <c r="H115" s="987"/>
      <c r="I115" s="987"/>
      <c r="J115" s="987"/>
      <c r="K115" s="987"/>
      <c r="L115" s="987"/>
      <c r="M115" s="987"/>
      <c r="N115" s="987"/>
      <c r="O115" s="987"/>
      <c r="P115" s="778"/>
      <c r="Q115" s="304"/>
      <c r="R115" s="390"/>
    </row>
    <row r="116" spans="2:21" x14ac:dyDescent="0.2">
      <c r="B116" s="397"/>
      <c r="C116" s="387"/>
      <c r="D116" s="387"/>
      <c r="E116" s="221"/>
      <c r="F116" s="387"/>
      <c r="G116" s="387"/>
      <c r="H116" s="387"/>
      <c r="I116" s="387"/>
      <c r="J116" s="390"/>
      <c r="K116" s="387"/>
      <c r="L116" s="387"/>
      <c r="M116" s="387"/>
      <c r="N116" s="387"/>
      <c r="O116" s="387"/>
      <c r="P116" s="387"/>
      <c r="Q116" s="304"/>
      <c r="R116" s="390"/>
    </row>
    <row r="117" spans="2:21" x14ac:dyDescent="0.2">
      <c r="B117" s="397"/>
      <c r="C117" s="508" t="s">
        <v>467</v>
      </c>
      <c r="D117" s="387"/>
      <c r="E117" s="383"/>
      <c r="F117" s="387"/>
      <c r="G117" s="387"/>
      <c r="H117" s="387"/>
      <c r="I117" s="387"/>
      <c r="J117" s="390"/>
      <c r="K117" s="387"/>
      <c r="L117" s="387"/>
      <c r="M117" s="387"/>
      <c r="N117" s="387"/>
      <c r="O117" s="387"/>
      <c r="P117" s="387"/>
      <c r="Q117" s="304"/>
      <c r="R117" s="390"/>
    </row>
    <row r="118" spans="2:21" ht="12.75" customHeight="1" x14ac:dyDescent="0.2">
      <c r="B118" s="397"/>
      <c r="C118" s="390" t="s">
        <v>504</v>
      </c>
      <c r="D118" s="387"/>
      <c r="F118" s="387"/>
      <c r="G118" s="387"/>
      <c r="H118" s="387"/>
      <c r="I118" s="387"/>
      <c r="J118" s="390"/>
      <c r="K118" s="387"/>
      <c r="L118" s="387"/>
      <c r="M118" s="387"/>
      <c r="N118" s="387"/>
      <c r="O118" s="166"/>
      <c r="P118" s="387"/>
      <c r="Q118" s="304"/>
      <c r="R118" s="390"/>
    </row>
    <row r="119" spans="2:21" ht="12.75" customHeight="1" x14ac:dyDescent="0.2">
      <c r="B119" s="397"/>
      <c r="C119" s="387"/>
      <c r="D119" s="988" t="s">
        <v>414</v>
      </c>
      <c r="E119" s="988"/>
      <c r="F119" s="988"/>
      <c r="G119" s="988"/>
      <c r="H119" s="988"/>
      <c r="I119" s="988"/>
      <c r="J119" s="988"/>
      <c r="K119" s="988"/>
      <c r="L119" s="988"/>
      <c r="M119" s="988"/>
      <c r="N119" s="988"/>
      <c r="O119" s="988"/>
      <c r="P119" s="779"/>
      <c r="Q119" s="304"/>
      <c r="R119" s="390"/>
    </row>
    <row r="120" spans="2:21" x14ac:dyDescent="0.2">
      <c r="B120" s="397"/>
      <c r="C120" s="387"/>
      <c r="D120" s="988"/>
      <c r="E120" s="988"/>
      <c r="F120" s="988"/>
      <c r="G120" s="988"/>
      <c r="H120" s="988"/>
      <c r="I120" s="988"/>
      <c r="J120" s="988"/>
      <c r="K120" s="988"/>
      <c r="L120" s="988"/>
      <c r="M120" s="988"/>
      <c r="N120" s="988"/>
      <c r="O120" s="988"/>
      <c r="P120" s="779"/>
      <c r="Q120" s="304"/>
      <c r="R120" s="390"/>
    </row>
    <row r="121" spans="2:21" x14ac:dyDescent="0.2">
      <c r="B121" s="397"/>
      <c r="C121" s="387"/>
      <c r="D121" s="383" t="s">
        <v>508</v>
      </c>
      <c r="E121" s="387"/>
      <c r="F121" s="387"/>
      <c r="G121" s="387"/>
      <c r="H121" s="387"/>
      <c r="I121" s="390"/>
      <c r="J121" s="387"/>
      <c r="K121" s="387"/>
      <c r="L121" s="387"/>
      <c r="M121" s="387"/>
      <c r="N121" s="160"/>
      <c r="P121" s="387"/>
      <c r="Q121" s="304"/>
      <c r="R121" s="390"/>
    </row>
    <row r="122" spans="2:21" x14ac:dyDescent="0.2">
      <c r="B122" s="397"/>
      <c r="C122" s="387"/>
      <c r="D122" s="383" t="s">
        <v>236</v>
      </c>
      <c r="E122" s="387"/>
      <c r="F122" s="387"/>
      <c r="G122" s="387"/>
      <c r="H122" s="387"/>
      <c r="I122" s="390"/>
      <c r="J122" s="387"/>
      <c r="K122" s="387"/>
      <c r="L122" s="387"/>
      <c r="M122" s="387"/>
      <c r="N122" s="160"/>
      <c r="P122" s="387"/>
      <c r="Q122" s="304"/>
      <c r="R122" s="390"/>
    </row>
    <row r="123" spans="2:21" ht="12.75" customHeight="1" x14ac:dyDescent="0.2">
      <c r="B123" s="397"/>
      <c r="C123" s="387"/>
      <c r="D123" s="987" t="s">
        <v>624</v>
      </c>
      <c r="E123" s="987"/>
      <c r="F123" s="987"/>
      <c r="G123" s="987"/>
      <c r="H123" s="987"/>
      <c r="I123" s="987"/>
      <c r="J123" s="987"/>
      <c r="K123" s="987"/>
      <c r="L123" s="987"/>
      <c r="M123" s="987"/>
      <c r="N123" s="987"/>
      <c r="O123" s="987"/>
      <c r="P123" s="387"/>
      <c r="Q123" s="304"/>
      <c r="R123" s="390"/>
    </row>
    <row r="124" spans="2:21" x14ac:dyDescent="0.2">
      <c r="B124" s="397"/>
      <c r="C124" s="387"/>
      <c r="D124" s="987"/>
      <c r="E124" s="987"/>
      <c r="F124" s="987"/>
      <c r="G124" s="987"/>
      <c r="H124" s="987"/>
      <c r="I124" s="987"/>
      <c r="J124" s="987"/>
      <c r="K124" s="987"/>
      <c r="L124" s="987"/>
      <c r="M124" s="987"/>
      <c r="N124" s="987"/>
      <c r="O124" s="987"/>
      <c r="P124" s="387"/>
      <c r="Q124" s="304"/>
      <c r="R124" s="390"/>
    </row>
    <row r="125" spans="2:21" x14ac:dyDescent="0.2">
      <c r="B125" s="397"/>
      <c r="C125" s="387"/>
      <c r="D125" s="387"/>
      <c r="E125" s="221"/>
      <c r="F125" s="387"/>
      <c r="G125" s="387"/>
      <c r="H125" s="387"/>
      <c r="I125" s="387"/>
      <c r="J125" s="390"/>
      <c r="K125" s="387"/>
      <c r="L125" s="387"/>
      <c r="M125" s="387"/>
      <c r="N125" s="387"/>
      <c r="O125" s="387"/>
      <c r="P125" s="387"/>
      <c r="Q125" s="304"/>
      <c r="R125" s="390"/>
      <c r="S125" s="387"/>
      <c r="T125" s="387"/>
      <c r="U125" s="387"/>
    </row>
    <row r="126" spans="2:21" x14ac:dyDescent="0.2">
      <c r="B126" s="397"/>
      <c r="C126" s="508" t="s">
        <v>468</v>
      </c>
      <c r="D126" s="387"/>
      <c r="E126" s="383"/>
      <c r="F126" s="387"/>
      <c r="G126" s="387"/>
      <c r="H126" s="387"/>
      <c r="I126" s="387"/>
      <c r="J126" s="390"/>
      <c r="K126" s="387"/>
      <c r="L126" s="387"/>
      <c r="M126" s="387"/>
      <c r="N126" s="387"/>
      <c r="O126" s="387"/>
      <c r="P126" s="387"/>
      <c r="Q126" s="304"/>
      <c r="R126" s="390"/>
      <c r="S126" s="383"/>
      <c r="T126" s="383"/>
      <c r="U126" s="387"/>
    </row>
    <row r="127" spans="2:21" x14ac:dyDescent="0.2">
      <c r="B127" s="397"/>
      <c r="C127" s="390" t="s">
        <v>509</v>
      </c>
      <c r="D127" s="387"/>
      <c r="F127" s="387"/>
      <c r="G127" s="387"/>
      <c r="H127" s="387"/>
      <c r="I127" s="387"/>
      <c r="J127" s="390"/>
      <c r="K127" s="387"/>
      <c r="L127" s="387"/>
      <c r="M127" s="387"/>
      <c r="N127" s="387"/>
      <c r="O127" s="387"/>
      <c r="P127" s="387"/>
      <c r="Q127" s="304"/>
      <c r="R127" s="390"/>
      <c r="S127" s="383"/>
      <c r="T127" s="383"/>
      <c r="U127" s="387"/>
    </row>
    <row r="128" spans="2:21" ht="15.75" x14ac:dyDescent="0.3">
      <c r="B128" s="397"/>
      <c r="C128" s="387"/>
      <c r="D128" s="221" t="s">
        <v>404</v>
      </c>
      <c r="F128" s="387"/>
      <c r="G128" s="387"/>
      <c r="H128" s="387"/>
      <c r="I128" s="387"/>
      <c r="J128" s="390"/>
      <c r="K128" s="387"/>
      <c r="L128" s="387"/>
      <c r="M128" s="387"/>
      <c r="N128" s="387"/>
      <c r="O128" s="387"/>
      <c r="P128" s="387"/>
      <c r="Q128" s="304"/>
      <c r="R128" s="390"/>
      <c r="S128" s="387"/>
      <c r="T128" s="387"/>
      <c r="U128" s="387"/>
    </row>
    <row r="129" spans="2:21" ht="27" customHeight="1" x14ac:dyDescent="0.2">
      <c r="B129" s="397"/>
      <c r="C129" s="387"/>
      <c r="D129" s="989" t="s">
        <v>545</v>
      </c>
      <c r="E129" s="920"/>
      <c r="F129" s="920"/>
      <c r="G129" s="920"/>
      <c r="H129" s="920"/>
      <c r="I129" s="920"/>
      <c r="J129" s="920"/>
      <c r="K129" s="920"/>
      <c r="L129" s="920"/>
      <c r="M129" s="920"/>
      <c r="N129" s="920"/>
      <c r="O129" s="920"/>
      <c r="P129" s="387"/>
      <c r="Q129" s="304"/>
      <c r="R129" s="390"/>
      <c r="S129" s="387"/>
      <c r="T129" s="387"/>
      <c r="U129" s="387"/>
    </row>
    <row r="130" spans="2:21" ht="13.5" thickBot="1" x14ac:dyDescent="0.25">
      <c r="B130" s="397"/>
      <c r="C130" s="387"/>
      <c r="D130" s="387"/>
      <c r="E130" s="221"/>
      <c r="F130" s="387"/>
      <c r="G130" s="387"/>
      <c r="H130" s="387"/>
      <c r="I130" s="387"/>
      <c r="J130" s="390"/>
      <c r="K130" s="387"/>
      <c r="L130" s="387"/>
      <c r="M130" s="387"/>
      <c r="N130" s="387"/>
      <c r="O130" s="387"/>
      <c r="P130" s="387"/>
      <c r="Q130" s="304"/>
      <c r="R130" s="390"/>
      <c r="S130" s="387"/>
      <c r="T130" s="387"/>
      <c r="U130" s="387"/>
    </row>
    <row r="131" spans="2:21" x14ac:dyDescent="0.2">
      <c r="B131" s="169"/>
      <c r="C131" s="158"/>
      <c r="D131" s="200"/>
      <c r="E131" s="158"/>
      <c r="F131" s="158"/>
      <c r="G131" s="158"/>
      <c r="H131" s="158"/>
      <c r="I131" s="200"/>
      <c r="J131" s="158"/>
      <c r="K131" s="200"/>
      <c r="L131" s="158"/>
      <c r="M131" s="158"/>
      <c r="N131" s="158"/>
      <c r="O131" s="158"/>
      <c r="P131" s="158"/>
      <c r="Q131" s="369"/>
      <c r="R131" s="390"/>
    </row>
    <row r="132" spans="2:21" s="608" customFormat="1" ht="15.75" x14ac:dyDescent="0.25">
      <c r="B132" s="607"/>
      <c r="C132" s="604" t="s">
        <v>370</v>
      </c>
      <c r="D132" s="604"/>
      <c r="E132" s="604"/>
      <c r="F132" s="604"/>
      <c r="G132" s="604"/>
      <c r="H132" s="604"/>
      <c r="I132" s="604"/>
      <c r="J132" s="604"/>
      <c r="K132" s="604"/>
      <c r="L132" s="604"/>
      <c r="M132" s="604"/>
      <c r="N132" s="604"/>
      <c r="O132" s="604"/>
      <c r="P132" s="604"/>
      <c r="Q132" s="561"/>
      <c r="R132" s="65"/>
    </row>
    <row r="133" spans="2:21" x14ac:dyDescent="0.2">
      <c r="B133" s="397"/>
      <c r="C133" s="390" t="s">
        <v>503</v>
      </c>
      <c r="D133" s="390"/>
      <c r="E133" s="387"/>
      <c r="F133" s="387"/>
      <c r="G133" s="387"/>
      <c r="H133" s="387"/>
      <c r="I133" s="390"/>
      <c r="J133" s="387"/>
      <c r="K133" s="390"/>
      <c r="L133" s="387"/>
      <c r="M133" s="387"/>
      <c r="N133" s="387"/>
      <c r="O133" s="387"/>
      <c r="P133" s="387"/>
      <c r="Q133" s="304"/>
      <c r="R133" s="390"/>
    </row>
    <row r="134" spans="2:21" s="175" customFormat="1" x14ac:dyDescent="0.2">
      <c r="B134" s="159"/>
      <c r="C134" s="383"/>
      <c r="D134" s="390"/>
      <c r="E134" s="383"/>
      <c r="F134" s="383"/>
      <c r="G134" s="383"/>
      <c r="H134" s="383"/>
      <c r="I134" s="383"/>
      <c r="J134" s="786" t="s">
        <v>4</v>
      </c>
      <c r="K134" s="383"/>
      <c r="M134" s="786" t="s">
        <v>5</v>
      </c>
      <c r="N134" s="383"/>
      <c r="P134" s="383"/>
      <c r="Q134" s="304"/>
      <c r="R134" s="390"/>
    </row>
    <row r="135" spans="2:21" x14ac:dyDescent="0.2">
      <c r="B135" s="397"/>
      <c r="C135" s="387"/>
      <c r="D135" s="390"/>
      <c r="E135" s="387"/>
      <c r="F135" s="387"/>
      <c r="G135" s="387"/>
      <c r="H135" s="387"/>
      <c r="I135" s="390"/>
      <c r="J135" s="390"/>
      <c r="K135" s="387"/>
      <c r="L135" s="387"/>
      <c r="M135" s="387"/>
      <c r="N135" s="387"/>
      <c r="P135" s="387"/>
      <c r="Q135" s="304"/>
      <c r="R135" s="390"/>
    </row>
    <row r="136" spans="2:21" ht="15.75" x14ac:dyDescent="0.25">
      <c r="B136" s="397"/>
      <c r="C136" s="387"/>
      <c r="D136" s="390" t="s">
        <v>371</v>
      </c>
      <c r="E136" s="387"/>
      <c r="F136" s="387"/>
      <c r="G136" s="387"/>
      <c r="H136" s="387"/>
      <c r="I136" s="390"/>
      <c r="J136" s="703">
        <v>1</v>
      </c>
      <c r="K136" s="387"/>
      <c r="M136" s="703">
        <v>1</v>
      </c>
      <c r="N136" s="387"/>
      <c r="P136" s="387"/>
      <c r="Q136" s="304"/>
      <c r="R136" s="390"/>
      <c r="T136" s="52" t="s">
        <v>372</v>
      </c>
    </row>
    <row r="137" spans="2:21" x14ac:dyDescent="0.2">
      <c r="B137" s="397"/>
      <c r="C137" s="387"/>
      <c r="D137" s="387"/>
      <c r="E137" s="383" t="s">
        <v>300</v>
      </c>
      <c r="F137" s="387"/>
      <c r="G137" s="387"/>
      <c r="H137" s="387"/>
      <c r="I137" s="390"/>
      <c r="J137" s="387"/>
      <c r="K137" s="387"/>
      <c r="L137" s="387"/>
      <c r="M137" s="387"/>
      <c r="N137" s="387"/>
      <c r="P137" s="387"/>
      <c r="Q137" s="304"/>
      <c r="R137" s="390"/>
      <c r="T137" s="51"/>
    </row>
    <row r="138" spans="2:21" x14ac:dyDescent="0.2">
      <c r="B138" s="397"/>
      <c r="C138" s="387"/>
      <c r="D138" s="387"/>
      <c r="E138" s="383" t="s">
        <v>366</v>
      </c>
      <c r="F138" s="387"/>
      <c r="G138" s="387"/>
      <c r="H138" s="387"/>
      <c r="I138" s="390"/>
      <c r="J138" s="387"/>
      <c r="K138" s="387"/>
      <c r="L138" s="387"/>
      <c r="M138" s="387"/>
      <c r="N138" s="387"/>
      <c r="P138" s="387"/>
      <c r="Q138" s="304"/>
      <c r="R138" s="390"/>
      <c r="T138" s="51"/>
    </row>
    <row r="139" spans="2:21" x14ac:dyDescent="0.2">
      <c r="B139" s="397"/>
      <c r="C139" s="387"/>
      <c r="D139" s="390" t="s">
        <v>369</v>
      </c>
      <c r="E139" s="387"/>
      <c r="F139" s="387"/>
      <c r="G139" s="387"/>
      <c r="H139" s="387"/>
      <c r="I139" s="390"/>
      <c r="J139" s="780" t="str">
        <f>IF(J136=1,EQUATIONS!F122,IF(J136=2,EQUATIONS!F126,"ERROR"))</f>
        <v>N/A</v>
      </c>
      <c r="K139" s="390" t="s">
        <v>7</v>
      </c>
      <c r="M139" s="780" t="str">
        <f>IF(M136=1,EQUATIONS!H122,IF(M136=2,EQUATIONS!H126,"ERROR"))</f>
        <v>N/A</v>
      </c>
      <c r="N139" s="390" t="s">
        <v>7</v>
      </c>
      <c r="P139" s="387"/>
      <c r="Q139" s="576"/>
      <c r="R139" s="390"/>
      <c r="T139" s="769">
        <v>1</v>
      </c>
    </row>
    <row r="140" spans="2:21" s="51" customFormat="1" ht="15" customHeight="1" x14ac:dyDescent="0.2">
      <c r="B140" s="50"/>
      <c r="C140" s="387"/>
      <c r="D140" s="390" t="s">
        <v>266</v>
      </c>
      <c r="E140" s="380"/>
      <c r="F140" s="380"/>
      <c r="G140" s="387"/>
      <c r="H140" s="748"/>
      <c r="I140" s="387"/>
      <c r="J140" s="749" t="str">
        <f>IF(J136=1,EQUATIONS!F123,IF(J136=2,EQUATIONS!F127,"ERROR"))</f>
        <v>Yes</v>
      </c>
      <c r="K140" s="380"/>
      <c r="L140" s="171"/>
      <c r="M140" s="749" t="str">
        <f>IF(M136=1,EQUATIONS!H123,IF(M136=2,EQUATIONS!H127,"ERROR"))</f>
        <v>Yes</v>
      </c>
      <c r="N140" s="387"/>
      <c r="O140" s="171"/>
      <c r="P140" s="387"/>
      <c r="Q140" s="750"/>
      <c r="R140" s="171"/>
      <c r="S140" s="171"/>
      <c r="T140" s="770">
        <v>2</v>
      </c>
    </row>
    <row r="141" spans="2:21" x14ac:dyDescent="0.2">
      <c r="B141" s="397"/>
      <c r="C141" s="387"/>
      <c r="D141" s="390"/>
      <c r="E141" s="387"/>
      <c r="F141" s="387"/>
      <c r="G141" s="387"/>
      <c r="H141" s="391"/>
      <c r="I141" s="390"/>
      <c r="J141" s="387"/>
      <c r="K141" s="390"/>
      <c r="L141" s="387"/>
      <c r="M141" s="387"/>
      <c r="N141" s="387"/>
      <c r="O141" s="387"/>
      <c r="P141" s="391"/>
      <c r="Q141" s="304"/>
      <c r="R141" s="390"/>
    </row>
    <row r="142" spans="2:21" ht="12.75" customHeight="1" x14ac:dyDescent="0.2">
      <c r="B142" s="397"/>
      <c r="C142" s="977" t="s">
        <v>546</v>
      </c>
      <c r="D142" s="977"/>
      <c r="E142" s="977"/>
      <c r="F142" s="977"/>
      <c r="G142" s="977"/>
      <c r="H142" s="977"/>
      <c r="I142" s="977"/>
      <c r="J142" s="977"/>
      <c r="K142" s="977"/>
      <c r="L142" s="977"/>
      <c r="M142" s="977"/>
      <c r="N142" s="977"/>
      <c r="O142" s="977"/>
      <c r="P142" s="515"/>
      <c r="Q142" s="304"/>
      <c r="R142" s="390"/>
    </row>
    <row r="143" spans="2:21" s="340" customFormat="1" x14ac:dyDescent="0.2">
      <c r="B143" s="339"/>
      <c r="C143" s="977"/>
      <c r="D143" s="977"/>
      <c r="E143" s="977"/>
      <c r="F143" s="977"/>
      <c r="G143" s="977"/>
      <c r="H143" s="977"/>
      <c r="I143" s="977"/>
      <c r="J143" s="977"/>
      <c r="K143" s="977"/>
      <c r="L143" s="977"/>
      <c r="M143" s="977"/>
      <c r="N143" s="977"/>
      <c r="O143" s="977"/>
      <c r="P143" s="515"/>
      <c r="Q143" s="577"/>
      <c r="R143" s="183"/>
      <c r="T143" s="171"/>
    </row>
    <row r="144" spans="2:21" s="340" customFormat="1" x14ac:dyDescent="0.2">
      <c r="B144" s="339"/>
      <c r="C144" s="977"/>
      <c r="D144" s="977"/>
      <c r="E144" s="977"/>
      <c r="F144" s="977"/>
      <c r="G144" s="977"/>
      <c r="H144" s="977"/>
      <c r="I144" s="977"/>
      <c r="J144" s="977"/>
      <c r="K144" s="977"/>
      <c r="L144" s="977"/>
      <c r="M144" s="977"/>
      <c r="N144" s="977"/>
      <c r="O144" s="977"/>
      <c r="P144" s="515"/>
      <c r="Q144" s="577"/>
      <c r="R144" s="183"/>
      <c r="T144" s="171"/>
    </row>
    <row r="145" spans="2:21" ht="13.5" thickBot="1" x14ac:dyDescent="0.25">
      <c r="B145" s="177"/>
      <c r="C145" s="62"/>
      <c r="D145" s="178"/>
      <c r="E145" s="62"/>
      <c r="F145" s="62"/>
      <c r="G145" s="62"/>
      <c r="H145" s="62"/>
      <c r="I145" s="62"/>
      <c r="J145" s="62"/>
      <c r="K145" s="178"/>
      <c r="L145" s="62"/>
      <c r="M145" s="62"/>
      <c r="N145" s="62"/>
      <c r="O145" s="62"/>
      <c r="P145" s="62"/>
      <c r="Q145" s="593"/>
      <c r="R145" s="390"/>
      <c r="T145" s="340"/>
    </row>
    <row r="146" spans="2:21" ht="20.25" customHeight="1" x14ac:dyDescent="0.2">
      <c r="B146" s="169"/>
      <c r="C146" s="158"/>
      <c r="D146" s="158"/>
      <c r="E146" s="158"/>
      <c r="F146" s="158"/>
      <c r="G146" s="158"/>
      <c r="H146" s="158"/>
      <c r="I146" s="158"/>
      <c r="J146" s="158"/>
      <c r="K146" s="158"/>
      <c r="L146" s="158"/>
      <c r="M146" s="158"/>
      <c r="N146" s="158"/>
      <c r="O146" s="158"/>
      <c r="P146" s="158"/>
      <c r="Q146" s="369">
        <v>4</v>
      </c>
      <c r="T146" s="340"/>
    </row>
    <row r="147" spans="2:21" s="51" customFormat="1" ht="15.75" x14ac:dyDescent="0.25">
      <c r="B147" s="50"/>
      <c r="C147" s="381" t="s">
        <v>452</v>
      </c>
      <c r="E147" s="380"/>
      <c r="F147" s="380"/>
      <c r="G147" s="380"/>
      <c r="H147" s="380"/>
      <c r="I147" s="380"/>
      <c r="J147" s="380"/>
      <c r="K147" s="380"/>
      <c r="L147" s="380"/>
      <c r="M147" s="380"/>
      <c r="N147" s="380"/>
      <c r="O147" s="380"/>
      <c r="P147" s="380"/>
      <c r="Q147" s="573"/>
      <c r="R147" s="387"/>
      <c r="S147" s="387"/>
      <c r="T147" s="171"/>
      <c r="U147" s="387"/>
    </row>
    <row r="148" spans="2:21" s="63" customFormat="1" ht="12.75" customHeight="1" x14ac:dyDescent="0.2">
      <c r="B148" s="532"/>
      <c r="C148" s="388">
        <v>1</v>
      </c>
      <c r="D148" s="913" t="s">
        <v>541</v>
      </c>
      <c r="E148" s="913"/>
      <c r="F148" s="913"/>
      <c r="G148" s="913"/>
      <c r="H148" s="913"/>
      <c r="I148" s="913"/>
      <c r="J148" s="913"/>
      <c r="K148" s="913"/>
      <c r="L148" s="913"/>
      <c r="M148" s="913"/>
      <c r="N148" s="913"/>
      <c r="O148" s="913"/>
      <c r="P148" s="913"/>
      <c r="Q148" s="578"/>
      <c r="R148" s="383"/>
      <c r="S148" s="383"/>
      <c r="T148" s="171"/>
      <c r="U148" s="383"/>
    </row>
    <row r="149" spans="2:21" s="63" customFormat="1" x14ac:dyDescent="0.2">
      <c r="B149" s="532"/>
      <c r="C149" s="223"/>
      <c r="D149" s="913"/>
      <c r="E149" s="913"/>
      <c r="F149" s="913"/>
      <c r="G149" s="913"/>
      <c r="H149" s="913"/>
      <c r="I149" s="913"/>
      <c r="J149" s="913"/>
      <c r="K149" s="913"/>
      <c r="L149" s="913"/>
      <c r="M149" s="913"/>
      <c r="N149" s="913"/>
      <c r="O149" s="913"/>
      <c r="P149" s="913"/>
      <c r="Q149" s="578"/>
      <c r="R149" s="383"/>
      <c r="S149" s="383"/>
      <c r="T149" s="387"/>
      <c r="U149" s="383"/>
    </row>
    <row r="150" spans="2:21" s="63" customFormat="1" x14ac:dyDescent="0.2">
      <c r="B150" s="532"/>
      <c r="C150" s="223"/>
      <c r="D150" s="913"/>
      <c r="E150" s="913"/>
      <c r="F150" s="913"/>
      <c r="G150" s="913"/>
      <c r="H150" s="913"/>
      <c r="I150" s="913"/>
      <c r="J150" s="913"/>
      <c r="K150" s="913"/>
      <c r="L150" s="913"/>
      <c r="M150" s="913"/>
      <c r="N150" s="913"/>
      <c r="O150" s="913"/>
      <c r="P150" s="913"/>
      <c r="Q150" s="578"/>
      <c r="R150" s="383"/>
      <c r="S150" s="383"/>
      <c r="T150" s="383"/>
      <c r="U150" s="383"/>
    </row>
    <row r="151" spans="2:21" s="63" customFormat="1" x14ac:dyDescent="0.2">
      <c r="B151" s="532"/>
      <c r="C151" s="223"/>
      <c r="D151" s="913"/>
      <c r="E151" s="913"/>
      <c r="F151" s="913"/>
      <c r="G151" s="913"/>
      <c r="H151" s="913"/>
      <c r="I151" s="913"/>
      <c r="J151" s="913"/>
      <c r="K151" s="913"/>
      <c r="L151" s="913"/>
      <c r="M151" s="913"/>
      <c r="N151" s="913"/>
      <c r="O151" s="913"/>
      <c r="P151" s="913"/>
      <c r="Q151" s="578"/>
      <c r="R151" s="383"/>
      <c r="S151" s="383"/>
      <c r="T151" s="383"/>
      <c r="U151" s="383"/>
    </row>
    <row r="152" spans="2:21" s="63" customFormat="1" x14ac:dyDescent="0.2">
      <c r="B152" s="532"/>
      <c r="C152" s="223">
        <v>2</v>
      </c>
      <c r="D152" s="970" t="s">
        <v>542</v>
      </c>
      <c r="E152" s="970"/>
      <c r="F152" s="970"/>
      <c r="G152" s="970"/>
      <c r="H152" s="970"/>
      <c r="I152" s="970"/>
      <c r="J152" s="970"/>
      <c r="K152" s="970"/>
      <c r="L152" s="970"/>
      <c r="M152" s="970"/>
      <c r="N152" s="970"/>
      <c r="O152" s="970"/>
      <c r="P152" s="970"/>
      <c r="Q152" s="578"/>
      <c r="R152" s="383"/>
      <c r="S152" s="383"/>
      <c r="T152" s="383"/>
      <c r="U152" s="383"/>
    </row>
    <row r="153" spans="2:21" s="63" customFormat="1" x14ac:dyDescent="0.2">
      <c r="B153" s="532"/>
      <c r="C153" s="223"/>
      <c r="D153" s="970"/>
      <c r="E153" s="970"/>
      <c r="F153" s="970"/>
      <c r="G153" s="970"/>
      <c r="H153" s="970"/>
      <c r="I153" s="970"/>
      <c r="J153" s="970"/>
      <c r="K153" s="970"/>
      <c r="L153" s="970"/>
      <c r="M153" s="970"/>
      <c r="N153" s="970"/>
      <c r="O153" s="970"/>
      <c r="P153" s="970"/>
      <c r="Q153" s="578"/>
      <c r="R153" s="383"/>
      <c r="S153" s="383"/>
      <c r="T153" s="383"/>
      <c r="U153" s="383"/>
    </row>
    <row r="154" spans="2:21" s="63" customFormat="1" x14ac:dyDescent="0.2">
      <c r="B154" s="532"/>
      <c r="C154" s="223"/>
      <c r="D154" s="970"/>
      <c r="E154" s="970"/>
      <c r="F154" s="970"/>
      <c r="G154" s="970"/>
      <c r="H154" s="970"/>
      <c r="I154" s="970"/>
      <c r="J154" s="970"/>
      <c r="K154" s="970"/>
      <c r="L154" s="970"/>
      <c r="M154" s="970"/>
      <c r="N154" s="970"/>
      <c r="O154" s="970"/>
      <c r="P154" s="970"/>
      <c r="Q154" s="513"/>
      <c r="R154" s="383"/>
      <c r="S154" s="383"/>
      <c r="T154" s="383"/>
      <c r="U154" s="383"/>
    </row>
    <row r="155" spans="2:21" s="63" customFormat="1" x14ac:dyDescent="0.2">
      <c r="B155" s="532"/>
      <c r="C155" s="223"/>
      <c r="D155" s="970"/>
      <c r="E155" s="970"/>
      <c r="F155" s="970"/>
      <c r="G155" s="970"/>
      <c r="H155" s="970"/>
      <c r="I155" s="970"/>
      <c r="J155" s="970"/>
      <c r="K155" s="970"/>
      <c r="L155" s="970"/>
      <c r="M155" s="970"/>
      <c r="N155" s="970"/>
      <c r="O155" s="970"/>
      <c r="P155" s="970"/>
      <c r="Q155" s="513"/>
      <c r="T155" s="383"/>
    </row>
    <row r="156" spans="2:21" s="63" customFormat="1" x14ac:dyDescent="0.2">
      <c r="B156" s="532"/>
      <c r="C156" s="223">
        <v>3</v>
      </c>
      <c r="D156" s="970" t="s">
        <v>584</v>
      </c>
      <c r="E156" s="970"/>
      <c r="F156" s="970"/>
      <c r="G156" s="970"/>
      <c r="H156" s="970"/>
      <c r="I156" s="970"/>
      <c r="J156" s="970"/>
      <c r="K156" s="970"/>
      <c r="L156" s="970"/>
      <c r="M156" s="970"/>
      <c r="N156" s="970"/>
      <c r="O156" s="970"/>
      <c r="P156" s="970"/>
      <c r="Q156" s="513"/>
      <c r="T156" s="383"/>
    </row>
    <row r="157" spans="2:21" s="63" customFormat="1" x14ac:dyDescent="0.2">
      <c r="B157" s="532"/>
      <c r="C157" s="223"/>
      <c r="D157" s="970"/>
      <c r="E157" s="970"/>
      <c r="F157" s="970"/>
      <c r="G157" s="970"/>
      <c r="H157" s="970"/>
      <c r="I157" s="970"/>
      <c r="J157" s="970"/>
      <c r="K157" s="970"/>
      <c r="L157" s="970"/>
      <c r="M157" s="970"/>
      <c r="N157" s="970"/>
      <c r="O157" s="970"/>
      <c r="P157" s="970"/>
      <c r="Q157" s="513"/>
    </row>
    <row r="158" spans="2:21" s="63" customFormat="1" ht="15.75" customHeight="1" x14ac:dyDescent="0.2">
      <c r="B158" s="532"/>
      <c r="C158" s="223"/>
      <c r="D158" s="970"/>
      <c r="E158" s="970"/>
      <c r="F158" s="970"/>
      <c r="G158" s="970"/>
      <c r="H158" s="970"/>
      <c r="I158" s="970"/>
      <c r="J158" s="970"/>
      <c r="K158" s="970"/>
      <c r="L158" s="970"/>
      <c r="M158" s="970"/>
      <c r="N158" s="970"/>
      <c r="O158" s="970"/>
      <c r="P158" s="970"/>
      <c r="Q158" s="513"/>
    </row>
    <row r="159" spans="2:21" s="63" customFormat="1" x14ac:dyDescent="0.2">
      <c r="B159" s="532"/>
      <c r="C159" s="223"/>
      <c r="D159" s="970"/>
      <c r="E159" s="970"/>
      <c r="F159" s="970"/>
      <c r="G159" s="970"/>
      <c r="H159" s="970"/>
      <c r="I159" s="970"/>
      <c r="J159" s="970"/>
      <c r="K159" s="970"/>
      <c r="L159" s="970"/>
      <c r="M159" s="970"/>
      <c r="N159" s="970"/>
      <c r="O159" s="970"/>
      <c r="P159" s="970"/>
      <c r="Q159" s="513"/>
    </row>
    <row r="160" spans="2:21" s="63" customFormat="1" x14ac:dyDescent="0.2">
      <c r="B160" s="532"/>
      <c r="C160" s="223">
        <v>4</v>
      </c>
      <c r="D160" s="970" t="s">
        <v>543</v>
      </c>
      <c r="E160" s="970"/>
      <c r="F160" s="970"/>
      <c r="G160" s="970"/>
      <c r="H160" s="970"/>
      <c r="I160" s="970"/>
      <c r="J160" s="970"/>
      <c r="K160" s="970"/>
      <c r="L160" s="970"/>
      <c r="M160" s="970"/>
      <c r="N160" s="970"/>
      <c r="O160" s="970"/>
      <c r="P160" s="970"/>
      <c r="Q160" s="513"/>
    </row>
    <row r="161" spans="2:20" s="63" customFormat="1" x14ac:dyDescent="0.2">
      <c r="B161" s="532"/>
      <c r="C161" s="388"/>
      <c r="D161" s="970"/>
      <c r="E161" s="970"/>
      <c r="F161" s="970"/>
      <c r="G161" s="970"/>
      <c r="H161" s="970"/>
      <c r="I161" s="970"/>
      <c r="J161" s="970"/>
      <c r="K161" s="970"/>
      <c r="L161" s="970"/>
      <c r="M161" s="970"/>
      <c r="N161" s="970"/>
      <c r="O161" s="970"/>
      <c r="P161" s="970"/>
      <c r="Q161" s="513"/>
    </row>
    <row r="162" spans="2:20" s="63" customFormat="1" x14ac:dyDescent="0.2">
      <c r="B162" s="532"/>
      <c r="C162" s="388"/>
      <c r="D162" s="970"/>
      <c r="E162" s="970"/>
      <c r="F162" s="970"/>
      <c r="G162" s="970"/>
      <c r="H162" s="970"/>
      <c r="I162" s="970"/>
      <c r="J162" s="970"/>
      <c r="K162" s="970"/>
      <c r="L162" s="970"/>
      <c r="M162" s="970"/>
      <c r="N162" s="970"/>
      <c r="O162" s="970"/>
      <c r="P162" s="970"/>
      <c r="Q162" s="513"/>
    </row>
    <row r="163" spans="2:20" s="63" customFormat="1" x14ac:dyDescent="0.2">
      <c r="B163" s="532"/>
      <c r="C163" s="388"/>
      <c r="D163" s="970"/>
      <c r="E163" s="970"/>
      <c r="F163" s="970"/>
      <c r="G163" s="970"/>
      <c r="H163" s="970"/>
      <c r="I163" s="970"/>
      <c r="J163" s="970"/>
      <c r="K163" s="970"/>
      <c r="L163" s="970"/>
      <c r="M163" s="970"/>
      <c r="N163" s="970"/>
      <c r="O163" s="970"/>
      <c r="P163" s="970"/>
      <c r="Q163" s="513"/>
    </row>
    <row r="164" spans="2:20" s="63" customFormat="1" x14ac:dyDescent="0.2">
      <c r="B164" s="532"/>
      <c r="C164" s="388">
        <v>5</v>
      </c>
      <c r="D164" s="969"/>
      <c r="E164" s="969"/>
      <c r="F164" s="969"/>
      <c r="G164" s="969"/>
      <c r="H164" s="969"/>
      <c r="I164" s="969"/>
      <c r="J164" s="969"/>
      <c r="K164" s="969"/>
      <c r="L164" s="969"/>
      <c r="M164" s="969"/>
      <c r="N164" s="969"/>
      <c r="O164" s="969"/>
      <c r="P164" s="969"/>
      <c r="Q164" s="513"/>
    </row>
    <row r="165" spans="2:20" s="63" customFormat="1" x14ac:dyDescent="0.2">
      <c r="B165" s="532"/>
      <c r="C165" s="388"/>
      <c r="D165" s="969"/>
      <c r="E165" s="969"/>
      <c r="F165" s="969"/>
      <c r="G165" s="969"/>
      <c r="H165" s="969"/>
      <c r="I165" s="969"/>
      <c r="J165" s="969"/>
      <c r="K165" s="969"/>
      <c r="L165" s="969"/>
      <c r="M165" s="969"/>
      <c r="N165" s="969"/>
      <c r="O165" s="969"/>
      <c r="P165" s="969"/>
      <c r="Q165" s="513"/>
    </row>
    <row r="166" spans="2:20" s="63" customFormat="1" x14ac:dyDescent="0.2">
      <c r="B166" s="532"/>
      <c r="C166" s="388"/>
      <c r="D166" s="969"/>
      <c r="E166" s="969"/>
      <c r="F166" s="969"/>
      <c r="G166" s="969"/>
      <c r="H166" s="969"/>
      <c r="I166" s="969"/>
      <c r="J166" s="969"/>
      <c r="K166" s="969"/>
      <c r="L166" s="969"/>
      <c r="M166" s="969"/>
      <c r="N166" s="969"/>
      <c r="O166" s="969"/>
      <c r="P166" s="969"/>
      <c r="Q166" s="513"/>
    </row>
    <row r="167" spans="2:20" s="63" customFormat="1" x14ac:dyDescent="0.2">
      <c r="B167" s="532"/>
      <c r="C167" s="388"/>
      <c r="D167" s="969"/>
      <c r="E167" s="969"/>
      <c r="F167" s="969"/>
      <c r="G167" s="969"/>
      <c r="H167" s="969"/>
      <c r="I167" s="969"/>
      <c r="J167" s="969"/>
      <c r="K167" s="969"/>
      <c r="L167" s="969"/>
      <c r="M167" s="969"/>
      <c r="N167" s="969"/>
      <c r="O167" s="969"/>
      <c r="P167" s="969"/>
      <c r="Q167" s="513"/>
    </row>
    <row r="168" spans="2:20" s="175" customFormat="1" x14ac:dyDescent="0.2">
      <c r="B168" s="159"/>
      <c r="C168" s="383"/>
      <c r="D168" s="383"/>
      <c r="E168" s="383"/>
      <c r="F168" s="383"/>
      <c r="G168" s="383"/>
      <c r="H168" s="383"/>
      <c r="I168" s="383"/>
      <c r="J168" s="383"/>
      <c r="K168" s="383"/>
      <c r="L168" s="383"/>
      <c r="M168" s="383"/>
      <c r="N168" s="383"/>
      <c r="O168" s="383"/>
      <c r="P168" s="383"/>
      <c r="Q168" s="304"/>
      <c r="T168" s="63"/>
    </row>
    <row r="169" spans="2:20" ht="13.5" thickBot="1" x14ac:dyDescent="0.25">
      <c r="B169" s="177"/>
      <c r="C169" s="62"/>
      <c r="D169" s="62"/>
      <c r="E169" s="62"/>
      <c r="F169" s="62"/>
      <c r="G169" s="62"/>
      <c r="H169" s="62"/>
      <c r="I169" s="62"/>
      <c r="J169" s="62"/>
      <c r="K169" s="62"/>
      <c r="L169" s="62"/>
      <c r="M169" s="62"/>
      <c r="N169" s="62"/>
      <c r="O169" s="62"/>
      <c r="P169" s="62"/>
      <c r="Q169" s="564"/>
      <c r="T169" s="63"/>
    </row>
    <row r="170" spans="2:20" x14ac:dyDescent="0.2">
      <c r="T170" s="175"/>
    </row>
  </sheetData>
  <sheetProtection algorithmName="SHA-512" hashValue="KRjEhWFOttd1u03tWw2qlaYCHf8D5G+aVtfVuYag6Wa4hr4pseRQ42IKOapnUW1HLwpTuuKeJ8MM22gGkQr8SQ==" saltValue="7thsFw2gSBs+sBEIKsJhwQ==" spinCount="100000" sheet="1" objects="1" scenarios="1"/>
  <customSheetViews>
    <customSheetView guid="{1D46CCF0-D0A9-4A4B-AB32-CC50C778381E}" showPageBreaks="1" hiddenColumns="1">
      <pane ySplit="16" topLeftCell="A17" activePane="bottomLeft" state="frozen"/>
      <selection pane="bottomLeft"/>
      <rowBreaks count="3" manualBreakCount="3">
        <brk id="44" max="16383" man="1"/>
        <brk id="79" max="16383" man="1"/>
        <brk id="141" max="16383" man="1"/>
      </rowBreaks>
      <pageMargins left="0.75" right="0.67" top="0.5" bottom="0.75" header="0.25" footer="0.5"/>
      <pageSetup scale="57" fitToHeight="3" orientation="landscape" useFirstPageNumber="1" r:id="rId1"/>
      <headerFooter scaleWithDoc="0" alignWithMargins="0">
        <oddHeader>&amp;C&amp;8 Bridge-Scour Envelope Curve Template</oddHeader>
        <oddFooter>&amp;C&amp;A&amp;RPage &amp;P  of  &amp;N</oddFooter>
      </headerFooter>
    </customSheetView>
  </customSheetViews>
  <mergeCells count="83">
    <mergeCell ref="E92:I92"/>
    <mergeCell ref="M92:N92"/>
    <mergeCell ref="M93:N93"/>
    <mergeCell ref="M94:N94"/>
    <mergeCell ref="M95:N95"/>
    <mergeCell ref="J66:M67"/>
    <mergeCell ref="D123:O124"/>
    <mergeCell ref="C142:O144"/>
    <mergeCell ref="D108:O109"/>
    <mergeCell ref="D114:O115"/>
    <mergeCell ref="D119:O120"/>
    <mergeCell ref="D110:O110"/>
    <mergeCell ref="D113:O113"/>
    <mergeCell ref="D129:O129"/>
    <mergeCell ref="E95:I95"/>
    <mergeCell ref="E94:I94"/>
    <mergeCell ref="E93:I93"/>
    <mergeCell ref="J103:K103"/>
    <mergeCell ref="E99:I99"/>
    <mergeCell ref="E98:I98"/>
    <mergeCell ref="D97:I97"/>
    <mergeCell ref="N48:O48"/>
    <mergeCell ref="N56:N57"/>
    <mergeCell ref="N58:N59"/>
    <mergeCell ref="C61:O62"/>
    <mergeCell ref="K48:M48"/>
    <mergeCell ref="L49:M49"/>
    <mergeCell ref="L51:M51"/>
    <mergeCell ref="D56:J57"/>
    <mergeCell ref="D58:J59"/>
    <mergeCell ref="K56:K57"/>
    <mergeCell ref="K58:K59"/>
    <mergeCell ref="L50:M50"/>
    <mergeCell ref="J11:J12"/>
    <mergeCell ref="I11:I12"/>
    <mergeCell ref="F6:G6"/>
    <mergeCell ref="M14:O14"/>
    <mergeCell ref="D164:P167"/>
    <mergeCell ref="N64:N67"/>
    <mergeCell ref="D156:P159"/>
    <mergeCell ref="D160:P163"/>
    <mergeCell ref="D148:P151"/>
    <mergeCell ref="D152:P155"/>
    <mergeCell ref="J89:K89"/>
    <mergeCell ref="M89:N89"/>
    <mergeCell ref="J92:K92"/>
    <mergeCell ref="J93:K93"/>
    <mergeCell ref="J94:K94"/>
    <mergeCell ref="J95:K95"/>
    <mergeCell ref="C2:P2"/>
    <mergeCell ref="C3:P3"/>
    <mergeCell ref="C4:P4"/>
    <mergeCell ref="I6:J6"/>
    <mergeCell ref="I7:J7"/>
    <mergeCell ref="K20:L20"/>
    <mergeCell ref="K22:L22"/>
    <mergeCell ref="K23:L23"/>
    <mergeCell ref="K24:L24"/>
    <mergeCell ref="C30:O31"/>
    <mergeCell ref="K21:L21"/>
    <mergeCell ref="M103:N103"/>
    <mergeCell ref="J98:K98"/>
    <mergeCell ref="M98:N98"/>
    <mergeCell ref="J102:K102"/>
    <mergeCell ref="M102:N102"/>
    <mergeCell ref="J99:K99"/>
    <mergeCell ref="M99:N99"/>
    <mergeCell ref="M15:O15"/>
    <mergeCell ref="E86:I86"/>
    <mergeCell ref="E87:I87"/>
    <mergeCell ref="E88:I88"/>
    <mergeCell ref="E89:I89"/>
    <mergeCell ref="L52:M52"/>
    <mergeCell ref="L53:M53"/>
    <mergeCell ref="J88:K88"/>
    <mergeCell ref="M88:N88"/>
    <mergeCell ref="J86:K86"/>
    <mergeCell ref="J87:K87"/>
    <mergeCell ref="M86:N86"/>
    <mergeCell ref="M87:N87"/>
    <mergeCell ref="J84:K84"/>
    <mergeCell ref="M84:N84"/>
    <mergeCell ref="J64:M65"/>
  </mergeCells>
  <conditionalFormatting sqref="J92 J86:J87 M86:M87 M92:M93">
    <cfRule type="cellIs" dxfId="121" priority="36" stopIfTrue="1" operator="equal">
      <formula>"OUTSIDE RANGE"</formula>
    </cfRule>
  </conditionalFormatting>
  <conditionalFormatting sqref="N100 N90 K100 K90 J89 J98:J99 M98:M99">
    <cfRule type="cellIs" dxfId="120" priority="34" stopIfTrue="1" operator="equal">
      <formula>"CHECK"</formula>
    </cfRule>
  </conditionalFormatting>
  <conditionalFormatting sqref="M14:M15">
    <cfRule type="cellIs" dxfId="119" priority="32" stopIfTrue="1" operator="equal">
      <formula>"DA OUTSIDE RANGE"</formula>
    </cfRule>
  </conditionalFormatting>
  <conditionalFormatting sqref="P14 M14:M15">
    <cfRule type="containsText" dxfId="118" priority="16" operator="containsText" text="DA OUTSIDE RANGE">
      <formula>NOT(ISERROR(SEARCH("DA OUTSIDE RANGE",M14)))</formula>
    </cfRule>
    <cfRule type="containsText" dxfId="117" priority="30" stopIfTrue="1" operator="containsText" text="Caution">
      <formula>NOT(ISERROR(SEARCH("Caution",M14)))</formula>
    </cfRule>
    <cfRule type="cellIs" dxfId="116" priority="31" stopIfTrue="1" operator="equal">
      <formula>"DA IN RANGE"</formula>
    </cfRule>
  </conditionalFormatting>
  <conditionalFormatting sqref="K56 N56 J27">
    <cfRule type="cellIs" dxfId="115" priority="27" stopIfTrue="1" operator="equal">
      <formula>"CAUTION"</formula>
    </cfRule>
    <cfRule type="cellIs" dxfId="114" priority="28" stopIfTrue="1" operator="equal">
      <formula>"OUTSIDE RANGE"</formula>
    </cfRule>
    <cfRule type="cellIs" dxfId="113" priority="29" stopIfTrue="1" operator="equal">
      <formula>"OK"</formula>
    </cfRule>
  </conditionalFormatting>
  <conditionalFormatting sqref="N64:N65">
    <cfRule type="cellIs" dxfId="112" priority="17" stopIfTrue="1" operator="equal">
      <formula>"No"</formula>
    </cfRule>
    <cfRule type="cellIs" dxfId="111" priority="18" stopIfTrue="1" operator="equal">
      <formula>"Yes"</formula>
    </cfRule>
  </conditionalFormatting>
  <conditionalFormatting sqref="J28">
    <cfRule type="cellIs" dxfId="110" priority="13" stopIfTrue="1" operator="equal">
      <formula>"CAUTION"</formula>
    </cfRule>
    <cfRule type="cellIs" dxfId="109" priority="14" stopIfTrue="1" operator="equal">
      <formula>"OUTSIDE RANGE"</formula>
    </cfRule>
    <cfRule type="cellIs" dxfId="108" priority="15" stopIfTrue="1" operator="equal">
      <formula>"OK"</formula>
    </cfRule>
  </conditionalFormatting>
  <conditionalFormatting sqref="K58 N58">
    <cfRule type="cellIs" dxfId="107" priority="10" stopIfTrue="1" operator="equal">
      <formula>"CAUTION"</formula>
    </cfRule>
    <cfRule type="cellIs" dxfId="106" priority="11" stopIfTrue="1" operator="equal">
      <formula>"OUTSIDE RANGE"</formula>
    </cfRule>
    <cfRule type="cellIs" dxfId="105" priority="12" stopIfTrue="1" operator="equal">
      <formula>"OK"</formula>
    </cfRule>
  </conditionalFormatting>
  <conditionalFormatting sqref="J93:J94">
    <cfRule type="cellIs" dxfId="104" priority="8" stopIfTrue="1" operator="equal">
      <formula>"OUTSIDE RANGE"</formula>
    </cfRule>
  </conditionalFormatting>
  <conditionalFormatting sqref="M95 J95">
    <cfRule type="cellIs" dxfId="103" priority="7" stopIfTrue="1" operator="equal">
      <formula>"CHECK"</formula>
    </cfRule>
  </conditionalFormatting>
  <conditionalFormatting sqref="J140">
    <cfRule type="cellIs" dxfId="102" priority="3" operator="equal">
      <formula>"No"</formula>
    </cfRule>
    <cfRule type="cellIs" dxfId="101" priority="5" operator="equal">
      <formula>"Yes"</formula>
    </cfRule>
  </conditionalFormatting>
  <conditionalFormatting sqref="M140">
    <cfRule type="cellIs" dxfId="100" priority="2" operator="equal">
      <formula>"No"</formula>
    </cfRule>
    <cfRule type="cellIs" dxfId="99" priority="4" operator="equal">
      <formula>"Yes"</formula>
    </cfRule>
  </conditionalFormatting>
  <conditionalFormatting sqref="M89">
    <cfRule type="cellIs" dxfId="98" priority="1" stopIfTrue="1" operator="equal">
      <formula>"CHECK"</formula>
    </cfRule>
  </conditionalFormatting>
  <dataValidations count="5">
    <dataValidation type="list" allowBlank="1" showInputMessage="1" showErrorMessage="1" sqref="M136">
      <formula1>$T$139:$T$140</formula1>
    </dataValidation>
    <dataValidation type="list" allowBlank="1" showInputMessage="1" showErrorMessage="1" sqref="J88:K88 M88:N88">
      <formula1>$S$88:$S$90</formula1>
    </dataValidation>
    <dataValidation type="list" allowBlank="1" showInputMessage="1" showErrorMessage="1" sqref="J94:K94 M94:N94">
      <formula1>$S$94:$S$96</formula1>
    </dataValidation>
    <dataValidation type="list" allowBlank="1" showInputMessage="1" showErrorMessage="1" sqref="J98:K98 M98:N98">
      <formula1>$S$98:$S$100</formula1>
    </dataValidation>
    <dataValidation type="list" allowBlank="1" showInputMessage="1" showErrorMessage="1" sqref="J136">
      <formula1>$T$139:$T$140</formula1>
    </dataValidation>
  </dataValidations>
  <pageMargins left="0.75" right="0.67" top="0.5" bottom="0.75" header="0.25" footer="0.5"/>
  <pageSetup scale="57" fitToHeight="3" orientation="landscape" useFirstPageNumber="1" r:id="rId2"/>
  <headerFooter scaleWithDoc="0" alignWithMargins="0">
    <oddHeader>&amp;C&amp;8 Bridge-Scour Envelope Curve Template</oddHeader>
    <oddFooter>&amp;C&amp;A&amp;RPage &amp;P  of  &amp;N</oddFooter>
  </headerFooter>
  <rowBreaks count="3" manualBreakCount="3">
    <brk id="45" max="16383" man="1"/>
    <brk id="81" max="16383" man="1"/>
    <brk id="145" max="16383" man="1"/>
  </rowBreak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B1:V84"/>
  <sheetViews>
    <sheetView zoomScaleNormal="100" workbookViewId="0">
      <pane ySplit="13" topLeftCell="A14" activePane="bottomLeft" state="frozen"/>
      <selection activeCell="L34" sqref="L34"/>
      <selection pane="bottomLeft" activeCell="B2" sqref="B2"/>
    </sheetView>
  </sheetViews>
  <sheetFormatPr defaultColWidth="9.140625" defaultRowHeight="12.75" x14ac:dyDescent="0.2"/>
  <cols>
    <col min="1" max="1" width="2.140625" style="171" customWidth="1"/>
    <col min="2" max="2" width="4.7109375" style="387" customWidth="1"/>
    <col min="3" max="4" width="9.140625" style="171" customWidth="1"/>
    <col min="5" max="5" width="14.140625" style="171" customWidth="1"/>
    <col min="6" max="6" width="12" style="171" customWidth="1"/>
    <col min="7" max="7" width="10.85546875" style="171" customWidth="1"/>
    <col min="8" max="8" width="10.28515625" style="171" customWidth="1"/>
    <col min="9" max="9" width="20" style="171" customWidth="1"/>
    <col min="10" max="10" width="17.85546875" style="171" customWidth="1"/>
    <col min="11" max="11" width="16.140625" style="171" customWidth="1"/>
    <col min="12" max="12" width="18.28515625" style="171" customWidth="1"/>
    <col min="13" max="13" width="13.85546875" style="171" customWidth="1"/>
    <col min="14" max="14" width="19.7109375" style="171" customWidth="1"/>
    <col min="15" max="15" width="15.28515625" style="171" customWidth="1"/>
    <col min="16" max="16" width="3.7109375" style="563" customWidth="1"/>
    <col min="17" max="17" width="9.140625" style="171"/>
    <col min="18" max="18" width="9.140625" style="171" hidden="1" customWidth="1"/>
    <col min="19" max="19" width="12.85546875" style="171" hidden="1" customWidth="1"/>
    <col min="20" max="21" width="9.140625" style="171" hidden="1" customWidth="1"/>
    <col min="22" max="16384" width="9.140625" style="171"/>
  </cols>
  <sheetData>
    <row r="1" spans="2:21" ht="13.5" thickBot="1" x14ac:dyDescent="0.25"/>
    <row r="2" spans="2:21" ht="20.25" x14ac:dyDescent="0.3">
      <c r="B2" s="169"/>
      <c r="C2" s="960" t="s">
        <v>408</v>
      </c>
      <c r="D2" s="960"/>
      <c r="E2" s="960"/>
      <c r="F2" s="960"/>
      <c r="G2" s="960"/>
      <c r="H2" s="960"/>
      <c r="I2" s="960"/>
      <c r="J2" s="960"/>
      <c r="K2" s="960"/>
      <c r="L2" s="960"/>
      <c r="M2" s="960"/>
      <c r="N2" s="960"/>
      <c r="O2" s="960"/>
      <c r="P2" s="369">
        <v>1</v>
      </c>
      <c r="Q2" s="397"/>
    </row>
    <row r="3" spans="2:21" ht="18" x14ac:dyDescent="0.25">
      <c r="B3" s="397"/>
      <c r="C3" s="961" t="s">
        <v>433</v>
      </c>
      <c r="D3" s="961"/>
      <c r="E3" s="961"/>
      <c r="F3" s="961"/>
      <c r="G3" s="961"/>
      <c r="H3" s="961"/>
      <c r="I3" s="961"/>
      <c r="J3" s="961"/>
      <c r="K3" s="961"/>
      <c r="L3" s="961"/>
      <c r="M3" s="961"/>
      <c r="N3" s="961"/>
      <c r="O3" s="961"/>
      <c r="P3" s="304"/>
      <c r="Q3" s="397"/>
    </row>
    <row r="4" spans="2:21" ht="18" x14ac:dyDescent="0.25">
      <c r="B4" s="397"/>
      <c r="C4" s="962" t="s">
        <v>405</v>
      </c>
      <c r="D4" s="962"/>
      <c r="E4" s="962"/>
      <c r="F4" s="962"/>
      <c r="G4" s="962"/>
      <c r="H4" s="962"/>
      <c r="I4" s="962"/>
      <c r="J4" s="962"/>
      <c r="K4" s="962"/>
      <c r="L4" s="962"/>
      <c r="M4" s="962"/>
      <c r="N4" s="962"/>
      <c r="O4" s="962"/>
      <c r="P4" s="304"/>
      <c r="Q4" s="397"/>
      <c r="R4" s="173" t="s">
        <v>73</v>
      </c>
    </row>
    <row r="5" spans="2:21" s="175" customFormat="1" x14ac:dyDescent="0.2">
      <c r="B5" s="159"/>
      <c r="C5" s="390"/>
      <c r="D5" s="383"/>
      <c r="E5" s="383"/>
      <c r="F5" s="383"/>
      <c r="G5" s="383"/>
      <c r="H5" s="383"/>
      <c r="I5" s="383"/>
      <c r="J5" s="383"/>
      <c r="K5" s="383"/>
      <c r="L5" s="383"/>
      <c r="M5" s="383"/>
      <c r="N5" s="383"/>
      <c r="O5" s="383"/>
      <c r="P5" s="304"/>
      <c r="Q5" s="159"/>
      <c r="S5" s="174" t="s">
        <v>21</v>
      </c>
      <c r="T5" s="174" t="s">
        <v>26</v>
      </c>
    </row>
    <row r="6" spans="2:21" s="175" customFormat="1" x14ac:dyDescent="0.2">
      <c r="B6" s="159"/>
      <c r="C6" s="383"/>
      <c r="D6" s="390" t="s">
        <v>0</v>
      </c>
      <c r="E6" s="383"/>
      <c r="F6" s="963">
        <f>'Site Info'!E6</f>
        <v>0</v>
      </c>
      <c r="G6" s="968"/>
      <c r="H6" s="390" t="s">
        <v>2</v>
      </c>
      <c r="I6" s="963">
        <f>'Site Info'!I6</f>
        <v>0</v>
      </c>
      <c r="J6" s="964"/>
      <c r="K6" s="383"/>
      <c r="L6" s="390" t="s">
        <v>32</v>
      </c>
      <c r="M6" s="788">
        <f>'Site Info'!N6</f>
        <v>0</v>
      </c>
      <c r="N6" s="383"/>
      <c r="O6" s="579"/>
      <c r="P6" s="304"/>
      <c r="Q6" s="159"/>
      <c r="R6" s="174" t="s">
        <v>66</v>
      </c>
      <c r="S6" s="58">
        <v>26.3</v>
      </c>
      <c r="T6" s="58">
        <v>11</v>
      </c>
      <c r="U6" s="175" t="s">
        <v>68</v>
      </c>
    </row>
    <row r="7" spans="2:21" s="175" customFormat="1" x14ac:dyDescent="0.2">
      <c r="B7" s="159"/>
      <c r="C7" s="383"/>
      <c r="D7" s="390" t="s">
        <v>1</v>
      </c>
      <c r="E7" s="383"/>
      <c r="F7" s="756">
        <f>'Site Info'!E7</f>
        <v>0</v>
      </c>
      <c r="G7" s="383"/>
      <c r="H7" s="390" t="s">
        <v>3</v>
      </c>
      <c r="I7" s="963">
        <f>'Site Info'!I7</f>
        <v>0</v>
      </c>
      <c r="J7" s="964"/>
      <c r="K7" s="383"/>
      <c r="L7" s="383"/>
      <c r="M7" s="383"/>
      <c r="N7" s="382"/>
      <c r="O7" s="383"/>
      <c r="P7" s="304"/>
      <c r="Q7" s="159"/>
      <c r="R7" s="174" t="s">
        <v>67</v>
      </c>
      <c r="S7" s="58">
        <v>13000</v>
      </c>
      <c r="T7" s="58">
        <v>1620</v>
      </c>
      <c r="U7" s="175" t="s">
        <v>68</v>
      </c>
    </row>
    <row r="8" spans="2:21" s="175" customFormat="1" x14ac:dyDescent="0.2">
      <c r="B8" s="159"/>
      <c r="C8" s="383"/>
      <c r="D8" s="383"/>
      <c r="E8" s="383"/>
      <c r="F8" s="383"/>
      <c r="G8" s="383"/>
      <c r="H8" s="383"/>
      <c r="I8" s="383"/>
      <c r="J8" s="383"/>
      <c r="K8" s="383"/>
      <c r="L8" s="390" t="s">
        <v>42</v>
      </c>
      <c r="M8" s="58">
        <f>'Site Info'!N9</f>
        <v>0</v>
      </c>
      <c r="N8" s="390" t="s">
        <v>7</v>
      </c>
      <c r="O8" s="383"/>
      <c r="P8" s="304"/>
      <c r="Q8" s="159"/>
      <c r="R8" s="674" t="s">
        <v>69</v>
      </c>
      <c r="S8" s="673">
        <v>1420</v>
      </c>
      <c r="T8" s="673">
        <v>400</v>
      </c>
      <c r="U8" s="674" t="s">
        <v>68</v>
      </c>
    </row>
    <row r="9" spans="2:21" s="175" customFormat="1" x14ac:dyDescent="0.2">
      <c r="B9" s="159"/>
      <c r="C9" s="383"/>
      <c r="D9" s="390" t="s">
        <v>6</v>
      </c>
      <c r="E9" s="383"/>
      <c r="F9" s="788">
        <f>'Site Info'!G9</f>
        <v>0</v>
      </c>
      <c r="G9" s="579"/>
      <c r="H9" s="383"/>
      <c r="I9" s="368" t="s">
        <v>34</v>
      </c>
      <c r="J9" s="58">
        <f>'Site Info'!J9</f>
        <v>0</v>
      </c>
      <c r="K9" s="383"/>
      <c r="L9" s="383"/>
      <c r="M9" s="383"/>
      <c r="N9" s="390"/>
      <c r="O9" s="383"/>
      <c r="P9" s="304"/>
      <c r="Q9" s="159"/>
      <c r="S9" s="175" t="s">
        <v>70</v>
      </c>
    </row>
    <row r="10" spans="2:21" s="175" customFormat="1" x14ac:dyDescent="0.2">
      <c r="B10" s="159"/>
      <c r="C10" s="383"/>
      <c r="D10" s="390"/>
      <c r="E10" s="383"/>
      <c r="F10" s="590"/>
      <c r="G10" s="590"/>
      <c r="H10" s="383"/>
      <c r="I10" s="367" t="s">
        <v>275</v>
      </c>
      <c r="J10" s="58">
        <f>'Site Info'!J10</f>
        <v>0</v>
      </c>
      <c r="K10" s="383"/>
      <c r="L10" s="390" t="s">
        <v>57</v>
      </c>
      <c r="M10" s="58">
        <f>'Site Info'!N11</f>
        <v>0</v>
      </c>
      <c r="N10" s="390" t="s">
        <v>58</v>
      </c>
      <c r="O10" s="383"/>
      <c r="P10" s="304"/>
      <c r="Q10" s="159"/>
      <c r="S10" s="175" t="s">
        <v>71</v>
      </c>
    </row>
    <row r="11" spans="2:21" s="175" customFormat="1" x14ac:dyDescent="0.2">
      <c r="B11" s="159"/>
      <c r="C11" s="383"/>
      <c r="D11" s="390" t="s">
        <v>90</v>
      </c>
      <c r="E11" s="383"/>
      <c r="F11" s="58">
        <f>'Site Info'!E11</f>
        <v>0</v>
      </c>
      <c r="G11" s="395" t="s">
        <v>92</v>
      </c>
      <c r="H11" s="383"/>
      <c r="I11" s="1002" t="s">
        <v>289</v>
      </c>
      <c r="J11" s="1001">
        <f>'Site Info'!J11</f>
        <v>0</v>
      </c>
      <c r="K11" s="383"/>
      <c r="L11" s="390"/>
      <c r="M11" s="382"/>
      <c r="N11" s="383"/>
      <c r="O11" s="383"/>
      <c r="P11" s="304"/>
      <c r="Q11" s="159"/>
    </row>
    <row r="12" spans="2:21" s="175" customFormat="1" x14ac:dyDescent="0.2">
      <c r="B12" s="159"/>
      <c r="C12" s="383"/>
      <c r="D12" s="390" t="s">
        <v>91</v>
      </c>
      <c r="E12" s="383"/>
      <c r="F12" s="58">
        <f>'Site Info'!E12</f>
        <v>0</v>
      </c>
      <c r="G12" s="395" t="s">
        <v>92</v>
      </c>
      <c r="H12" s="383"/>
      <c r="I12" s="1002"/>
      <c r="J12" s="1001"/>
      <c r="K12" s="383"/>
      <c r="L12" s="176" t="s">
        <v>85</v>
      </c>
      <c r="M12" s="935" t="str">
        <f>IF(AND(F9="Coastal Plain",M10&lt;S6),"DA OUTSIDE RANGE (Below)",IF(AND(F9="Coastal Plain",M10&gt;S7),"DA OUTSIDE RANGE (Above)",IF(AND(F9="Coastal Plain",M10&lt;=S7,M10&gt;S8),S9,IF(AND(F9="Piedmont",M10&lt;T6),"DA OUTSIDE RANGE (Below)",IF(AND(F9="Piedmont",M10&gt;T7),"DA OUTSIDE RANGE (Above)",IF(AND(F9="Piedmont",M10&lt;=T7,M10&gt;T8),S10,"DA IN RANGE"))))))</f>
        <v>DA IN RANGE</v>
      </c>
      <c r="N12" s="935"/>
      <c r="O12" s="935"/>
      <c r="P12" s="304"/>
      <c r="Q12" s="159"/>
    </row>
    <row r="13" spans="2:21" s="175" customFormat="1" ht="13.5" thickBot="1" x14ac:dyDescent="0.25">
      <c r="B13" s="301"/>
      <c r="C13" s="178"/>
      <c r="D13" s="203"/>
      <c r="E13" s="203"/>
      <c r="F13" s="601"/>
      <c r="G13" s="601"/>
      <c r="H13" s="203"/>
      <c r="I13" s="203"/>
      <c r="J13" s="203"/>
      <c r="K13" s="203"/>
      <c r="L13" s="203"/>
      <c r="M13" s="203"/>
      <c r="N13" s="203"/>
      <c r="O13" s="203"/>
      <c r="P13" s="564"/>
      <c r="Q13" s="159"/>
    </row>
    <row r="14" spans="2:21" s="175" customFormat="1" x14ac:dyDescent="0.2">
      <c r="B14" s="597"/>
      <c r="C14" s="200"/>
      <c r="D14" s="559"/>
      <c r="E14" s="559"/>
      <c r="F14" s="609"/>
      <c r="G14" s="609"/>
      <c r="H14" s="559"/>
      <c r="I14" s="559"/>
      <c r="J14" s="559"/>
      <c r="K14" s="559"/>
      <c r="L14" s="559"/>
      <c r="M14" s="559"/>
      <c r="N14" s="559"/>
      <c r="O14" s="559"/>
      <c r="P14" s="369"/>
      <c r="Q14" s="159"/>
    </row>
    <row r="15" spans="2:21" s="173" customFormat="1" ht="15.75" x14ac:dyDescent="0.25">
      <c r="B15" s="583"/>
      <c r="C15" s="604" t="s">
        <v>606</v>
      </c>
      <c r="D15" s="604"/>
      <c r="E15" s="604"/>
      <c r="F15" s="604"/>
      <c r="G15" s="604"/>
      <c r="H15" s="604"/>
      <c r="I15" s="604"/>
      <c r="J15" s="604"/>
      <c r="K15" s="604"/>
      <c r="L15" s="604"/>
      <c r="M15" s="604"/>
      <c r="N15" s="604"/>
      <c r="O15" s="604"/>
      <c r="P15" s="561"/>
      <c r="Q15" s="583"/>
    </row>
    <row r="16" spans="2:21" s="182" customFormat="1" ht="13.5" customHeight="1" x14ac:dyDescent="0.25">
      <c r="B16" s="181"/>
      <c r="C16" s="390"/>
      <c r="D16" s="390"/>
      <c r="E16" s="390"/>
      <c r="F16" s="390"/>
      <c r="G16" s="390"/>
      <c r="H16" s="387"/>
      <c r="I16" s="531"/>
      <c r="J16" s="387"/>
      <c r="K16" s="390"/>
      <c r="L16" s="390"/>
      <c r="M16" s="390"/>
      <c r="N16" s="390"/>
      <c r="O16" s="390"/>
      <c r="P16" s="304"/>
      <c r="Q16" s="181"/>
    </row>
    <row r="17" spans="2:17" s="182" customFormat="1" x14ac:dyDescent="0.2">
      <c r="B17" s="181"/>
      <c r="C17" s="390"/>
      <c r="D17" s="390"/>
      <c r="E17" s="390"/>
      <c r="F17" s="383"/>
      <c r="G17" s="387"/>
      <c r="H17" s="387"/>
      <c r="I17" s="606" t="s">
        <v>607</v>
      </c>
      <c r="J17" s="889" t="s">
        <v>249</v>
      </c>
      <c r="K17" s="889"/>
      <c r="L17" s="390"/>
      <c r="M17" s="390"/>
      <c r="N17" s="383"/>
      <c r="O17" s="390"/>
      <c r="P17" s="304"/>
      <c r="Q17" s="181"/>
    </row>
    <row r="18" spans="2:17" x14ac:dyDescent="0.2">
      <c r="B18" s="397"/>
      <c r="C18" s="390"/>
      <c r="D18" s="390" t="s">
        <v>608</v>
      </c>
      <c r="E18" s="390"/>
      <c r="F18" s="387"/>
      <c r="G18" s="387"/>
      <c r="H18" s="387"/>
      <c r="I18" s="783" t="str">
        <f>'Site Info'!I99</f>
        <v>No Data</v>
      </c>
      <c r="J18" s="959" t="str">
        <f>'Site Info'!J99</f>
        <v>No Data</v>
      </c>
      <c r="K18" s="959"/>
      <c r="L18" s="387"/>
      <c r="M18" s="387"/>
      <c r="N18" s="387"/>
      <c r="O18" s="387"/>
      <c r="P18" s="304"/>
      <c r="Q18" s="397"/>
    </row>
    <row r="19" spans="2:17" x14ac:dyDescent="0.2">
      <c r="B19" s="397"/>
      <c r="C19" s="390"/>
      <c r="D19" s="390" t="s">
        <v>609</v>
      </c>
      <c r="E19" s="390"/>
      <c r="F19" s="387"/>
      <c r="G19" s="387"/>
      <c r="H19" s="387"/>
      <c r="I19" s="783" t="str">
        <f>'Site Info'!I100</f>
        <v>No Data</v>
      </c>
      <c r="J19" s="959" t="str">
        <f>'Site Info'!J100</f>
        <v>No Data</v>
      </c>
      <c r="K19" s="959"/>
      <c r="L19" s="387"/>
      <c r="M19" s="387"/>
      <c r="N19" s="387"/>
      <c r="O19" s="387"/>
      <c r="P19" s="304"/>
      <c r="Q19" s="397"/>
    </row>
    <row r="20" spans="2:17" x14ac:dyDescent="0.2">
      <c r="B20" s="397"/>
      <c r="C20" s="390"/>
      <c r="D20" s="390" t="s">
        <v>610</v>
      </c>
      <c r="E20" s="390"/>
      <c r="F20" s="387"/>
      <c r="G20" s="387"/>
      <c r="H20" s="387"/>
      <c r="I20" s="783" t="str">
        <f>'Site Info'!I101</f>
        <v>No Data</v>
      </c>
      <c r="J20" s="959" t="str">
        <f>'Site Info'!J101</f>
        <v>No Data</v>
      </c>
      <c r="K20" s="959"/>
      <c r="L20" s="387"/>
      <c r="M20" s="387"/>
      <c r="N20" s="387"/>
      <c r="O20" s="387"/>
      <c r="P20" s="304"/>
      <c r="Q20" s="397"/>
    </row>
    <row r="21" spans="2:17" x14ac:dyDescent="0.2">
      <c r="B21" s="397"/>
      <c r="C21" s="390"/>
      <c r="D21" s="390" t="s">
        <v>611</v>
      </c>
      <c r="E21" s="390"/>
      <c r="F21" s="387"/>
      <c r="G21" s="387"/>
      <c r="H21" s="387"/>
      <c r="I21" s="783" t="str">
        <f>'Site Info'!I102</f>
        <v>No Data</v>
      </c>
      <c r="J21" s="959" t="str">
        <f>'Site Info'!J102</f>
        <v>No Data</v>
      </c>
      <c r="K21" s="959"/>
      <c r="L21" s="387"/>
      <c r="M21" s="387"/>
      <c r="N21" s="387"/>
      <c r="O21" s="387"/>
      <c r="P21" s="304"/>
      <c r="Q21" s="397"/>
    </row>
    <row r="22" spans="2:17" x14ac:dyDescent="0.2">
      <c r="B22" s="397"/>
      <c r="C22" s="390"/>
      <c r="D22" s="68" t="s">
        <v>612</v>
      </c>
      <c r="E22" s="387"/>
      <c r="F22" s="387"/>
      <c r="G22" s="387"/>
      <c r="H22" s="387"/>
      <c r="I22" s="783" t="str">
        <f>'Site Info'!I103</f>
        <v>No Data</v>
      </c>
      <c r="J22" s="387"/>
      <c r="K22" s="387"/>
      <c r="L22" s="387"/>
      <c r="M22" s="387"/>
      <c r="N22" s="387"/>
      <c r="O22" s="387"/>
      <c r="P22" s="304"/>
      <c r="Q22" s="397"/>
    </row>
    <row r="23" spans="2:17" x14ac:dyDescent="0.2">
      <c r="B23" s="397"/>
      <c r="C23" s="390"/>
      <c r="D23" s="386" t="s">
        <v>630</v>
      </c>
      <c r="E23" s="387"/>
      <c r="F23" s="387"/>
      <c r="G23" s="387"/>
      <c r="H23" s="387"/>
      <c r="I23" s="780" t="str">
        <f>EQUATIONS!F142</f>
        <v>OUTSIDE RANGE</v>
      </c>
      <c r="J23" s="387"/>
      <c r="K23" s="387"/>
      <c r="L23" s="387"/>
      <c r="M23" s="387"/>
      <c r="N23" s="387"/>
      <c r="O23" s="387"/>
      <c r="P23" s="304"/>
      <c r="Q23" s="387"/>
    </row>
    <row r="24" spans="2:17" x14ac:dyDescent="0.2">
      <c r="B24" s="397"/>
      <c r="C24" s="390"/>
      <c r="D24" s="387"/>
      <c r="E24" s="387"/>
      <c r="F24" s="390"/>
      <c r="G24" s="387"/>
      <c r="H24" s="387"/>
      <c r="I24" s="387"/>
      <c r="J24" s="64"/>
      <c r="K24" s="387"/>
      <c r="L24" s="387"/>
      <c r="M24" s="387"/>
      <c r="N24" s="387"/>
      <c r="O24" s="387"/>
      <c r="P24" s="304"/>
      <c r="Q24" s="387"/>
    </row>
    <row r="25" spans="2:17" x14ac:dyDescent="0.2">
      <c r="B25" s="397"/>
      <c r="C25" s="183" t="s">
        <v>469</v>
      </c>
      <c r="D25" s="383" t="s">
        <v>379</v>
      </c>
      <c r="F25" s="387"/>
      <c r="G25" s="387"/>
      <c r="H25" s="751"/>
      <c r="I25" s="752"/>
      <c r="J25" s="751"/>
      <c r="K25" s="387"/>
      <c r="L25" s="387"/>
      <c r="M25" s="387"/>
      <c r="N25" s="387"/>
      <c r="O25" s="387"/>
      <c r="P25" s="574"/>
    </row>
    <row r="26" spans="2:17" ht="15" customHeight="1" x14ac:dyDescent="0.2">
      <c r="B26" s="397"/>
      <c r="D26" s="383" t="s">
        <v>378</v>
      </c>
      <c r="F26" s="387"/>
      <c r="G26" s="387"/>
      <c r="H26" s="751"/>
      <c r="I26" s="752"/>
      <c r="J26" s="751"/>
      <c r="K26" s="387"/>
      <c r="L26" s="387"/>
      <c r="M26" s="387"/>
      <c r="N26" s="387"/>
      <c r="O26" s="387"/>
      <c r="P26" s="574"/>
    </row>
    <row r="27" spans="2:17" x14ac:dyDescent="0.2">
      <c r="B27" s="397"/>
      <c r="D27" s="383" t="s">
        <v>380</v>
      </c>
      <c r="F27" s="390"/>
      <c r="G27" s="387"/>
      <c r="H27" s="387"/>
      <c r="I27" s="387"/>
      <c r="J27" s="64"/>
      <c r="K27" s="387"/>
      <c r="L27" s="387"/>
      <c r="M27" s="387"/>
      <c r="N27" s="387"/>
      <c r="O27" s="387"/>
      <c r="P27" s="304"/>
      <c r="Q27" s="387"/>
    </row>
    <row r="28" spans="2:17" x14ac:dyDescent="0.2">
      <c r="B28" s="397"/>
      <c r="D28" s="387"/>
      <c r="F28" s="390"/>
      <c r="G28" s="387"/>
      <c r="H28" s="387"/>
      <c r="I28" s="387"/>
      <c r="J28" s="64"/>
      <c r="K28" s="387"/>
      <c r="L28" s="387"/>
      <c r="M28" s="387"/>
      <c r="N28" s="387"/>
      <c r="O28" s="387"/>
      <c r="P28" s="304"/>
      <c r="Q28" s="387"/>
    </row>
    <row r="29" spans="2:17" s="175" customFormat="1" x14ac:dyDescent="0.2">
      <c r="B29" s="159"/>
      <c r="C29" s="977" t="s">
        <v>615</v>
      </c>
      <c r="D29" s="977"/>
      <c r="E29" s="977"/>
      <c r="F29" s="977"/>
      <c r="G29" s="977"/>
      <c r="H29" s="977"/>
      <c r="I29" s="977"/>
      <c r="J29" s="977"/>
      <c r="K29" s="977"/>
      <c r="L29" s="977"/>
      <c r="M29" s="977"/>
      <c r="N29" s="977"/>
      <c r="O29" s="977"/>
      <c r="P29" s="582"/>
      <c r="Q29" s="159"/>
    </row>
    <row r="30" spans="2:17" x14ac:dyDescent="0.2">
      <c r="B30" s="397"/>
      <c r="C30" s="977"/>
      <c r="D30" s="977"/>
      <c r="E30" s="977"/>
      <c r="F30" s="977"/>
      <c r="G30" s="977"/>
      <c r="H30" s="977"/>
      <c r="I30" s="977"/>
      <c r="J30" s="977"/>
      <c r="K30" s="977"/>
      <c r="L30" s="977"/>
      <c r="M30" s="977"/>
      <c r="N30" s="977"/>
      <c r="O30" s="977"/>
      <c r="P30" s="304"/>
      <c r="Q30" s="397"/>
    </row>
    <row r="31" spans="2:17" s="387" customFormat="1" x14ac:dyDescent="0.2">
      <c r="B31" s="397"/>
      <c r="P31" s="304"/>
      <c r="Q31" s="397"/>
    </row>
    <row r="32" spans="2:17" ht="15.75" x14ac:dyDescent="0.25">
      <c r="B32" s="397"/>
      <c r="C32" s="507" t="s">
        <v>451</v>
      </c>
      <c r="E32" s="387"/>
      <c r="F32" s="387"/>
      <c r="G32" s="387"/>
      <c r="H32" s="387"/>
      <c r="I32" s="387"/>
      <c r="J32" s="387"/>
      <c r="K32" s="387"/>
      <c r="L32" s="387"/>
      <c r="M32" s="387"/>
      <c r="N32" s="387"/>
      <c r="O32" s="387"/>
      <c r="P32" s="304"/>
      <c r="Q32" s="397"/>
    </row>
    <row r="33" spans="2:20" ht="15.75" x14ac:dyDescent="0.25">
      <c r="B33" s="397"/>
      <c r="C33" s="390" t="s">
        <v>510</v>
      </c>
      <c r="D33" s="220"/>
      <c r="E33" s="387"/>
      <c r="F33" s="387"/>
      <c r="G33" s="387"/>
      <c r="H33" s="387"/>
      <c r="I33" s="387"/>
      <c r="J33" s="387"/>
      <c r="K33" s="387"/>
      <c r="L33" s="387"/>
      <c r="M33" s="387"/>
      <c r="N33" s="387"/>
      <c r="O33" s="387"/>
      <c r="P33" s="304"/>
      <c r="Q33" s="397"/>
    </row>
    <row r="34" spans="2:20" s="182" customFormat="1" x14ac:dyDescent="0.2">
      <c r="B34" s="181"/>
      <c r="D34" s="383" t="s">
        <v>625</v>
      </c>
      <c r="F34" s="390"/>
      <c r="G34" s="390"/>
      <c r="H34" s="390"/>
      <c r="I34" s="390"/>
      <c r="J34" s="390"/>
      <c r="K34" s="390"/>
      <c r="L34" s="390"/>
      <c r="M34" s="390"/>
      <c r="N34" s="390"/>
      <c r="O34" s="390"/>
      <c r="P34" s="304"/>
      <c r="Q34" s="181"/>
    </row>
    <row r="35" spans="2:20" s="182" customFormat="1" x14ac:dyDescent="0.2">
      <c r="B35" s="181"/>
      <c r="D35" s="383" t="s">
        <v>626</v>
      </c>
      <c r="F35" s="390"/>
      <c r="G35" s="390"/>
      <c r="H35" s="390"/>
      <c r="I35" s="390"/>
      <c r="J35" s="390"/>
      <c r="K35" s="390"/>
      <c r="L35" s="390"/>
      <c r="M35" s="390"/>
      <c r="N35" s="390"/>
      <c r="O35" s="390"/>
      <c r="P35" s="304"/>
      <c r="Q35" s="181"/>
    </row>
    <row r="36" spans="2:20" s="182" customFormat="1" x14ac:dyDescent="0.2">
      <c r="B36" s="181"/>
      <c r="D36" s="383" t="s">
        <v>627</v>
      </c>
      <c r="F36" s="390"/>
      <c r="G36" s="390"/>
      <c r="H36" s="390"/>
      <c r="I36" s="390"/>
      <c r="J36" s="390"/>
      <c r="K36" s="390"/>
      <c r="L36" s="390"/>
      <c r="M36" s="390"/>
      <c r="N36" s="390"/>
      <c r="O36" s="390"/>
      <c r="P36" s="304"/>
      <c r="Q36" s="181"/>
    </row>
    <row r="37" spans="2:20" s="387" customFormat="1" ht="13.5" thickBot="1" x14ac:dyDescent="0.25">
      <c r="B37" s="177"/>
      <c r="C37" s="62"/>
      <c r="D37" s="62"/>
      <c r="E37" s="62"/>
      <c r="F37" s="62"/>
      <c r="G37" s="62"/>
      <c r="H37" s="62"/>
      <c r="I37" s="62"/>
      <c r="J37" s="62"/>
      <c r="K37" s="62"/>
      <c r="L37" s="62"/>
      <c r="M37" s="62"/>
      <c r="N37" s="62"/>
      <c r="O37" s="62"/>
      <c r="P37" s="564"/>
      <c r="Q37" s="397"/>
    </row>
    <row r="38" spans="2:20" x14ac:dyDescent="0.2">
      <c r="B38" s="169"/>
      <c r="C38" s="158"/>
      <c r="D38" s="200"/>
      <c r="E38" s="158"/>
      <c r="F38" s="158"/>
      <c r="G38" s="158"/>
      <c r="H38" s="158"/>
      <c r="I38" s="200"/>
      <c r="J38" s="158"/>
      <c r="K38" s="200"/>
      <c r="L38" s="158"/>
      <c r="M38" s="158"/>
      <c r="N38" s="158"/>
      <c r="O38" s="158"/>
      <c r="P38" s="369"/>
      <c r="Q38" s="181"/>
    </row>
    <row r="39" spans="2:20" s="608" customFormat="1" ht="15.75" x14ac:dyDescent="0.25">
      <c r="B39" s="607"/>
      <c r="C39" s="604" t="s">
        <v>431</v>
      </c>
      <c r="D39" s="604"/>
      <c r="E39" s="604"/>
      <c r="F39" s="604"/>
      <c r="G39" s="604"/>
      <c r="H39" s="604"/>
      <c r="I39" s="604"/>
      <c r="J39" s="604"/>
      <c r="K39" s="604"/>
      <c r="L39" s="604"/>
      <c r="M39" s="604"/>
      <c r="N39" s="604"/>
      <c r="O39" s="604"/>
      <c r="P39" s="561"/>
      <c r="Q39" s="583"/>
    </row>
    <row r="40" spans="2:20" x14ac:dyDescent="0.2">
      <c r="B40" s="397"/>
      <c r="C40" s="387"/>
      <c r="D40" s="390"/>
      <c r="E40" s="387"/>
      <c r="F40" s="387"/>
      <c r="G40" s="387"/>
      <c r="H40" s="387"/>
      <c r="I40" s="387"/>
      <c r="J40" s="387"/>
      <c r="K40" s="390"/>
      <c r="L40" s="387"/>
      <c r="M40" s="387"/>
      <c r="N40" s="387"/>
      <c r="O40" s="390"/>
      <c r="P40" s="304"/>
      <c r="Q40" s="390"/>
    </row>
    <row r="41" spans="2:20" s="387" customFormat="1" ht="15.75" x14ac:dyDescent="0.25">
      <c r="B41" s="397"/>
      <c r="D41" s="390"/>
      <c r="I41" s="390"/>
      <c r="K41" s="399" t="s">
        <v>18</v>
      </c>
      <c r="L41" s="66"/>
      <c r="M41" s="399" t="s">
        <v>19</v>
      </c>
      <c r="N41" s="390"/>
      <c r="P41" s="304"/>
      <c r="Q41" s="390"/>
    </row>
    <row r="42" spans="2:20" s="383" customFormat="1" x14ac:dyDescent="0.2">
      <c r="B42" s="159"/>
      <c r="D42" s="390" t="s">
        <v>547</v>
      </c>
      <c r="L42" s="390"/>
      <c r="N42" s="390"/>
      <c r="P42" s="304"/>
      <c r="Q42" s="390"/>
    </row>
    <row r="43" spans="2:20" s="383" customFormat="1" x14ac:dyDescent="0.2">
      <c r="B43" s="159"/>
      <c r="E43" s="383" t="s">
        <v>628</v>
      </c>
      <c r="K43" s="610" t="str">
        <f>EQUATIONS!F140</f>
        <v>N/A</v>
      </c>
      <c r="L43" s="390" t="s">
        <v>7</v>
      </c>
      <c r="M43" s="610" t="str">
        <f>EQUATIONS!H140</f>
        <v>N/A</v>
      </c>
      <c r="N43" s="390" t="s">
        <v>7</v>
      </c>
      <c r="P43" s="304"/>
      <c r="Q43" s="390"/>
    </row>
    <row r="44" spans="2:20" s="383" customFormat="1" x14ac:dyDescent="0.2">
      <c r="B44" s="159"/>
      <c r="E44" s="390"/>
      <c r="K44" s="611"/>
      <c r="L44" s="390"/>
      <c r="M44" s="611"/>
      <c r="N44" s="390"/>
      <c r="P44" s="304"/>
      <c r="Q44" s="390"/>
    </row>
    <row r="45" spans="2:20" s="175" customFormat="1" x14ac:dyDescent="0.2">
      <c r="B45" s="159"/>
      <c r="C45" s="383"/>
      <c r="D45" s="979" t="s">
        <v>406</v>
      </c>
      <c r="E45" s="979"/>
      <c r="F45" s="979"/>
      <c r="G45" s="979"/>
      <c r="H45" s="979"/>
      <c r="I45" s="979"/>
      <c r="J45" s="979"/>
      <c r="K45" s="511" t="str">
        <f>K43</f>
        <v>N/A</v>
      </c>
      <c r="L45" s="390" t="s">
        <v>7</v>
      </c>
      <c r="M45" s="511" t="str">
        <f>M43</f>
        <v>N/A</v>
      </c>
      <c r="N45" s="390" t="s">
        <v>7</v>
      </c>
      <c r="O45" s="383"/>
      <c r="P45" s="304"/>
      <c r="Q45" s="181"/>
      <c r="R45" s="383"/>
      <c r="S45" s="383"/>
      <c r="T45" s="383"/>
    </row>
    <row r="46" spans="2:20" s="175" customFormat="1" x14ac:dyDescent="0.2">
      <c r="B46" s="159"/>
      <c r="C46" s="383"/>
      <c r="D46" s="390"/>
      <c r="E46" s="383"/>
      <c r="F46" s="383"/>
      <c r="G46" s="383"/>
      <c r="H46" s="383"/>
      <c r="I46" s="390"/>
      <c r="J46" s="383"/>
      <c r="K46" s="383"/>
      <c r="L46" s="383"/>
      <c r="M46" s="383"/>
      <c r="N46" s="383"/>
      <c r="O46" s="383"/>
      <c r="P46" s="304"/>
      <c r="Q46" s="181"/>
      <c r="R46" s="383"/>
      <c r="S46" s="383"/>
      <c r="T46" s="383"/>
    </row>
    <row r="47" spans="2:20" s="175" customFormat="1" ht="12.75" customHeight="1" x14ac:dyDescent="0.2">
      <c r="B47" s="159"/>
      <c r="C47" s="383"/>
      <c r="D47" s="605" t="s">
        <v>511</v>
      </c>
      <c r="E47" s="605"/>
      <c r="F47" s="605"/>
      <c r="G47" s="605"/>
      <c r="H47" s="605"/>
      <c r="I47" s="605"/>
      <c r="J47" s="383"/>
      <c r="K47" s="383"/>
      <c r="L47" s="383"/>
      <c r="M47" s="383"/>
      <c r="N47" s="383"/>
      <c r="O47" s="383"/>
      <c r="P47" s="304"/>
      <c r="Q47" s="390"/>
      <c r="R47" s="383"/>
      <c r="S47" s="383"/>
      <c r="T47" s="383"/>
    </row>
    <row r="48" spans="2:20" s="175" customFormat="1" ht="12.75" customHeight="1" x14ac:dyDescent="0.2">
      <c r="B48" s="159"/>
      <c r="C48" s="383"/>
      <c r="D48" s="605"/>
      <c r="E48" s="383" t="s">
        <v>493</v>
      </c>
      <c r="F48" s="605"/>
      <c r="G48" s="605"/>
      <c r="H48" s="605"/>
      <c r="I48" s="605"/>
      <c r="J48" s="383"/>
      <c r="K48" s="58">
        <v>1.46</v>
      </c>
      <c r="L48" s="383"/>
      <c r="M48" s="58">
        <v>1.46</v>
      </c>
      <c r="N48" s="383"/>
      <c r="O48" s="383"/>
      <c r="P48" s="304"/>
      <c r="Q48" s="390"/>
      <c r="R48" s="383"/>
      <c r="S48" s="383"/>
      <c r="T48" s="383"/>
    </row>
    <row r="49" spans="2:22" s="175" customFormat="1" x14ac:dyDescent="0.2">
      <c r="B49" s="159"/>
      <c r="C49" s="383"/>
      <c r="D49" s="383"/>
      <c r="E49" s="390" t="s">
        <v>411</v>
      </c>
      <c r="F49" s="383"/>
      <c r="G49" s="383"/>
      <c r="H49" s="383"/>
      <c r="I49" s="390"/>
      <c r="J49" s="383"/>
      <c r="K49" s="804" t="str">
        <f>IF(ISNUMBER(K45),ROUND(K45*1.46,1),"N/A")</f>
        <v>N/A</v>
      </c>
      <c r="L49" s="390" t="s">
        <v>7</v>
      </c>
      <c r="M49" s="804" t="str">
        <f>IF(ISNUMBER(M45),ROUND(M45*1.46,1),"N/A")</f>
        <v>N/A</v>
      </c>
      <c r="N49" s="390" t="s">
        <v>7</v>
      </c>
      <c r="O49" s="383"/>
      <c r="P49" s="304"/>
      <c r="Q49" s="390"/>
      <c r="R49" s="383"/>
      <c r="S49" s="383"/>
      <c r="T49" s="383"/>
    </row>
    <row r="50" spans="2:22" s="175" customFormat="1" x14ac:dyDescent="0.2">
      <c r="B50" s="159"/>
      <c r="C50" s="383"/>
      <c r="D50" s="383"/>
      <c r="E50" s="390"/>
      <c r="F50" s="383"/>
      <c r="G50" s="383"/>
      <c r="H50" s="383"/>
      <c r="I50" s="390"/>
      <c r="J50" s="383"/>
      <c r="K50" s="390"/>
      <c r="L50" s="383"/>
      <c r="M50" s="383"/>
      <c r="N50" s="383"/>
      <c r="O50" s="383"/>
      <c r="P50" s="304"/>
      <c r="Q50" s="390"/>
      <c r="R50" s="383"/>
      <c r="S50" s="383"/>
      <c r="T50" s="383"/>
    </row>
    <row r="51" spans="2:22" s="175" customFormat="1" ht="12.75" customHeight="1" x14ac:dyDescent="0.2">
      <c r="B51" s="159"/>
      <c r="C51" s="977" t="s">
        <v>470</v>
      </c>
      <c r="D51" s="977"/>
      <c r="E51" s="977"/>
      <c r="F51" s="977"/>
      <c r="G51" s="977"/>
      <c r="H51" s="977"/>
      <c r="I51" s="977"/>
      <c r="J51" s="977"/>
      <c r="K51" s="977"/>
      <c r="L51" s="977"/>
      <c r="M51" s="977"/>
      <c r="N51" s="977"/>
      <c r="O51" s="977"/>
      <c r="P51" s="304"/>
      <c r="Q51" s="390"/>
    </row>
    <row r="52" spans="2:22" s="383" customFormat="1" x14ac:dyDescent="0.2">
      <c r="B52" s="159"/>
      <c r="C52" s="977"/>
      <c r="D52" s="977"/>
      <c r="E52" s="977"/>
      <c r="F52" s="977"/>
      <c r="G52" s="977"/>
      <c r="H52" s="977"/>
      <c r="I52" s="977"/>
      <c r="J52" s="977"/>
      <c r="K52" s="977"/>
      <c r="L52" s="977"/>
      <c r="M52" s="977"/>
      <c r="N52" s="977"/>
      <c r="O52" s="977"/>
      <c r="P52" s="304"/>
    </row>
    <row r="53" spans="2:22" x14ac:dyDescent="0.2">
      <c r="B53" s="397"/>
      <c r="C53" s="387"/>
      <c r="D53" s="383"/>
      <c r="E53" s="387"/>
      <c r="F53" s="387"/>
      <c r="G53" s="387"/>
      <c r="H53" s="387"/>
      <c r="I53" s="390"/>
      <c r="J53" s="387"/>
      <c r="K53" s="390"/>
      <c r="L53" s="387"/>
      <c r="M53" s="387"/>
      <c r="N53" s="387"/>
      <c r="O53" s="387"/>
      <c r="P53" s="304"/>
      <c r="Q53" s="390"/>
    </row>
    <row r="54" spans="2:22" ht="15.75" x14ac:dyDescent="0.25">
      <c r="B54" s="397"/>
      <c r="C54" s="507" t="s">
        <v>451</v>
      </c>
      <c r="D54" s="387"/>
      <c r="E54" s="387"/>
      <c r="F54" s="387"/>
      <c r="G54" s="387"/>
      <c r="H54" s="387"/>
      <c r="I54" s="390"/>
      <c r="J54" s="387"/>
      <c r="K54" s="390"/>
      <c r="L54" s="387"/>
      <c r="M54" s="387"/>
      <c r="N54" s="387"/>
      <c r="O54" s="387"/>
      <c r="P54" s="304"/>
      <c r="Q54" s="181"/>
    </row>
    <row r="55" spans="2:22" ht="15.75" x14ac:dyDescent="0.25">
      <c r="B55" s="397"/>
      <c r="C55" s="390" t="s">
        <v>548</v>
      </c>
      <c r="D55" s="220"/>
      <c r="E55" s="387"/>
      <c r="F55" s="387"/>
      <c r="G55" s="387"/>
      <c r="H55" s="387"/>
      <c r="I55" s="390"/>
      <c r="J55" s="387"/>
      <c r="K55" s="390"/>
      <c r="L55" s="387"/>
      <c r="M55" s="387"/>
      <c r="N55" s="387"/>
      <c r="O55" s="387"/>
      <c r="P55" s="304"/>
      <c r="Q55" s="181"/>
    </row>
    <row r="56" spans="2:22" ht="15.75" x14ac:dyDescent="0.25">
      <c r="B56" s="397"/>
      <c r="C56" s="390" t="s">
        <v>510</v>
      </c>
      <c r="D56" s="220"/>
      <c r="E56" s="387"/>
      <c r="F56" s="387"/>
      <c r="G56" s="387"/>
      <c r="H56" s="387"/>
      <c r="I56" s="390"/>
      <c r="J56" s="387"/>
      <c r="K56" s="390"/>
      <c r="L56" s="387"/>
      <c r="M56" s="387"/>
      <c r="N56" s="387"/>
      <c r="O56" s="387"/>
      <c r="P56" s="304"/>
      <c r="Q56" s="181"/>
    </row>
    <row r="57" spans="2:22" ht="12.75" customHeight="1" x14ac:dyDescent="0.2">
      <c r="B57" s="397"/>
      <c r="C57" s="387"/>
      <c r="D57" s="987" t="s">
        <v>629</v>
      </c>
      <c r="E57" s="987"/>
      <c r="F57" s="987"/>
      <c r="G57" s="987"/>
      <c r="H57" s="987"/>
      <c r="I57" s="987"/>
      <c r="J57" s="987"/>
      <c r="K57" s="987"/>
      <c r="L57" s="987"/>
      <c r="M57" s="987"/>
      <c r="N57" s="987"/>
      <c r="O57" s="987"/>
      <c r="P57" s="304"/>
      <c r="Q57" s="181"/>
    </row>
    <row r="58" spans="2:22" x14ac:dyDescent="0.2">
      <c r="B58" s="397"/>
      <c r="C58" s="387"/>
      <c r="D58" s="987"/>
      <c r="E58" s="987"/>
      <c r="F58" s="987"/>
      <c r="G58" s="987"/>
      <c r="H58" s="987"/>
      <c r="I58" s="987"/>
      <c r="J58" s="987"/>
      <c r="K58" s="987"/>
      <c r="L58" s="987"/>
      <c r="M58" s="987"/>
      <c r="N58" s="987"/>
      <c r="O58" s="987"/>
      <c r="P58" s="304"/>
      <c r="Q58" s="181"/>
    </row>
    <row r="59" spans="2:22" x14ac:dyDescent="0.2">
      <c r="B59" s="397"/>
      <c r="C59" s="387"/>
      <c r="D59" s="387"/>
      <c r="E59" s="383"/>
      <c r="F59" s="387"/>
      <c r="G59" s="387"/>
      <c r="H59" s="387"/>
      <c r="I59" s="390"/>
      <c r="J59" s="387"/>
      <c r="K59" s="390"/>
      <c r="L59" s="387"/>
      <c r="M59" s="387"/>
      <c r="N59" s="387"/>
      <c r="O59" s="387"/>
      <c r="P59" s="304"/>
      <c r="Q59" s="181"/>
    </row>
    <row r="60" spans="2:22" x14ac:dyDescent="0.2">
      <c r="B60" s="397"/>
      <c r="C60" s="605" t="s">
        <v>471</v>
      </c>
      <c r="D60" s="387"/>
      <c r="E60" s="383"/>
      <c r="F60" s="387"/>
      <c r="G60" s="387"/>
      <c r="H60" s="387"/>
      <c r="I60" s="390"/>
      <c r="J60" s="387"/>
      <c r="K60" s="390"/>
      <c r="L60" s="387"/>
      <c r="M60" s="387"/>
      <c r="N60" s="387"/>
      <c r="O60" s="387"/>
      <c r="P60" s="304"/>
      <c r="Q60" s="181"/>
      <c r="R60" s="387"/>
      <c r="S60" s="387"/>
      <c r="T60" s="387"/>
      <c r="U60" s="387"/>
      <c r="V60" s="387"/>
    </row>
    <row r="61" spans="2:22" x14ac:dyDescent="0.2">
      <c r="B61" s="397"/>
      <c r="C61" s="390" t="s">
        <v>509</v>
      </c>
      <c r="D61" s="387"/>
      <c r="E61" s="387"/>
      <c r="F61" s="387"/>
      <c r="G61" s="387"/>
      <c r="H61" s="387"/>
      <c r="I61" s="387"/>
      <c r="J61" s="390"/>
      <c r="K61" s="387"/>
      <c r="L61" s="387"/>
      <c r="M61" s="387"/>
      <c r="N61" s="387"/>
      <c r="O61" s="387"/>
      <c r="P61" s="304"/>
      <c r="Q61" s="181"/>
      <c r="R61" s="383"/>
      <c r="S61" s="383"/>
      <c r="T61" s="383"/>
      <c r="U61" s="387"/>
      <c r="V61" s="387"/>
    </row>
    <row r="62" spans="2:22" ht="15.75" x14ac:dyDescent="0.3">
      <c r="B62" s="397"/>
      <c r="C62" s="387"/>
      <c r="D62" s="221" t="s">
        <v>585</v>
      </c>
      <c r="E62" s="387"/>
      <c r="F62" s="387"/>
      <c r="G62" s="387"/>
      <c r="H62" s="387"/>
      <c r="I62" s="387"/>
      <c r="J62" s="390"/>
      <c r="K62" s="387"/>
      <c r="L62" s="387"/>
      <c r="M62" s="387"/>
      <c r="N62" s="387"/>
      <c r="O62" s="387"/>
      <c r="P62" s="304"/>
      <c r="Q62" s="181"/>
      <c r="R62" s="383"/>
      <c r="S62" s="383"/>
      <c r="T62" s="383"/>
      <c r="U62" s="387"/>
      <c r="V62" s="387"/>
    </row>
    <row r="63" spans="2:22" ht="27" customHeight="1" x14ac:dyDescent="0.2">
      <c r="B63" s="397"/>
      <c r="C63" s="387"/>
      <c r="D63" s="989" t="s">
        <v>549</v>
      </c>
      <c r="E63" s="920"/>
      <c r="F63" s="920"/>
      <c r="G63" s="920"/>
      <c r="H63" s="920"/>
      <c r="I63" s="920"/>
      <c r="J63" s="920"/>
      <c r="K63" s="920"/>
      <c r="L63" s="920"/>
      <c r="M63" s="920"/>
      <c r="N63" s="920"/>
      <c r="O63" s="920"/>
      <c r="P63" s="304"/>
      <c r="Q63" s="181"/>
      <c r="R63" s="383"/>
      <c r="S63" s="383"/>
      <c r="T63" s="383"/>
      <c r="U63" s="387"/>
      <c r="V63" s="387"/>
    </row>
    <row r="64" spans="2:22" ht="13.5" thickBot="1" x14ac:dyDescent="0.25">
      <c r="B64" s="177"/>
      <c r="C64" s="62"/>
      <c r="D64" s="62"/>
      <c r="E64" s="612"/>
      <c r="F64" s="62"/>
      <c r="G64" s="62"/>
      <c r="H64" s="62"/>
      <c r="I64" s="62"/>
      <c r="J64" s="178"/>
      <c r="K64" s="62"/>
      <c r="L64" s="62"/>
      <c r="M64" s="62"/>
      <c r="N64" s="62"/>
      <c r="O64" s="62"/>
      <c r="P64" s="564"/>
      <c r="Q64" s="181"/>
      <c r="R64" s="383"/>
      <c r="S64" s="383"/>
      <c r="T64" s="383"/>
      <c r="U64" s="387"/>
      <c r="V64" s="387"/>
    </row>
    <row r="65" spans="2:22" ht="20.25" customHeight="1" x14ac:dyDescent="0.2">
      <c r="B65" s="169"/>
      <c r="C65" s="158"/>
      <c r="D65" s="158"/>
      <c r="E65" s="158"/>
      <c r="F65" s="158"/>
      <c r="G65" s="158"/>
      <c r="H65" s="158"/>
      <c r="I65" s="158"/>
      <c r="J65" s="158"/>
      <c r="K65" s="158"/>
      <c r="L65" s="158"/>
      <c r="M65" s="158"/>
      <c r="N65" s="158"/>
      <c r="O65" s="158"/>
      <c r="P65" s="369">
        <v>2</v>
      </c>
      <c r="R65" s="387"/>
      <c r="S65" s="387"/>
      <c r="T65" s="387"/>
      <c r="U65" s="387"/>
      <c r="V65" s="387"/>
    </row>
    <row r="66" spans="2:22" s="51" customFormat="1" ht="15.75" x14ac:dyDescent="0.25">
      <c r="B66" s="50"/>
      <c r="C66" s="381" t="s">
        <v>452</v>
      </c>
      <c r="E66" s="380"/>
      <c r="F66" s="380"/>
      <c r="G66" s="380"/>
      <c r="H66" s="380"/>
      <c r="I66" s="380"/>
      <c r="J66" s="380"/>
      <c r="K66" s="380"/>
      <c r="L66" s="380"/>
      <c r="M66" s="380"/>
      <c r="N66" s="380"/>
      <c r="O66" s="380"/>
      <c r="P66" s="478"/>
      <c r="R66" s="387"/>
      <c r="S66" s="387"/>
      <c r="T66" s="387"/>
      <c r="U66" s="387"/>
      <c r="V66" s="387"/>
    </row>
    <row r="67" spans="2:22" s="51" customFormat="1" ht="12.75" customHeight="1" x14ac:dyDescent="0.2">
      <c r="B67" s="50"/>
      <c r="C67" s="388">
        <v>1</v>
      </c>
      <c r="D67" s="913" t="s">
        <v>541</v>
      </c>
      <c r="E67" s="913"/>
      <c r="F67" s="913"/>
      <c r="G67" s="913"/>
      <c r="H67" s="913"/>
      <c r="I67" s="913"/>
      <c r="J67" s="913"/>
      <c r="K67" s="913"/>
      <c r="L67" s="913"/>
      <c r="M67" s="913"/>
      <c r="N67" s="913"/>
      <c r="O67" s="913"/>
      <c r="P67" s="478"/>
      <c r="R67" s="383"/>
      <c r="S67" s="383"/>
      <c r="T67" s="383"/>
      <c r="U67" s="387"/>
      <c r="V67" s="387"/>
    </row>
    <row r="68" spans="2:22" s="51" customFormat="1" x14ac:dyDescent="0.2">
      <c r="B68" s="50"/>
      <c r="C68" s="223"/>
      <c r="D68" s="913"/>
      <c r="E68" s="913"/>
      <c r="F68" s="913"/>
      <c r="G68" s="913"/>
      <c r="H68" s="913"/>
      <c r="I68" s="913"/>
      <c r="J68" s="913"/>
      <c r="K68" s="913"/>
      <c r="L68" s="913"/>
      <c r="M68" s="913"/>
      <c r="N68" s="913"/>
      <c r="O68" s="913"/>
      <c r="P68" s="478"/>
      <c r="R68" s="383"/>
      <c r="S68" s="383"/>
      <c r="T68" s="383"/>
      <c r="U68" s="387"/>
      <c r="V68" s="387"/>
    </row>
    <row r="69" spans="2:22" s="51" customFormat="1" x14ac:dyDescent="0.2">
      <c r="B69" s="50"/>
      <c r="C69" s="223"/>
      <c r="D69" s="913"/>
      <c r="E69" s="913"/>
      <c r="F69" s="913"/>
      <c r="G69" s="913"/>
      <c r="H69" s="913"/>
      <c r="I69" s="913"/>
      <c r="J69" s="913"/>
      <c r="K69" s="913"/>
      <c r="L69" s="913"/>
      <c r="M69" s="913"/>
      <c r="N69" s="913"/>
      <c r="O69" s="913"/>
      <c r="P69" s="478"/>
      <c r="R69" s="383"/>
      <c r="S69" s="383"/>
      <c r="T69" s="383"/>
      <c r="U69" s="387"/>
      <c r="V69" s="387"/>
    </row>
    <row r="70" spans="2:22" s="51" customFormat="1" x14ac:dyDescent="0.2">
      <c r="B70" s="50"/>
      <c r="C70" s="223"/>
      <c r="D70" s="913"/>
      <c r="E70" s="913"/>
      <c r="F70" s="913"/>
      <c r="G70" s="913"/>
      <c r="H70" s="913"/>
      <c r="I70" s="913"/>
      <c r="J70" s="913"/>
      <c r="K70" s="913"/>
      <c r="L70" s="913"/>
      <c r="M70" s="913"/>
      <c r="N70" s="913"/>
      <c r="O70" s="913"/>
      <c r="P70" s="478"/>
      <c r="R70" s="387"/>
      <c r="S70" s="387"/>
      <c r="T70" s="387"/>
      <c r="U70" s="387"/>
      <c r="V70" s="387"/>
    </row>
    <row r="71" spans="2:22" s="51" customFormat="1" x14ac:dyDescent="0.2">
      <c r="B71" s="50"/>
      <c r="C71" s="223">
        <v>2</v>
      </c>
      <c r="D71" s="913" t="s">
        <v>542</v>
      </c>
      <c r="E71" s="913"/>
      <c r="F71" s="913"/>
      <c r="G71" s="913"/>
      <c r="H71" s="913"/>
      <c r="I71" s="913"/>
      <c r="J71" s="913"/>
      <c r="K71" s="913"/>
      <c r="L71" s="913"/>
      <c r="M71" s="913"/>
      <c r="N71" s="913"/>
      <c r="O71" s="913"/>
      <c r="P71" s="478"/>
      <c r="R71" s="387"/>
      <c r="S71" s="387"/>
      <c r="T71" s="387"/>
      <c r="U71" s="387"/>
      <c r="V71" s="387"/>
    </row>
    <row r="72" spans="2:22" s="51" customFormat="1" x14ac:dyDescent="0.2">
      <c r="B72" s="50"/>
      <c r="C72" s="223"/>
      <c r="D72" s="913"/>
      <c r="E72" s="913"/>
      <c r="F72" s="913"/>
      <c r="G72" s="913"/>
      <c r="H72" s="913"/>
      <c r="I72" s="913"/>
      <c r="J72" s="913"/>
      <c r="K72" s="913"/>
      <c r="L72" s="913"/>
      <c r="M72" s="913"/>
      <c r="N72" s="913"/>
      <c r="O72" s="913"/>
      <c r="P72" s="478"/>
      <c r="R72" s="387"/>
      <c r="S72" s="387"/>
      <c r="T72" s="387"/>
      <c r="U72" s="387"/>
      <c r="V72" s="387"/>
    </row>
    <row r="73" spans="2:22" s="51" customFormat="1" x14ac:dyDescent="0.2">
      <c r="B73" s="50"/>
      <c r="C73" s="223"/>
      <c r="D73" s="913"/>
      <c r="E73" s="913"/>
      <c r="F73" s="913"/>
      <c r="G73" s="913"/>
      <c r="H73" s="913"/>
      <c r="I73" s="913"/>
      <c r="J73" s="913"/>
      <c r="K73" s="913"/>
      <c r="L73" s="913"/>
      <c r="M73" s="913"/>
      <c r="N73" s="913"/>
      <c r="O73" s="913"/>
      <c r="P73" s="566"/>
      <c r="R73" s="387"/>
      <c r="S73" s="387"/>
      <c r="T73" s="387"/>
      <c r="U73" s="387"/>
      <c r="V73" s="387"/>
    </row>
    <row r="74" spans="2:22" s="51" customFormat="1" x14ac:dyDescent="0.2">
      <c r="B74" s="50"/>
      <c r="C74" s="223"/>
      <c r="D74" s="913"/>
      <c r="E74" s="913"/>
      <c r="F74" s="913"/>
      <c r="G74" s="913"/>
      <c r="H74" s="913"/>
      <c r="I74" s="913"/>
      <c r="J74" s="913"/>
      <c r="K74" s="913"/>
      <c r="L74" s="913"/>
      <c r="M74" s="913"/>
      <c r="N74" s="913"/>
      <c r="O74" s="913"/>
      <c r="P74" s="566"/>
      <c r="R74" s="387"/>
      <c r="S74" s="387"/>
      <c r="T74" s="387"/>
      <c r="U74" s="387"/>
      <c r="V74" s="387"/>
    </row>
    <row r="75" spans="2:22" s="51" customFormat="1" ht="12.75" customHeight="1" x14ac:dyDescent="0.2">
      <c r="B75" s="50"/>
      <c r="C75" s="223">
        <v>3</v>
      </c>
      <c r="D75" s="913" t="s">
        <v>584</v>
      </c>
      <c r="E75" s="913"/>
      <c r="F75" s="913"/>
      <c r="G75" s="913"/>
      <c r="H75" s="913"/>
      <c r="I75" s="913"/>
      <c r="J75" s="913"/>
      <c r="K75" s="913"/>
      <c r="L75" s="913"/>
      <c r="M75" s="913"/>
      <c r="N75" s="913"/>
      <c r="O75" s="913"/>
      <c r="P75" s="478"/>
      <c r="R75" s="387"/>
      <c r="S75" s="387"/>
      <c r="T75" s="387"/>
      <c r="U75" s="387"/>
      <c r="V75" s="387"/>
    </row>
    <row r="76" spans="2:22" s="51" customFormat="1" x14ac:dyDescent="0.2">
      <c r="B76" s="50"/>
      <c r="C76" s="223"/>
      <c r="D76" s="913"/>
      <c r="E76" s="913"/>
      <c r="F76" s="913"/>
      <c r="G76" s="913"/>
      <c r="H76" s="913"/>
      <c r="I76" s="913"/>
      <c r="J76" s="913"/>
      <c r="K76" s="913"/>
      <c r="L76" s="913"/>
      <c r="M76" s="913"/>
      <c r="N76" s="913"/>
      <c r="O76" s="913"/>
      <c r="P76" s="566"/>
    </row>
    <row r="77" spans="2:22" s="51" customFormat="1" ht="15.75" customHeight="1" x14ac:dyDescent="0.2">
      <c r="B77" s="50"/>
      <c r="C77" s="223"/>
      <c r="D77" s="913"/>
      <c r="E77" s="913"/>
      <c r="F77" s="913"/>
      <c r="G77" s="913"/>
      <c r="H77" s="913"/>
      <c r="I77" s="913"/>
      <c r="J77" s="913"/>
      <c r="K77" s="913"/>
      <c r="L77" s="913"/>
      <c r="M77" s="913"/>
      <c r="N77" s="913"/>
      <c r="O77" s="913"/>
      <c r="P77" s="478"/>
    </row>
    <row r="78" spans="2:22" s="51" customFormat="1" x14ac:dyDescent="0.2">
      <c r="B78" s="50"/>
      <c r="C78" s="223"/>
      <c r="D78" s="913"/>
      <c r="E78" s="913"/>
      <c r="F78" s="913"/>
      <c r="G78" s="913"/>
      <c r="H78" s="913"/>
      <c r="I78" s="913"/>
      <c r="J78" s="913"/>
      <c r="K78" s="913"/>
      <c r="L78" s="913"/>
      <c r="M78" s="913"/>
      <c r="N78" s="913"/>
      <c r="O78" s="913"/>
      <c r="P78" s="478"/>
    </row>
    <row r="79" spans="2:22" x14ac:dyDescent="0.2">
      <c r="B79" s="397"/>
      <c r="C79" s="223">
        <v>4</v>
      </c>
      <c r="D79" s="992" t="s">
        <v>543</v>
      </c>
      <c r="E79" s="993"/>
      <c r="F79" s="993"/>
      <c r="G79" s="993"/>
      <c r="H79" s="993"/>
      <c r="I79" s="993"/>
      <c r="J79" s="993"/>
      <c r="K79" s="993"/>
      <c r="L79" s="993"/>
      <c r="M79" s="993"/>
      <c r="N79" s="993"/>
      <c r="O79" s="994"/>
      <c r="P79" s="478"/>
    </row>
    <row r="80" spans="2:22" s="387" customFormat="1" x14ac:dyDescent="0.2">
      <c r="B80" s="397"/>
      <c r="D80" s="995"/>
      <c r="E80" s="996"/>
      <c r="F80" s="996"/>
      <c r="G80" s="996"/>
      <c r="H80" s="996"/>
      <c r="I80" s="996"/>
      <c r="J80" s="996"/>
      <c r="K80" s="996"/>
      <c r="L80" s="996"/>
      <c r="M80" s="996"/>
      <c r="N80" s="996"/>
      <c r="O80" s="997"/>
      <c r="P80" s="478"/>
    </row>
    <row r="81" spans="2:16" x14ac:dyDescent="0.2">
      <c r="B81" s="397"/>
      <c r="C81" s="387"/>
      <c r="D81" s="995"/>
      <c r="E81" s="996"/>
      <c r="F81" s="996"/>
      <c r="G81" s="996"/>
      <c r="H81" s="996"/>
      <c r="I81" s="996"/>
      <c r="J81" s="996"/>
      <c r="K81" s="996"/>
      <c r="L81" s="996"/>
      <c r="M81" s="996"/>
      <c r="N81" s="996"/>
      <c r="O81" s="997"/>
      <c r="P81" s="478"/>
    </row>
    <row r="82" spans="2:16" x14ac:dyDescent="0.2">
      <c r="B82" s="397"/>
      <c r="C82" s="387"/>
      <c r="D82" s="998"/>
      <c r="E82" s="999"/>
      <c r="F82" s="999"/>
      <c r="G82" s="999"/>
      <c r="H82" s="999"/>
      <c r="I82" s="999"/>
      <c r="J82" s="999"/>
      <c r="K82" s="999"/>
      <c r="L82" s="999"/>
      <c r="M82" s="999"/>
      <c r="N82" s="999"/>
      <c r="O82" s="1000"/>
      <c r="P82" s="478"/>
    </row>
    <row r="83" spans="2:16" x14ac:dyDescent="0.2">
      <c r="B83" s="397"/>
      <c r="C83" s="387"/>
      <c r="D83" s="387"/>
      <c r="E83" s="387"/>
      <c r="F83" s="387"/>
      <c r="G83" s="387"/>
      <c r="H83" s="387"/>
      <c r="I83" s="387"/>
      <c r="J83" s="387"/>
      <c r="K83" s="387"/>
      <c r="L83" s="387"/>
      <c r="M83" s="387"/>
      <c r="N83" s="387"/>
      <c r="O83" s="387"/>
      <c r="P83" s="304"/>
    </row>
    <row r="84" spans="2:16" ht="13.5" thickBot="1" x14ac:dyDescent="0.25">
      <c r="B84" s="177"/>
      <c r="C84" s="62"/>
      <c r="D84" s="62"/>
      <c r="E84" s="62"/>
      <c r="F84" s="62"/>
      <c r="G84" s="62"/>
      <c r="H84" s="62"/>
      <c r="I84" s="62"/>
      <c r="J84" s="62"/>
      <c r="K84" s="62"/>
      <c r="L84" s="62"/>
      <c r="M84" s="62"/>
      <c r="N84" s="62"/>
      <c r="O84" s="62"/>
      <c r="P84" s="564"/>
    </row>
  </sheetData>
  <sheetProtection algorithmName="SHA-512" hashValue="rBHot2G1AlSIAT7XP2qKPhlMD6b0XJMqbLZ7gUMqgXohZwyLE7QQVaV5yG6AUnTM6sHzJyr5kCi/fYc984xwcA==" saltValue="UVZUzE9xVWYGYjeDrK2jNg==" spinCount="100000" sheet="1" objects="1" scenarios="1"/>
  <customSheetViews>
    <customSheetView guid="{1D46CCF0-D0A9-4A4B-AB32-CC50C778381E}" showPageBreaks="1" printArea="1" hiddenColumns="1">
      <pane ySplit="13" topLeftCell="A14" activePane="bottomLeft" state="frozen"/>
      <selection pane="bottomLeft"/>
      <rowBreaks count="1" manualBreakCount="1">
        <brk id="61" max="16383" man="1"/>
      </rowBreaks>
      <pageMargins left="0.75" right="0.67" top="0.5" bottom="0.75" header="0.25" footer="0.5"/>
      <pageSetup scale="57" fitToHeight="3" orientation="landscape" useFirstPageNumber="1" r:id="rId1"/>
      <headerFooter scaleWithDoc="0" alignWithMargins="0">
        <oddHeader>&amp;C&amp;8 Bridge-Scour Envelope Curve Template</oddHeader>
        <oddFooter>&amp;C&amp;A&amp;RPage &amp;P  of  &amp;N</oddFooter>
      </headerFooter>
    </customSheetView>
  </customSheetViews>
  <mergeCells count="23">
    <mergeCell ref="D75:O78"/>
    <mergeCell ref="D79:O82"/>
    <mergeCell ref="D57:O58"/>
    <mergeCell ref="D71:O74"/>
    <mergeCell ref="I6:J6"/>
    <mergeCell ref="I7:J7"/>
    <mergeCell ref="D67:O70"/>
    <mergeCell ref="J11:J12"/>
    <mergeCell ref="I11:I12"/>
    <mergeCell ref="D45:J45"/>
    <mergeCell ref="J17:K17"/>
    <mergeCell ref="J19:K19"/>
    <mergeCell ref="J20:K20"/>
    <mergeCell ref="J21:K21"/>
    <mergeCell ref="C29:O30"/>
    <mergeCell ref="D63:O63"/>
    <mergeCell ref="C2:O2"/>
    <mergeCell ref="C3:O3"/>
    <mergeCell ref="C4:O4"/>
    <mergeCell ref="C51:O52"/>
    <mergeCell ref="F6:G6"/>
    <mergeCell ref="M12:O12"/>
    <mergeCell ref="J18:K18"/>
  </mergeCells>
  <conditionalFormatting sqref="M45 K45">
    <cfRule type="cellIs" dxfId="97" priority="22" stopIfTrue="1" operator="equal">
      <formula>"OUTSIDE RANGE"</formula>
    </cfRule>
  </conditionalFormatting>
  <conditionalFormatting sqref="M12">
    <cfRule type="containsText" dxfId="96" priority="14" stopIfTrue="1" operator="containsText" text="Caution">
      <formula>NOT(ISERROR(SEARCH("Caution",M12)))</formula>
    </cfRule>
    <cfRule type="cellIs" dxfId="95" priority="15" stopIfTrue="1" operator="equal">
      <formula>"DA IN RANGE"</formula>
    </cfRule>
    <cfRule type="cellIs" dxfId="94" priority="16" stopIfTrue="1" operator="equal">
      <formula>"DA OUTSIDE RANGE"</formula>
    </cfRule>
  </conditionalFormatting>
  <conditionalFormatting sqref="I23">
    <cfRule type="cellIs" dxfId="93" priority="8" stopIfTrue="1" operator="equal">
      <formula>"CAUTION"</formula>
    </cfRule>
    <cfRule type="cellIs" dxfId="92" priority="9" stopIfTrue="1" operator="equal">
      <formula>"OUTSIDE RANGE"</formula>
    </cfRule>
    <cfRule type="cellIs" dxfId="91" priority="10" stopIfTrue="1" operator="equal">
      <formula>"OK"</formula>
    </cfRule>
  </conditionalFormatting>
  <conditionalFormatting sqref="M12">
    <cfRule type="cellIs" dxfId="90" priority="4" stopIfTrue="1" operator="equal">
      <formula>"DA OUTSIDE RANGE"</formula>
    </cfRule>
  </conditionalFormatting>
  <conditionalFormatting sqref="M12">
    <cfRule type="containsText" dxfId="89" priority="1" operator="containsText" text="DA OUTSIDE RANGE">
      <formula>NOT(ISERROR(SEARCH("DA OUTSIDE RANGE",M12)))</formula>
    </cfRule>
    <cfRule type="containsText" dxfId="88" priority="2" stopIfTrue="1" operator="containsText" text="Caution">
      <formula>NOT(ISERROR(SEARCH("Caution",M12)))</formula>
    </cfRule>
    <cfRule type="cellIs" dxfId="87" priority="3" stopIfTrue="1" operator="equal">
      <formula>"DA IN RANGE"</formula>
    </cfRule>
  </conditionalFormatting>
  <pageMargins left="0.75" right="0.67" top="0.5" bottom="0.75" header="0.25" footer="0.5"/>
  <pageSetup scale="57" fitToHeight="3" orientation="landscape" useFirstPageNumber="1" r:id="rId2"/>
  <headerFooter scaleWithDoc="0" alignWithMargins="0">
    <oddHeader>&amp;C&amp;8 Bridge-Scour Envelope Curve Template</oddHeader>
    <oddFooter>&amp;C&amp;A&amp;RPage &amp;P  of  &amp;N</oddFooter>
  </headerFooter>
  <rowBreaks count="1" manualBreakCount="1">
    <brk id="64" max="16383"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B1:AB96"/>
  <sheetViews>
    <sheetView zoomScaleNormal="100" zoomScaleSheetLayoutView="80" workbookViewId="0">
      <pane ySplit="15" topLeftCell="A16" activePane="bottomLeft" state="frozen"/>
      <selection activeCell="L34" sqref="L34"/>
      <selection pane="bottomLeft" activeCell="P16" sqref="P16"/>
    </sheetView>
  </sheetViews>
  <sheetFormatPr defaultColWidth="9.140625" defaultRowHeight="12.75" x14ac:dyDescent="0.2"/>
  <cols>
    <col min="1" max="1" width="2.140625" style="171" customWidth="1"/>
    <col min="2" max="2" width="6.140625" style="387" customWidth="1"/>
    <col min="3" max="3" width="11.140625" style="171" customWidth="1"/>
    <col min="4" max="5" width="9.140625" style="171" customWidth="1"/>
    <col min="6" max="6" width="12" style="171" customWidth="1"/>
    <col min="7" max="7" width="10.85546875" style="171" customWidth="1"/>
    <col min="8" max="8" width="10.5703125" style="171" customWidth="1"/>
    <col min="9" max="10" width="18.5703125" style="171" customWidth="1"/>
    <col min="11" max="11" width="16.28515625" style="171" customWidth="1"/>
    <col min="12" max="12" width="16.42578125" style="171" customWidth="1"/>
    <col min="13" max="13" width="15.5703125" style="171" customWidth="1"/>
    <col min="14" max="14" width="19.7109375" style="171" customWidth="1"/>
    <col min="15" max="15" width="16" style="171" customWidth="1"/>
    <col min="16" max="16" width="3.7109375" style="563" customWidth="1"/>
    <col min="17" max="17" width="9.140625" style="387"/>
    <col min="18" max="18" width="9.140625" style="171" hidden="1" customWidth="1"/>
    <col min="19" max="19" width="14.85546875" style="171" hidden="1" customWidth="1"/>
    <col min="20" max="21" width="9.140625" style="171" hidden="1" customWidth="1"/>
    <col min="22" max="22" width="11" style="171" hidden="1" customWidth="1"/>
    <col min="23" max="24" width="9.140625" style="171" hidden="1" customWidth="1"/>
    <col min="25" max="25" width="14.85546875" style="171" hidden="1" customWidth="1"/>
    <col min="26" max="27" width="9.140625" style="171" hidden="1" customWidth="1"/>
    <col min="28" max="28" width="10.85546875" style="171" hidden="1" customWidth="1"/>
    <col min="29" max="16384" width="9.140625" style="171"/>
  </cols>
  <sheetData>
    <row r="1" spans="2:28" ht="13.5" thickBot="1" x14ac:dyDescent="0.25"/>
    <row r="2" spans="2:28" ht="20.25" x14ac:dyDescent="0.3">
      <c r="B2" s="169"/>
      <c r="C2" s="960" t="s">
        <v>409</v>
      </c>
      <c r="D2" s="960"/>
      <c r="E2" s="960"/>
      <c r="F2" s="960"/>
      <c r="G2" s="960"/>
      <c r="H2" s="960"/>
      <c r="I2" s="960"/>
      <c r="J2" s="960"/>
      <c r="K2" s="960"/>
      <c r="L2" s="960"/>
      <c r="M2" s="960"/>
      <c r="N2" s="960"/>
      <c r="O2" s="960"/>
      <c r="P2" s="369">
        <v>1</v>
      </c>
      <c r="Q2" s="391"/>
    </row>
    <row r="3" spans="2:28" ht="18" x14ac:dyDescent="0.25">
      <c r="B3" s="397"/>
      <c r="C3" s="961" t="s">
        <v>434</v>
      </c>
      <c r="D3" s="961"/>
      <c r="E3" s="961"/>
      <c r="F3" s="961"/>
      <c r="G3" s="961"/>
      <c r="H3" s="961"/>
      <c r="I3" s="961"/>
      <c r="J3" s="961"/>
      <c r="K3" s="961"/>
      <c r="L3" s="961"/>
      <c r="M3" s="961"/>
      <c r="N3" s="961"/>
      <c r="O3" s="961"/>
      <c r="P3" s="304"/>
      <c r="Q3" s="391"/>
    </row>
    <row r="4" spans="2:28" ht="15.75" customHeight="1" x14ac:dyDescent="0.25">
      <c r="B4" s="397"/>
      <c r="C4" s="962" t="s">
        <v>405</v>
      </c>
      <c r="D4" s="962"/>
      <c r="E4" s="962"/>
      <c r="F4" s="962"/>
      <c r="G4" s="962"/>
      <c r="H4" s="962"/>
      <c r="I4" s="962"/>
      <c r="J4" s="962"/>
      <c r="K4" s="962"/>
      <c r="L4" s="962"/>
      <c r="M4" s="962"/>
      <c r="N4" s="962"/>
      <c r="O4" s="962"/>
      <c r="P4" s="304"/>
      <c r="R4" s="173" t="s">
        <v>74</v>
      </c>
    </row>
    <row r="5" spans="2:28" ht="13.5" thickBot="1" x14ac:dyDescent="0.25">
      <c r="B5" s="397"/>
      <c r="C5" s="390"/>
      <c r="D5" s="387"/>
      <c r="E5" s="387"/>
      <c r="F5" s="387"/>
      <c r="G5" s="387"/>
      <c r="H5" s="387"/>
      <c r="I5" s="387"/>
      <c r="J5" s="387"/>
      <c r="K5" s="387"/>
      <c r="L5" s="387"/>
      <c r="M5" s="387"/>
      <c r="N5" s="387"/>
      <c r="O5" s="387"/>
      <c r="P5" s="304"/>
      <c r="T5" s="185" t="s">
        <v>214</v>
      </c>
      <c r="Z5" s="185" t="s">
        <v>207</v>
      </c>
    </row>
    <row r="6" spans="2:28" x14ac:dyDescent="0.2">
      <c r="B6" s="397"/>
      <c r="C6" s="390" t="s">
        <v>0</v>
      </c>
      <c r="E6" s="387"/>
      <c r="F6" s="963">
        <f>'Site Info'!E6</f>
        <v>0</v>
      </c>
      <c r="G6" s="968"/>
      <c r="H6" s="390" t="s">
        <v>2</v>
      </c>
      <c r="I6" s="1009">
        <f>'Site Info'!I6</f>
        <v>0</v>
      </c>
      <c r="J6" s="1010"/>
      <c r="K6" s="387"/>
      <c r="L6" s="390" t="s">
        <v>32</v>
      </c>
      <c r="M6" s="788">
        <f>'Site Info'!N6</f>
        <v>0</v>
      </c>
      <c r="N6" s="387"/>
      <c r="O6" s="400"/>
      <c r="P6" s="304"/>
      <c r="R6" s="169"/>
      <c r="S6" s="158"/>
      <c r="T6" s="158"/>
      <c r="U6" s="158"/>
      <c r="V6" s="161"/>
      <c r="X6" s="169"/>
      <c r="Y6" s="158"/>
      <c r="Z6" s="158"/>
      <c r="AA6" s="158"/>
      <c r="AB6" s="161"/>
    </row>
    <row r="7" spans="2:28" x14ac:dyDescent="0.2">
      <c r="B7" s="397"/>
      <c r="C7" s="390" t="s">
        <v>1</v>
      </c>
      <c r="E7" s="387"/>
      <c r="F7" s="756">
        <f>'Site Info'!E7</f>
        <v>0</v>
      </c>
      <c r="G7" s="387"/>
      <c r="H7" s="390" t="s">
        <v>3</v>
      </c>
      <c r="I7" s="1009">
        <f>'Site Info'!I7</f>
        <v>0</v>
      </c>
      <c r="J7" s="1010"/>
      <c r="K7" s="387"/>
      <c r="L7" s="387"/>
      <c r="M7" s="387"/>
      <c r="N7" s="382"/>
      <c r="O7" s="387"/>
      <c r="P7" s="304"/>
      <c r="R7" s="397"/>
      <c r="S7" s="382" t="s">
        <v>21</v>
      </c>
      <c r="T7" s="382" t="s">
        <v>26</v>
      </c>
      <c r="U7" s="387"/>
      <c r="V7" s="156"/>
      <c r="X7" s="397"/>
      <c r="Y7" s="382" t="s">
        <v>21</v>
      </c>
      <c r="Z7" s="382" t="s">
        <v>26</v>
      </c>
      <c r="AA7" s="387"/>
      <c r="AB7" s="156"/>
    </row>
    <row r="8" spans="2:28" x14ac:dyDescent="0.2">
      <c r="B8" s="397"/>
      <c r="C8" s="387"/>
      <c r="E8" s="387"/>
      <c r="F8" s="387"/>
      <c r="G8" s="387"/>
      <c r="H8" s="387"/>
      <c r="I8" s="387"/>
      <c r="J8" s="387"/>
      <c r="K8" s="387"/>
      <c r="L8" s="390" t="s">
        <v>42</v>
      </c>
      <c r="M8" s="389">
        <f>'Site Info'!N9</f>
        <v>0</v>
      </c>
      <c r="N8" s="390" t="s">
        <v>7</v>
      </c>
      <c r="O8" s="387"/>
      <c r="P8" s="304"/>
      <c r="R8" s="300" t="s">
        <v>66</v>
      </c>
      <c r="S8" s="389">
        <v>17.2</v>
      </c>
      <c r="T8" s="389">
        <v>21</v>
      </c>
      <c r="U8" s="383" t="s">
        <v>212</v>
      </c>
      <c r="V8" s="156"/>
      <c r="X8" s="300" t="s">
        <v>66</v>
      </c>
      <c r="Y8" s="389">
        <v>17.2</v>
      </c>
      <c r="Z8" s="389">
        <v>21</v>
      </c>
      <c r="AA8" s="383" t="s">
        <v>212</v>
      </c>
      <c r="AB8" s="156"/>
    </row>
    <row r="9" spans="2:28" x14ac:dyDescent="0.2">
      <c r="B9" s="397"/>
      <c r="C9" s="390" t="s">
        <v>6</v>
      </c>
      <c r="E9" s="387"/>
      <c r="F9" s="788">
        <f>'Site Info'!G9</f>
        <v>0</v>
      </c>
      <c r="G9" s="400"/>
      <c r="H9" s="387"/>
      <c r="I9" s="595" t="s">
        <v>34</v>
      </c>
      <c r="J9" s="785">
        <f>'Site Info'!J9</f>
        <v>0</v>
      </c>
      <c r="K9" s="387"/>
      <c r="L9" s="387"/>
      <c r="M9" s="387"/>
      <c r="N9" s="390"/>
      <c r="O9" s="387"/>
      <c r="P9" s="304"/>
      <c r="R9" s="300" t="s">
        <v>67</v>
      </c>
      <c r="S9" s="389">
        <v>9360</v>
      </c>
      <c r="T9" s="389">
        <v>5250</v>
      </c>
      <c r="U9" s="383" t="s">
        <v>212</v>
      </c>
      <c r="V9" s="156"/>
      <c r="X9" s="300" t="s">
        <v>67</v>
      </c>
      <c r="Y9" s="389">
        <v>200</v>
      </c>
      <c r="Z9" s="389">
        <v>200</v>
      </c>
      <c r="AA9" s="383" t="s">
        <v>212</v>
      </c>
      <c r="AB9" s="156"/>
    </row>
    <row r="10" spans="2:28" x14ac:dyDescent="0.2">
      <c r="B10" s="397"/>
      <c r="C10" s="390"/>
      <c r="E10" s="387"/>
      <c r="F10" s="385"/>
      <c r="G10" s="385"/>
      <c r="H10" s="387"/>
      <c r="I10" s="596" t="s">
        <v>275</v>
      </c>
      <c r="J10" s="688">
        <f>'Site Info'!J10</f>
        <v>0</v>
      </c>
      <c r="K10" s="387"/>
      <c r="L10" s="390" t="s">
        <v>57</v>
      </c>
      <c r="M10" s="389">
        <f>'Site Info'!N11</f>
        <v>0</v>
      </c>
      <c r="N10" s="390" t="s">
        <v>58</v>
      </c>
      <c r="O10" s="387"/>
      <c r="P10" s="304"/>
      <c r="R10" s="159" t="s">
        <v>69</v>
      </c>
      <c r="S10" s="389">
        <v>1860</v>
      </c>
      <c r="T10" s="389">
        <v>760</v>
      </c>
      <c r="U10" s="383" t="s">
        <v>212</v>
      </c>
      <c r="V10" s="156"/>
      <c r="X10" s="159" t="s">
        <v>69</v>
      </c>
      <c r="Y10" s="389">
        <v>163</v>
      </c>
      <c r="Z10" s="389">
        <v>167</v>
      </c>
      <c r="AA10" s="383" t="s">
        <v>212</v>
      </c>
      <c r="AB10" s="156"/>
    </row>
    <row r="11" spans="2:28" ht="25.5" x14ac:dyDescent="0.2">
      <c r="B11" s="397"/>
      <c r="C11" s="390" t="s">
        <v>90</v>
      </c>
      <c r="E11" s="387"/>
      <c r="F11" s="58">
        <f>'Site Info'!E11</f>
        <v>0</v>
      </c>
      <c r="G11" s="395" t="s">
        <v>92</v>
      </c>
      <c r="H11" s="387"/>
      <c r="I11" s="781" t="s">
        <v>290</v>
      </c>
      <c r="J11" s="689">
        <f>'Site Info'!J11</f>
        <v>0</v>
      </c>
      <c r="K11" s="387"/>
      <c r="L11" s="390"/>
      <c r="M11" s="391"/>
      <c r="N11" s="390"/>
      <c r="O11" s="387"/>
      <c r="P11" s="304"/>
      <c r="R11" s="397"/>
      <c r="S11" s="387"/>
      <c r="T11" s="387"/>
      <c r="U11" s="387"/>
      <c r="V11" s="156"/>
      <c r="X11" s="397"/>
      <c r="Y11" s="387"/>
      <c r="Z11" s="387"/>
      <c r="AA11" s="387"/>
      <c r="AB11" s="156"/>
    </row>
    <row r="12" spans="2:28" ht="12.75" customHeight="1" x14ac:dyDescent="0.2">
      <c r="B12" s="397"/>
      <c r="C12" s="390" t="s">
        <v>91</v>
      </c>
      <c r="E12" s="387"/>
      <c r="F12" s="58">
        <f>'Site Info'!E12</f>
        <v>0</v>
      </c>
      <c r="G12" s="395" t="s">
        <v>92</v>
      </c>
      <c r="H12" s="387"/>
      <c r="I12" s="776"/>
      <c r="J12" s="585"/>
      <c r="K12" s="387"/>
      <c r="L12" s="387"/>
      <c r="M12" s="775"/>
      <c r="N12" s="775"/>
      <c r="O12" s="775"/>
      <c r="P12" s="304"/>
      <c r="R12" s="159" t="s">
        <v>208</v>
      </c>
      <c r="S12" s="383" t="s">
        <v>70</v>
      </c>
      <c r="T12" s="387"/>
      <c r="U12" s="387"/>
      <c r="V12" s="156"/>
      <c r="X12" s="159" t="s">
        <v>208</v>
      </c>
      <c r="Y12" s="383" t="s">
        <v>70</v>
      </c>
      <c r="Z12" s="387"/>
      <c r="AA12" s="387"/>
      <c r="AB12" s="156"/>
    </row>
    <row r="13" spans="2:28" ht="13.5" thickBot="1" x14ac:dyDescent="0.25">
      <c r="B13" s="397"/>
      <c r="C13" s="390"/>
      <c r="D13" s="383"/>
      <c r="E13" s="387"/>
      <c r="F13" s="382"/>
      <c r="G13" s="395"/>
      <c r="H13" s="387"/>
      <c r="I13" s="387"/>
      <c r="J13" s="387"/>
      <c r="K13" s="387"/>
      <c r="L13" s="176" t="s">
        <v>512</v>
      </c>
      <c r="M13" s="935" t="str">
        <f>IF(AND(F9="Coastal Plain",M10&lt;S8),"DA OUTSIDE RANGE (Below)",IF(AND(F9="Coastal Plain",M10&gt;S9),"DA OUTSIDE RANGE (Above)",IF(AND(F9="Coastal Plain",M10&lt;=S9,M10&gt;S10),S12,IF(AND(F9="Piedmont",M10&lt;T8),"DA OUTSIDE RANGE (Below)",IF(AND(F9="Piedmont",M10&gt;T9),"DA OUTSIDE RANGE (Above)",IF(AND(F9="Piedmont",M10&lt;=T9,M10&gt;T10),S13,"DA IN RANGE"))))))</f>
        <v>DA IN RANGE</v>
      </c>
      <c r="N13" s="935"/>
      <c r="O13" s="935"/>
      <c r="P13" s="304"/>
      <c r="R13" s="301" t="s">
        <v>209</v>
      </c>
      <c r="S13" s="203" t="s">
        <v>72</v>
      </c>
      <c r="T13" s="62"/>
      <c r="U13" s="62"/>
      <c r="V13" s="162"/>
      <c r="X13" s="301" t="s">
        <v>209</v>
      </c>
      <c r="Y13" s="203" t="s">
        <v>70</v>
      </c>
      <c r="Z13" s="62"/>
      <c r="AA13" s="62"/>
      <c r="AB13" s="162"/>
    </row>
    <row r="14" spans="2:28" x14ac:dyDescent="0.2">
      <c r="B14" s="397"/>
      <c r="C14" s="390"/>
      <c r="D14" s="383"/>
      <c r="E14" s="387"/>
      <c r="F14" s="382"/>
      <c r="G14" s="395"/>
      <c r="H14" s="387"/>
      <c r="I14" s="387"/>
      <c r="J14" s="387"/>
      <c r="K14" s="387"/>
      <c r="L14" s="176" t="s">
        <v>513</v>
      </c>
      <c r="M14" s="935" t="str">
        <f>IF(AND(F9="Coastal Plain",M10&lt;Y8),"DA OUTSIDE RANGE (Below)",IF(AND(F9="Coastal Plain",M10&gt;Y9),"DA OUTSIDE RANGE (Above)",IF(AND(F9="Coastal Plain",M10&lt;=Y9,M10&gt;Y10),Y12,IF(AND(F9="Piedmont",M10&lt;Z8),"DA OUTSIDE RANGE (Below)",IF(AND(F9="Piedmont",M10&gt;Z9),"DA OUTSIDE RANGE (Above)",IF(AND(F9="Piedmont",M10&lt;=Z9,M10&gt;Z10),Y13,"DA IN RANGE"))))))</f>
        <v>DA IN RANGE</v>
      </c>
      <c r="N14" s="935"/>
      <c r="O14" s="935"/>
      <c r="P14" s="304"/>
      <c r="R14" s="383"/>
      <c r="S14" s="383"/>
      <c r="T14" s="387"/>
      <c r="U14" s="387"/>
      <c r="V14" s="387"/>
      <c r="X14" s="383"/>
      <c r="Y14" s="383"/>
      <c r="Z14" s="387"/>
      <c r="AA14" s="387"/>
      <c r="AB14" s="387"/>
    </row>
    <row r="15" spans="2:28" ht="13.5" thickBot="1" x14ac:dyDescent="0.25">
      <c r="B15" s="177"/>
      <c r="C15" s="178"/>
      <c r="D15" s="62"/>
      <c r="E15" s="62"/>
      <c r="F15" s="179"/>
      <c r="G15" s="179"/>
      <c r="H15" s="62"/>
      <c r="I15" s="62"/>
      <c r="J15" s="62"/>
      <c r="K15" s="62"/>
      <c r="L15" s="62"/>
      <c r="M15" s="62"/>
      <c r="N15" s="62"/>
      <c r="O15" s="62"/>
      <c r="P15" s="564"/>
    </row>
    <row r="16" spans="2:28" x14ac:dyDescent="0.2">
      <c r="B16" s="169"/>
      <c r="C16" s="200"/>
      <c r="D16" s="158"/>
      <c r="E16" s="158"/>
      <c r="F16" s="567"/>
      <c r="G16" s="567"/>
      <c r="H16" s="158"/>
      <c r="I16" s="158"/>
      <c r="J16" s="158"/>
      <c r="K16" s="158"/>
      <c r="L16" s="158"/>
      <c r="M16" s="158"/>
      <c r="N16" s="158"/>
      <c r="O16" s="158"/>
      <c r="P16" s="369"/>
    </row>
    <row r="17" spans="2:23" s="182" customFormat="1" ht="15.75" customHeight="1" x14ac:dyDescent="0.25">
      <c r="B17" s="181"/>
      <c r="C17" s="604" t="s">
        <v>606</v>
      </c>
      <c r="D17" s="604"/>
      <c r="E17" s="604"/>
      <c r="F17" s="604"/>
      <c r="G17" s="604"/>
      <c r="H17" s="604"/>
      <c r="I17" s="604"/>
      <c r="J17" s="604"/>
      <c r="K17" s="604"/>
      <c r="L17" s="604"/>
      <c r="M17" s="604"/>
      <c r="N17" s="604"/>
      <c r="O17" s="604"/>
      <c r="P17" s="304"/>
      <c r="Q17" s="390"/>
      <c r="R17" s="65"/>
      <c r="S17" s="387"/>
      <c r="T17" s="387"/>
      <c r="U17" s="387"/>
      <c r="V17" s="387"/>
      <c r="W17" s="171"/>
    </row>
    <row r="18" spans="2:23" s="182" customFormat="1" x14ac:dyDescent="0.2">
      <c r="B18" s="181"/>
      <c r="C18" s="390"/>
      <c r="D18" s="390"/>
      <c r="E18" s="390"/>
      <c r="F18" s="383"/>
      <c r="G18" s="387"/>
      <c r="H18" s="387"/>
      <c r="I18" s="387"/>
      <c r="J18" s="387"/>
      <c r="K18" s="390"/>
      <c r="L18" s="390"/>
      <c r="M18" s="390"/>
      <c r="N18" s="383"/>
      <c r="O18" s="390"/>
      <c r="P18" s="304"/>
      <c r="Q18" s="390"/>
      <c r="R18" s="387"/>
      <c r="S18" s="387"/>
      <c r="T18" s="387"/>
      <c r="U18" s="387"/>
      <c r="V18" s="387"/>
      <c r="W18" s="171"/>
    </row>
    <row r="19" spans="2:23" s="182" customFormat="1" x14ac:dyDescent="0.2">
      <c r="B19" s="181"/>
      <c r="C19" s="390"/>
      <c r="D19" s="390"/>
      <c r="E19" s="390"/>
      <c r="F19" s="383"/>
      <c r="G19" s="387"/>
      <c r="H19" s="387"/>
      <c r="I19" s="387"/>
      <c r="J19" s="387"/>
      <c r="K19" s="606" t="s">
        <v>607</v>
      </c>
      <c r="L19" s="889" t="s">
        <v>249</v>
      </c>
      <c r="M19" s="889"/>
      <c r="N19" s="383"/>
      <c r="O19" s="390"/>
      <c r="P19" s="304"/>
      <c r="Q19" s="390"/>
      <c r="R19" s="387"/>
      <c r="S19" s="387"/>
      <c r="T19" s="387"/>
      <c r="U19" s="387"/>
      <c r="V19" s="387"/>
      <c r="W19" s="171"/>
    </row>
    <row r="20" spans="2:23" x14ac:dyDescent="0.2">
      <c r="B20" s="397"/>
      <c r="C20" s="390"/>
      <c r="D20" s="390" t="s">
        <v>608</v>
      </c>
      <c r="E20" s="390"/>
      <c r="F20" s="387"/>
      <c r="G20" s="387"/>
      <c r="H20" s="387"/>
      <c r="I20" s="387"/>
      <c r="J20" s="387"/>
      <c r="K20" s="783" t="str">
        <f>'Site Info'!I99</f>
        <v>No Data</v>
      </c>
      <c r="L20" s="959" t="str">
        <f>'Site Info'!J99</f>
        <v>No Data</v>
      </c>
      <c r="M20" s="959"/>
      <c r="N20" s="387"/>
      <c r="O20" s="387"/>
      <c r="P20" s="304"/>
      <c r="R20" s="387"/>
      <c r="S20" s="382"/>
      <c r="T20" s="382"/>
      <c r="U20" s="387"/>
      <c r="V20" s="387"/>
    </row>
    <row r="21" spans="2:23" x14ac:dyDescent="0.2">
      <c r="B21" s="397"/>
      <c r="C21" s="390"/>
      <c r="D21" s="390" t="s">
        <v>609</v>
      </c>
      <c r="E21" s="390"/>
      <c r="F21" s="387"/>
      <c r="G21" s="387"/>
      <c r="H21" s="387"/>
      <c r="I21" s="387"/>
      <c r="J21" s="387"/>
      <c r="K21" s="783" t="str">
        <f>'Site Info'!I100</f>
        <v>No Data</v>
      </c>
      <c r="L21" s="959" t="str">
        <f>'Site Info'!J100</f>
        <v>No Data</v>
      </c>
      <c r="M21" s="959"/>
      <c r="N21" s="387"/>
      <c r="O21" s="387"/>
      <c r="P21" s="304"/>
      <c r="R21" s="387"/>
      <c r="S21" s="382"/>
      <c r="T21" s="382"/>
      <c r="U21" s="387"/>
      <c r="V21" s="387"/>
    </row>
    <row r="22" spans="2:23" x14ac:dyDescent="0.2">
      <c r="B22" s="397"/>
      <c r="C22" s="390"/>
      <c r="D22" s="390" t="s">
        <v>610</v>
      </c>
      <c r="E22" s="390"/>
      <c r="F22" s="387"/>
      <c r="G22" s="387"/>
      <c r="H22" s="387"/>
      <c r="I22" s="387"/>
      <c r="J22" s="387"/>
      <c r="K22" s="783" t="str">
        <f>'Site Info'!I101</f>
        <v>No Data</v>
      </c>
      <c r="L22" s="959" t="str">
        <f>'Site Info'!J101</f>
        <v>No Data</v>
      </c>
      <c r="M22" s="959"/>
      <c r="N22" s="387"/>
      <c r="O22" s="387"/>
      <c r="P22" s="304"/>
      <c r="R22" s="382"/>
      <c r="S22" s="391"/>
      <c r="T22" s="391"/>
      <c r="U22" s="383"/>
      <c r="V22" s="387"/>
    </row>
    <row r="23" spans="2:23" x14ac:dyDescent="0.2">
      <c r="B23" s="397"/>
      <c r="C23" s="390"/>
      <c r="D23" s="390" t="s">
        <v>611</v>
      </c>
      <c r="E23" s="390"/>
      <c r="F23" s="387"/>
      <c r="G23" s="387"/>
      <c r="H23" s="387"/>
      <c r="I23" s="387"/>
      <c r="J23" s="387"/>
      <c r="K23" s="783" t="str">
        <f>'Site Info'!I102</f>
        <v>No Data</v>
      </c>
      <c r="L23" s="959" t="str">
        <f>'Site Info'!J102</f>
        <v>No Data</v>
      </c>
      <c r="M23" s="959"/>
      <c r="N23" s="387"/>
      <c r="O23" s="387"/>
      <c r="P23" s="304"/>
      <c r="R23" s="382"/>
      <c r="S23" s="391"/>
      <c r="T23" s="391"/>
      <c r="U23" s="383"/>
      <c r="V23" s="387"/>
    </row>
    <row r="24" spans="2:23" x14ac:dyDescent="0.2">
      <c r="B24" s="397"/>
      <c r="C24" s="390"/>
      <c r="D24" s="68" t="s">
        <v>633</v>
      </c>
      <c r="E24" s="387"/>
      <c r="F24" s="387"/>
      <c r="G24" s="387"/>
      <c r="H24" s="387"/>
      <c r="I24" s="387"/>
      <c r="J24" s="387"/>
      <c r="K24" s="783" t="str">
        <f>'Site Info'!I103</f>
        <v>No Data</v>
      </c>
      <c r="L24" s="387"/>
      <c r="M24" s="387"/>
      <c r="N24" s="387"/>
      <c r="O24" s="387"/>
      <c r="P24" s="304"/>
      <c r="R24" s="383"/>
      <c r="S24" s="391"/>
      <c r="T24" s="391"/>
      <c r="U24" s="383"/>
      <c r="V24" s="387"/>
    </row>
    <row r="25" spans="2:23" x14ac:dyDescent="0.2">
      <c r="B25" s="397"/>
      <c r="C25" s="390"/>
      <c r="D25" s="387"/>
      <c r="E25" s="387"/>
      <c r="F25" s="387"/>
      <c r="G25" s="390"/>
      <c r="H25" s="387"/>
      <c r="I25" s="387"/>
      <c r="J25" s="387"/>
      <c r="K25" s="334"/>
      <c r="L25" s="387"/>
      <c r="M25" s="387"/>
      <c r="N25" s="387"/>
      <c r="O25" s="387"/>
      <c r="P25" s="304"/>
      <c r="R25" s="387"/>
      <c r="S25" s="387"/>
      <c r="T25" s="387"/>
      <c r="U25" s="387"/>
      <c r="V25" s="387"/>
    </row>
    <row r="26" spans="2:23" x14ac:dyDescent="0.2">
      <c r="B26" s="397"/>
      <c r="C26" s="390"/>
      <c r="D26" s="386" t="s">
        <v>631</v>
      </c>
      <c r="E26" s="387"/>
      <c r="F26" s="387"/>
      <c r="G26" s="387"/>
      <c r="H26" s="387"/>
      <c r="I26" s="387"/>
      <c r="J26" s="387"/>
      <c r="K26" s="387"/>
      <c r="L26" s="780" t="str">
        <f>IF(K24&gt;0.82,"OUTSIDE RANGE","OK")</f>
        <v>OUTSIDE RANGE</v>
      </c>
      <c r="M26" s="387"/>
      <c r="N26" s="387"/>
      <c r="O26" s="387"/>
      <c r="P26" s="574"/>
      <c r="Q26" s="786"/>
      <c r="R26" s="387"/>
    </row>
    <row r="27" spans="2:23" x14ac:dyDescent="0.2">
      <c r="B27" s="397"/>
      <c r="C27" s="390"/>
      <c r="D27" s="386" t="s">
        <v>632</v>
      </c>
      <c r="E27" s="387"/>
      <c r="F27" s="387"/>
      <c r="G27" s="387"/>
      <c r="H27" s="387"/>
      <c r="I27" s="387"/>
      <c r="J27" s="387"/>
      <c r="K27" s="387"/>
      <c r="L27" s="780" t="str">
        <f>IF(AND(F9="Coastal Plain",K24&gt;0.9),"OUTSIDE RANGE",IF(AND(F9="Piedmont",K24&gt;0.9),"OUTSIDE RANGE","OK"))</f>
        <v>OK</v>
      </c>
      <c r="M27" s="387"/>
      <c r="N27" s="387"/>
      <c r="O27" s="387"/>
      <c r="P27" s="574"/>
      <c r="Q27" s="786"/>
      <c r="R27" s="387"/>
    </row>
    <row r="28" spans="2:23" x14ac:dyDescent="0.2">
      <c r="B28" s="397"/>
      <c r="C28" s="390"/>
      <c r="D28" s="387"/>
      <c r="E28" s="387"/>
      <c r="F28" s="390"/>
      <c r="G28" s="387"/>
      <c r="H28" s="387"/>
      <c r="I28" s="387"/>
      <c r="J28" s="387"/>
      <c r="K28" s="387"/>
      <c r="L28" s="64"/>
      <c r="M28" s="387"/>
      <c r="N28" s="387"/>
      <c r="O28" s="387"/>
      <c r="P28" s="304"/>
    </row>
    <row r="29" spans="2:23" ht="12.75" customHeight="1" x14ac:dyDescent="0.2">
      <c r="B29" s="397"/>
      <c r="C29" s="1007" t="s">
        <v>615</v>
      </c>
      <c r="D29" s="1008"/>
      <c r="E29" s="1008"/>
      <c r="F29" s="1008"/>
      <c r="G29" s="1008"/>
      <c r="H29" s="1008"/>
      <c r="I29" s="1008"/>
      <c r="J29" s="790"/>
      <c r="K29" s="790"/>
      <c r="L29" s="790"/>
      <c r="M29" s="790"/>
      <c r="N29" s="790"/>
      <c r="O29" s="790"/>
      <c r="P29" s="304"/>
    </row>
    <row r="30" spans="2:23" s="387" customFormat="1" x14ac:dyDescent="0.2">
      <c r="B30" s="397"/>
      <c r="C30" s="790"/>
      <c r="D30" s="790"/>
      <c r="E30" s="790"/>
      <c r="F30" s="790"/>
      <c r="G30" s="790"/>
      <c r="H30" s="790"/>
      <c r="I30" s="790"/>
      <c r="J30" s="790"/>
      <c r="K30" s="790"/>
      <c r="L30" s="790"/>
      <c r="M30" s="790"/>
      <c r="N30" s="790"/>
      <c r="O30" s="790"/>
      <c r="P30" s="304"/>
    </row>
    <row r="31" spans="2:23" s="387" customFormat="1" x14ac:dyDescent="0.2">
      <c r="B31" s="397"/>
      <c r="D31" s="390"/>
      <c r="F31" s="390"/>
      <c r="P31" s="304"/>
    </row>
    <row r="32" spans="2:23" s="387" customFormat="1" ht="15.75" x14ac:dyDescent="0.25">
      <c r="B32" s="397"/>
      <c r="C32" s="507" t="s">
        <v>451</v>
      </c>
      <c r="P32" s="304"/>
    </row>
    <row r="33" spans="2:17" s="387" customFormat="1" ht="15.75" x14ac:dyDescent="0.25">
      <c r="B33" s="397"/>
      <c r="C33" s="68" t="s">
        <v>472</v>
      </c>
      <c r="F33" s="220"/>
      <c r="P33" s="304"/>
    </row>
    <row r="34" spans="2:17" s="387" customFormat="1" x14ac:dyDescent="0.2">
      <c r="B34" s="397"/>
      <c r="C34" s="390" t="s">
        <v>514</v>
      </c>
      <c r="P34" s="304"/>
    </row>
    <row r="35" spans="2:17" s="387" customFormat="1" ht="24.75" customHeight="1" x14ac:dyDescent="0.2">
      <c r="B35" s="397"/>
      <c r="C35" s="1012" t="s">
        <v>550</v>
      </c>
      <c r="D35" s="920"/>
      <c r="E35" s="920"/>
      <c r="F35" s="920"/>
      <c r="G35" s="920"/>
      <c r="H35" s="920"/>
      <c r="I35" s="920"/>
      <c r="J35" s="920"/>
      <c r="K35" s="920"/>
      <c r="L35" s="920"/>
      <c r="M35" s="920"/>
      <c r="N35" s="920"/>
      <c r="O35" s="920"/>
      <c r="P35" s="304"/>
    </row>
    <row r="36" spans="2:17" s="387" customFormat="1" x14ac:dyDescent="0.2">
      <c r="B36" s="397"/>
      <c r="C36" s="221" t="s">
        <v>422</v>
      </c>
      <c r="D36" s="221" t="s">
        <v>634</v>
      </c>
      <c r="P36" s="304"/>
    </row>
    <row r="37" spans="2:17" s="387" customFormat="1" x14ac:dyDescent="0.2">
      <c r="B37" s="397"/>
      <c r="D37" s="221" t="s">
        <v>425</v>
      </c>
      <c r="P37" s="304"/>
    </row>
    <row r="38" spans="2:17" s="387" customFormat="1" x14ac:dyDescent="0.2">
      <c r="B38" s="397"/>
      <c r="D38" s="383" t="s">
        <v>426</v>
      </c>
      <c r="P38" s="304"/>
    </row>
    <row r="39" spans="2:17" s="387" customFormat="1" x14ac:dyDescent="0.2">
      <c r="B39" s="397"/>
      <c r="D39" s="383" t="s">
        <v>427</v>
      </c>
      <c r="P39" s="304"/>
    </row>
    <row r="40" spans="2:17" s="387" customFormat="1" x14ac:dyDescent="0.2">
      <c r="B40" s="397"/>
      <c r="P40" s="304"/>
    </row>
    <row r="41" spans="2:17" s="387" customFormat="1" x14ac:dyDescent="0.2">
      <c r="B41" s="397"/>
      <c r="C41" s="68" t="s">
        <v>473</v>
      </c>
      <c r="E41" s="383"/>
      <c r="P41" s="304"/>
    </row>
    <row r="42" spans="2:17" s="387" customFormat="1" x14ac:dyDescent="0.2">
      <c r="B42" s="397"/>
      <c r="C42" s="390" t="s">
        <v>504</v>
      </c>
      <c r="P42" s="304"/>
    </row>
    <row r="43" spans="2:17" s="387" customFormat="1" x14ac:dyDescent="0.2">
      <c r="B43" s="397"/>
      <c r="C43" s="221" t="s">
        <v>422</v>
      </c>
      <c r="D43" s="221" t="s">
        <v>635</v>
      </c>
      <c r="P43" s="304"/>
    </row>
    <row r="44" spans="2:17" s="387" customFormat="1" x14ac:dyDescent="0.2">
      <c r="B44" s="397"/>
      <c r="D44" s="383" t="s">
        <v>428</v>
      </c>
      <c r="P44" s="304"/>
    </row>
    <row r="45" spans="2:17" s="387" customFormat="1" x14ac:dyDescent="0.2">
      <c r="B45" s="397"/>
      <c r="D45" s="383" t="s">
        <v>429</v>
      </c>
      <c r="P45" s="304"/>
    </row>
    <row r="46" spans="2:17" s="387" customFormat="1" ht="13.5" thickBot="1" x14ac:dyDescent="0.25">
      <c r="B46" s="177"/>
      <c r="C46" s="62"/>
      <c r="D46" s="62"/>
      <c r="E46" s="62"/>
      <c r="F46" s="62"/>
      <c r="G46" s="62"/>
      <c r="H46" s="62"/>
      <c r="I46" s="62"/>
      <c r="J46" s="62"/>
      <c r="K46" s="62"/>
      <c r="L46" s="62"/>
      <c r="M46" s="62"/>
      <c r="N46" s="62"/>
      <c r="O46" s="62"/>
      <c r="P46" s="564"/>
    </row>
    <row r="47" spans="2:17" ht="20.25" customHeight="1" x14ac:dyDescent="0.2">
      <c r="B47" s="169"/>
      <c r="C47" s="158"/>
      <c r="D47" s="200"/>
      <c r="E47" s="158"/>
      <c r="F47" s="158"/>
      <c r="G47" s="158"/>
      <c r="H47" s="158"/>
      <c r="I47" s="200"/>
      <c r="J47" s="158"/>
      <c r="K47" s="200"/>
      <c r="L47" s="158"/>
      <c r="M47" s="158"/>
      <c r="N47" s="158"/>
      <c r="O47" s="158"/>
      <c r="P47" s="369">
        <v>2</v>
      </c>
      <c r="Q47" s="390"/>
    </row>
    <row r="48" spans="2:17" ht="15.75" x14ac:dyDescent="0.25">
      <c r="B48" s="397"/>
      <c r="C48" s="604" t="s">
        <v>551</v>
      </c>
      <c r="D48" s="604"/>
      <c r="E48" s="604"/>
      <c r="F48" s="604"/>
      <c r="G48" s="604"/>
      <c r="H48" s="604"/>
      <c r="I48" s="604"/>
      <c r="J48" s="604"/>
      <c r="K48" s="604"/>
      <c r="L48" s="604"/>
      <c r="M48" s="604"/>
      <c r="N48" s="604"/>
      <c r="O48" s="604"/>
      <c r="P48" s="304"/>
      <c r="Q48" s="390"/>
    </row>
    <row r="49" spans="2:20" s="383" customFormat="1" x14ac:dyDescent="0.2">
      <c r="B49" s="159"/>
      <c r="D49" s="390"/>
      <c r="I49" s="390"/>
      <c r="K49" s="184"/>
      <c r="L49" s="786" t="s">
        <v>59</v>
      </c>
      <c r="N49" s="390"/>
      <c r="O49" s="390"/>
      <c r="P49" s="304"/>
      <c r="Q49" s="390"/>
    </row>
    <row r="50" spans="2:20" s="383" customFormat="1" ht="26.25" customHeight="1" x14ac:dyDescent="0.2">
      <c r="B50" s="159"/>
      <c r="D50" s="1003" t="s">
        <v>553</v>
      </c>
      <c r="E50" s="920"/>
      <c r="F50" s="920"/>
      <c r="G50" s="920"/>
      <c r="H50" s="920"/>
      <c r="I50" s="920"/>
      <c r="J50" s="920"/>
      <c r="K50" s="390"/>
      <c r="O50" s="390"/>
      <c r="P50" s="304"/>
      <c r="Q50" s="390"/>
    </row>
    <row r="51" spans="2:20" s="383" customFormat="1" x14ac:dyDescent="0.2">
      <c r="B51" s="159"/>
      <c r="E51" s="383" t="s">
        <v>116</v>
      </c>
      <c r="L51" s="1005" t="str">
        <f>IF(K24="No Data","N/A",IF(OR(J11="Yes",J10="Yes"),"N/A",24.7*K24^2+1.3*K24))</f>
        <v>N/A</v>
      </c>
      <c r="M51" s="1006"/>
      <c r="N51" s="390" t="s">
        <v>7</v>
      </c>
      <c r="O51" s="390"/>
      <c r="P51" s="304"/>
      <c r="Q51" s="390"/>
    </row>
    <row r="52" spans="2:20" s="175" customFormat="1" x14ac:dyDescent="0.2">
      <c r="B52" s="159"/>
      <c r="C52" s="383"/>
      <c r="D52" s="383"/>
      <c r="E52" s="383"/>
      <c r="F52" s="383"/>
      <c r="G52" s="383"/>
      <c r="H52" s="383"/>
      <c r="I52" s="383"/>
      <c r="J52" s="383"/>
      <c r="K52" s="383"/>
      <c r="L52" s="383"/>
      <c r="N52" s="383"/>
      <c r="O52" s="383"/>
      <c r="P52" s="304"/>
      <c r="Q52" s="383"/>
    </row>
    <row r="53" spans="2:20" s="383" customFormat="1" ht="27" customHeight="1" x14ac:dyDescent="0.2">
      <c r="B53" s="159"/>
      <c r="D53" s="1003" t="s">
        <v>552</v>
      </c>
      <c r="E53" s="920"/>
      <c r="F53" s="920"/>
      <c r="G53" s="920"/>
      <c r="H53" s="920"/>
      <c r="I53" s="920"/>
      <c r="J53" s="920"/>
      <c r="K53" s="390"/>
      <c r="O53" s="390"/>
      <c r="P53" s="304"/>
      <c r="Q53" s="390"/>
    </row>
    <row r="54" spans="2:20" s="383" customFormat="1" x14ac:dyDescent="0.2">
      <c r="B54" s="159"/>
      <c r="E54" s="383" t="s">
        <v>116</v>
      </c>
      <c r="L54" s="1005" t="str">
        <f>IF(K24="No Data","N/A",IF(OR(J11="Yes",J10="Yes"),"N/A",IF(M10&lt;=100,16*K24^2,IF(AND(M10&gt;100,M10&lt;=200),20*K24^2+K24,"N/A"))))</f>
        <v>N/A</v>
      </c>
      <c r="M54" s="1006"/>
      <c r="N54" s="390" t="s">
        <v>7</v>
      </c>
      <c r="O54" s="390"/>
      <c r="P54" s="304"/>
      <c r="Q54" s="390"/>
    </row>
    <row r="55" spans="2:20" s="383" customFormat="1" x14ac:dyDescent="0.2">
      <c r="B55" s="159"/>
      <c r="D55" s="390"/>
      <c r="J55" s="753"/>
      <c r="K55" s="390"/>
      <c r="O55" s="390"/>
      <c r="P55" s="304"/>
      <c r="Q55" s="390"/>
    </row>
    <row r="56" spans="2:20" s="175" customFormat="1" x14ac:dyDescent="0.2">
      <c r="B56" s="159"/>
      <c r="C56" s="383"/>
      <c r="D56" s="1011" t="s">
        <v>410</v>
      </c>
      <c r="E56" s="1011"/>
      <c r="F56" s="1011"/>
      <c r="G56" s="1011"/>
      <c r="H56" s="1011"/>
      <c r="I56" s="1011"/>
      <c r="J56" s="383"/>
      <c r="K56" s="383"/>
      <c r="O56" s="390"/>
      <c r="P56" s="304"/>
      <c r="Q56" s="390"/>
      <c r="R56" s="383"/>
      <c r="S56" s="383"/>
      <c r="T56" s="383"/>
    </row>
    <row r="57" spans="2:20" s="175" customFormat="1" x14ac:dyDescent="0.2">
      <c r="B57" s="159"/>
      <c r="C57" s="383"/>
      <c r="D57" s="789"/>
      <c r="E57" s="979" t="s">
        <v>494</v>
      </c>
      <c r="F57" s="979"/>
      <c r="G57" s="979"/>
      <c r="H57" s="979"/>
      <c r="I57" s="979"/>
      <c r="J57" s="383"/>
      <c r="K57" s="383"/>
      <c r="L57" s="953" t="s">
        <v>489</v>
      </c>
      <c r="M57" s="954"/>
      <c r="N57" s="303"/>
      <c r="O57" s="390"/>
      <c r="P57" s="304"/>
      <c r="Q57" s="390"/>
      <c r="R57" s="383" t="s">
        <v>489</v>
      </c>
      <c r="S57" s="383"/>
      <c r="T57" s="383"/>
    </row>
    <row r="58" spans="2:20" s="175" customFormat="1" x14ac:dyDescent="0.2">
      <c r="B58" s="159"/>
      <c r="C58" s="383"/>
      <c r="D58" s="789"/>
      <c r="E58" s="979" t="s">
        <v>495</v>
      </c>
      <c r="F58" s="979"/>
      <c r="G58" s="979"/>
      <c r="H58" s="979"/>
      <c r="I58" s="979"/>
      <c r="J58" s="383"/>
      <c r="K58" s="383"/>
      <c r="L58" s="957" t="str">
        <f>IF(L57="Automatic Selection",(IF(M10&lt;=200,L54,L51)),IF(L57="Original Curve Selection",L51,IF(L57="Modified Curve Selection",L54,"N/A")))</f>
        <v>N/A</v>
      </c>
      <c r="M58" s="958"/>
      <c r="N58" s="303" t="s">
        <v>7</v>
      </c>
      <c r="O58" s="390"/>
      <c r="P58" s="304"/>
      <c r="Q58" s="390"/>
      <c r="R58" s="383" t="s">
        <v>490</v>
      </c>
      <c r="S58" s="383"/>
      <c r="T58" s="383"/>
    </row>
    <row r="59" spans="2:20" s="175" customFormat="1" x14ac:dyDescent="0.2">
      <c r="B59" s="159"/>
      <c r="C59" s="383"/>
      <c r="D59" s="390"/>
      <c r="E59" s="383"/>
      <c r="F59" s="383"/>
      <c r="G59" s="383"/>
      <c r="H59" s="383"/>
      <c r="I59" s="390"/>
      <c r="J59" s="383"/>
      <c r="K59" s="390"/>
      <c r="L59" s="383"/>
      <c r="N59" s="383"/>
      <c r="O59" s="383"/>
      <c r="P59" s="304"/>
      <c r="Q59" s="390"/>
      <c r="R59" s="383" t="s">
        <v>491</v>
      </c>
      <c r="S59" s="383"/>
      <c r="T59" s="383"/>
    </row>
    <row r="60" spans="2:20" s="175" customFormat="1" ht="26.25" customHeight="1" x14ac:dyDescent="0.2">
      <c r="B60" s="159"/>
      <c r="C60" s="383"/>
      <c r="D60" s="1004" t="s">
        <v>515</v>
      </c>
      <c r="E60" s="920"/>
      <c r="F60" s="920"/>
      <c r="G60" s="920"/>
      <c r="H60" s="920"/>
      <c r="I60" s="920"/>
      <c r="J60" s="920"/>
      <c r="K60" s="390"/>
      <c r="L60" s="383"/>
      <c r="N60" s="383"/>
      <c r="O60" s="383"/>
      <c r="P60" s="304"/>
      <c r="Q60" s="390"/>
      <c r="R60" s="383"/>
      <c r="S60" s="383"/>
      <c r="T60" s="383"/>
    </row>
    <row r="61" spans="2:20" s="175" customFormat="1" x14ac:dyDescent="0.2">
      <c r="B61" s="159"/>
      <c r="C61" s="383"/>
      <c r="D61" s="605"/>
      <c r="E61" s="383" t="s">
        <v>493</v>
      </c>
      <c r="F61" s="383"/>
      <c r="G61" s="383"/>
      <c r="H61" s="383"/>
      <c r="I61" s="390"/>
      <c r="J61" s="383"/>
      <c r="K61" s="390"/>
      <c r="L61" s="955">
        <v>1.32</v>
      </c>
      <c r="M61" s="956"/>
      <c r="N61" s="383"/>
      <c r="O61" s="383"/>
      <c r="P61" s="304"/>
      <c r="Q61" s="390"/>
      <c r="R61" s="383"/>
      <c r="S61" s="383"/>
      <c r="T61" s="383"/>
    </row>
    <row r="62" spans="2:20" s="175" customFormat="1" x14ac:dyDescent="0.2">
      <c r="B62" s="159"/>
      <c r="C62" s="383"/>
      <c r="D62" s="383"/>
      <c r="E62" s="383" t="s">
        <v>412</v>
      </c>
      <c r="F62" s="383"/>
      <c r="G62" s="383"/>
      <c r="H62" s="383"/>
      <c r="I62" s="390"/>
      <c r="J62" s="383"/>
      <c r="K62" s="390"/>
      <c r="L62" s="951" t="str">
        <f>IF(L58="N/A","N/A",IF(AND(J9="Yes",J10="Yes"),"N/A",IF(AND(J9="Yes",J11="Yes"),"N/A",IF(J11="Yes","N/A",ROUND(L58*1.32,1)))))</f>
        <v>N/A</v>
      </c>
      <c r="M62" s="952"/>
      <c r="N62" s="303" t="s">
        <v>7</v>
      </c>
      <c r="O62" s="383"/>
      <c r="P62" s="304"/>
      <c r="Q62" s="390"/>
      <c r="R62" s="383"/>
      <c r="S62" s="383"/>
      <c r="T62" s="383"/>
    </row>
    <row r="63" spans="2:20" s="387" customFormat="1" x14ac:dyDescent="0.2">
      <c r="B63" s="397"/>
      <c r="D63" s="183"/>
      <c r="P63" s="304"/>
    </row>
    <row r="64" spans="2:20" s="387" customFormat="1" ht="15.75" x14ac:dyDescent="0.25">
      <c r="B64" s="397"/>
      <c r="C64" s="507" t="s">
        <v>451</v>
      </c>
      <c r="P64" s="304"/>
    </row>
    <row r="65" spans="2:21" s="387" customFormat="1" ht="12.75" customHeight="1" x14ac:dyDescent="0.25">
      <c r="B65" s="397"/>
      <c r="C65" s="68" t="s">
        <v>474</v>
      </c>
      <c r="D65" s="220"/>
      <c r="P65" s="304"/>
    </row>
    <row r="66" spans="2:21" s="387" customFormat="1" ht="12.75" customHeight="1" x14ac:dyDescent="0.25">
      <c r="B66" s="397"/>
      <c r="C66" s="390" t="s">
        <v>516</v>
      </c>
      <c r="D66" s="220"/>
      <c r="P66" s="304"/>
    </row>
    <row r="67" spans="2:21" s="387" customFormat="1" ht="24.75" customHeight="1" x14ac:dyDescent="0.2">
      <c r="B67" s="397"/>
      <c r="C67" s="390"/>
      <c r="D67" s="989" t="s">
        <v>554</v>
      </c>
      <c r="E67" s="920"/>
      <c r="F67" s="920"/>
      <c r="G67" s="920"/>
      <c r="H67" s="920"/>
      <c r="I67" s="920"/>
      <c r="J67" s="920"/>
      <c r="K67" s="920"/>
      <c r="L67" s="920"/>
      <c r="M67" s="920"/>
      <c r="N67" s="920"/>
      <c r="O67" s="920"/>
      <c r="P67" s="304"/>
    </row>
    <row r="68" spans="2:21" s="387" customFormat="1" ht="12.75" customHeight="1" x14ac:dyDescent="0.2">
      <c r="B68" s="397"/>
      <c r="D68" s="987" t="s">
        <v>517</v>
      </c>
      <c r="E68" s="987"/>
      <c r="F68" s="987"/>
      <c r="G68" s="987"/>
      <c r="H68" s="987"/>
      <c r="I68" s="987"/>
      <c r="J68" s="987"/>
      <c r="K68" s="987"/>
      <c r="L68" s="987"/>
      <c r="M68" s="987"/>
      <c r="N68" s="987"/>
      <c r="O68" s="987"/>
      <c r="P68" s="304"/>
    </row>
    <row r="69" spans="2:21" x14ac:dyDescent="0.2">
      <c r="B69" s="397"/>
      <c r="C69" s="387"/>
      <c r="D69" s="987"/>
      <c r="E69" s="987"/>
      <c r="F69" s="987"/>
      <c r="G69" s="987"/>
      <c r="H69" s="987"/>
      <c r="I69" s="987"/>
      <c r="J69" s="987"/>
      <c r="K69" s="987"/>
      <c r="L69" s="987"/>
      <c r="M69" s="987"/>
      <c r="N69" s="987"/>
      <c r="O69" s="987"/>
      <c r="P69" s="304"/>
      <c r="Q69" s="390"/>
    </row>
    <row r="70" spans="2:21" ht="12.75" customHeight="1" x14ac:dyDescent="0.2">
      <c r="B70" s="397"/>
      <c r="C70" s="387"/>
      <c r="D70" s="754" t="s">
        <v>314</v>
      </c>
      <c r="E70" s="387"/>
      <c r="F70" s="754"/>
      <c r="G70" s="754"/>
      <c r="H70" s="754"/>
      <c r="I70" s="754"/>
      <c r="J70" s="754"/>
      <c r="K70" s="754"/>
      <c r="L70" s="754"/>
      <c r="M70" s="754"/>
      <c r="N70" s="754"/>
      <c r="O70" s="387"/>
      <c r="P70" s="304"/>
      <c r="Q70" s="390"/>
    </row>
    <row r="71" spans="2:21" x14ac:dyDescent="0.2">
      <c r="B71" s="397"/>
      <c r="C71" s="387"/>
      <c r="D71" s="387"/>
      <c r="E71" s="754"/>
      <c r="F71" s="754"/>
      <c r="G71" s="754"/>
      <c r="H71" s="754"/>
      <c r="I71" s="754"/>
      <c r="J71" s="754"/>
      <c r="K71" s="754"/>
      <c r="L71" s="754"/>
      <c r="M71" s="754"/>
      <c r="N71" s="754"/>
      <c r="O71" s="387"/>
      <c r="P71" s="304"/>
      <c r="Q71" s="390"/>
    </row>
    <row r="72" spans="2:21" x14ac:dyDescent="0.2">
      <c r="B72" s="397"/>
      <c r="C72" s="605" t="s">
        <v>475</v>
      </c>
      <c r="D72" s="387"/>
      <c r="E72" s="383"/>
      <c r="F72" s="387"/>
      <c r="G72" s="387"/>
      <c r="H72" s="387"/>
      <c r="I72" s="390"/>
      <c r="J72" s="387"/>
      <c r="K72" s="390"/>
      <c r="L72" s="387"/>
      <c r="M72" s="387"/>
      <c r="N72" s="387"/>
      <c r="O72" s="387"/>
      <c r="P72" s="304"/>
      <c r="Q72" s="390"/>
      <c r="R72" s="387"/>
      <c r="S72" s="387"/>
      <c r="T72" s="387"/>
      <c r="U72" s="387"/>
    </row>
    <row r="73" spans="2:21" x14ac:dyDescent="0.2">
      <c r="B73" s="397"/>
      <c r="C73" s="390" t="s">
        <v>509</v>
      </c>
      <c r="D73" s="387"/>
      <c r="E73" s="387"/>
      <c r="F73" s="387"/>
      <c r="G73" s="387"/>
      <c r="H73" s="387"/>
      <c r="I73" s="387"/>
      <c r="J73" s="390"/>
      <c r="K73" s="387"/>
      <c r="L73" s="387"/>
      <c r="M73" s="387"/>
      <c r="N73" s="387"/>
      <c r="O73" s="387"/>
      <c r="P73" s="304"/>
      <c r="Q73" s="390"/>
      <c r="R73" s="383"/>
      <c r="S73" s="383"/>
      <c r="T73" s="383"/>
      <c r="U73" s="387"/>
    </row>
    <row r="74" spans="2:21" ht="15.75" x14ac:dyDescent="0.3">
      <c r="B74" s="397"/>
      <c r="C74" s="387"/>
      <c r="D74" s="221" t="s">
        <v>404</v>
      </c>
      <c r="E74" s="387"/>
      <c r="F74" s="387"/>
      <c r="G74" s="387"/>
      <c r="H74" s="387"/>
      <c r="I74" s="387"/>
      <c r="J74" s="390"/>
      <c r="K74" s="387"/>
      <c r="L74" s="387"/>
      <c r="M74" s="387"/>
      <c r="N74" s="387"/>
      <c r="O74" s="387"/>
      <c r="P74" s="304"/>
      <c r="Q74" s="390"/>
      <c r="R74" s="383"/>
      <c r="S74" s="383"/>
      <c r="T74" s="383"/>
      <c r="U74" s="387"/>
    </row>
    <row r="75" spans="2:21" ht="26.25" customHeight="1" x14ac:dyDescent="0.2">
      <c r="B75" s="397"/>
      <c r="C75" s="387"/>
      <c r="D75" s="989" t="s">
        <v>555</v>
      </c>
      <c r="E75" s="920"/>
      <c r="F75" s="920"/>
      <c r="G75" s="920"/>
      <c r="H75" s="920"/>
      <c r="I75" s="920"/>
      <c r="J75" s="920"/>
      <c r="K75" s="920"/>
      <c r="L75" s="920"/>
      <c r="M75" s="920"/>
      <c r="N75" s="920"/>
      <c r="O75" s="920"/>
      <c r="P75" s="304"/>
      <c r="Q75" s="390"/>
      <c r="R75" s="383"/>
      <c r="S75" s="383"/>
      <c r="T75" s="383"/>
      <c r="U75" s="387"/>
    </row>
    <row r="76" spans="2:21" ht="13.5" thickBot="1" x14ac:dyDescent="0.25">
      <c r="B76" s="177"/>
      <c r="C76" s="62"/>
      <c r="D76" s="62"/>
      <c r="E76" s="612"/>
      <c r="F76" s="62"/>
      <c r="G76" s="62"/>
      <c r="H76" s="62"/>
      <c r="I76" s="62"/>
      <c r="J76" s="178"/>
      <c r="K76" s="62"/>
      <c r="L76" s="62"/>
      <c r="M76" s="62"/>
      <c r="N76" s="62"/>
      <c r="O76" s="62"/>
      <c r="P76" s="564"/>
      <c r="Q76" s="390"/>
      <c r="R76" s="383"/>
      <c r="S76" s="383"/>
      <c r="T76" s="383"/>
      <c r="U76" s="387"/>
    </row>
    <row r="77" spans="2:21" x14ac:dyDescent="0.2">
      <c r="B77" s="169"/>
      <c r="C77" s="158"/>
      <c r="D77" s="158"/>
      <c r="E77" s="158"/>
      <c r="F77" s="158"/>
      <c r="G77" s="158"/>
      <c r="H77" s="158"/>
      <c r="I77" s="158"/>
      <c r="J77" s="158"/>
      <c r="K77" s="158"/>
      <c r="L77" s="158"/>
      <c r="M77" s="158"/>
      <c r="N77" s="158"/>
      <c r="O77" s="158"/>
      <c r="P77" s="369"/>
      <c r="R77" s="387"/>
      <c r="S77" s="387"/>
      <c r="T77" s="387"/>
      <c r="U77" s="387"/>
    </row>
    <row r="78" spans="2:21" s="51" customFormat="1" ht="15.75" x14ac:dyDescent="0.25">
      <c r="B78" s="50"/>
      <c r="C78" s="381" t="s">
        <v>452</v>
      </c>
      <c r="D78" s="380"/>
      <c r="E78" s="380"/>
      <c r="F78" s="380"/>
      <c r="G78" s="380"/>
      <c r="H78" s="380"/>
      <c r="I78" s="380"/>
      <c r="J78" s="380"/>
      <c r="K78" s="380"/>
      <c r="L78" s="380"/>
      <c r="M78" s="380"/>
      <c r="N78" s="380"/>
      <c r="O78" s="380"/>
      <c r="P78" s="478"/>
      <c r="R78" s="387"/>
      <c r="S78" s="387"/>
      <c r="T78" s="387"/>
      <c r="U78" s="387"/>
    </row>
    <row r="79" spans="2:21" s="51" customFormat="1" ht="12.75" customHeight="1" x14ac:dyDescent="0.2">
      <c r="B79" s="50"/>
      <c r="C79" s="388">
        <v>1</v>
      </c>
      <c r="D79" s="913" t="s">
        <v>541</v>
      </c>
      <c r="E79" s="913"/>
      <c r="F79" s="913"/>
      <c r="G79" s="913"/>
      <c r="H79" s="913"/>
      <c r="I79" s="913"/>
      <c r="J79" s="913"/>
      <c r="K79" s="913"/>
      <c r="L79" s="913"/>
      <c r="M79" s="913"/>
      <c r="N79" s="913"/>
      <c r="O79" s="913"/>
      <c r="P79" s="478"/>
      <c r="R79" s="383"/>
      <c r="S79" s="383"/>
      <c r="T79" s="383"/>
      <c r="U79" s="387"/>
    </row>
    <row r="80" spans="2:21" s="51" customFormat="1" x14ac:dyDescent="0.2">
      <c r="B80" s="50"/>
      <c r="C80" s="223"/>
      <c r="D80" s="913"/>
      <c r="E80" s="913"/>
      <c r="F80" s="913"/>
      <c r="G80" s="913"/>
      <c r="H80" s="913"/>
      <c r="I80" s="913"/>
      <c r="J80" s="913"/>
      <c r="K80" s="913"/>
      <c r="L80" s="913"/>
      <c r="M80" s="913"/>
      <c r="N80" s="913"/>
      <c r="O80" s="913"/>
      <c r="P80" s="478"/>
      <c r="R80" s="383"/>
      <c r="S80" s="383"/>
      <c r="T80" s="383"/>
      <c r="U80" s="387"/>
    </row>
    <row r="81" spans="2:21" s="51" customFormat="1" x14ac:dyDescent="0.2">
      <c r="B81" s="50"/>
      <c r="C81" s="223"/>
      <c r="D81" s="913"/>
      <c r="E81" s="913"/>
      <c r="F81" s="913"/>
      <c r="G81" s="913"/>
      <c r="H81" s="913"/>
      <c r="I81" s="913"/>
      <c r="J81" s="913"/>
      <c r="K81" s="913"/>
      <c r="L81" s="913"/>
      <c r="M81" s="913"/>
      <c r="N81" s="913"/>
      <c r="O81" s="913"/>
      <c r="P81" s="478"/>
      <c r="R81" s="383"/>
      <c r="S81" s="383"/>
      <c r="T81" s="383"/>
      <c r="U81" s="387"/>
    </row>
    <row r="82" spans="2:21" s="51" customFormat="1" x14ac:dyDescent="0.2">
      <c r="B82" s="50"/>
      <c r="C82" s="223"/>
      <c r="D82" s="913"/>
      <c r="E82" s="913"/>
      <c r="F82" s="913"/>
      <c r="G82" s="913"/>
      <c r="H82" s="913"/>
      <c r="I82" s="913"/>
      <c r="J82" s="913"/>
      <c r="K82" s="913"/>
      <c r="L82" s="913"/>
      <c r="M82" s="913"/>
      <c r="N82" s="913"/>
      <c r="O82" s="913"/>
      <c r="P82" s="478"/>
      <c r="R82" s="387"/>
      <c r="S82" s="387"/>
      <c r="T82" s="387"/>
      <c r="U82" s="387"/>
    </row>
    <row r="83" spans="2:21" s="51" customFormat="1" x14ac:dyDescent="0.2">
      <c r="B83" s="50"/>
      <c r="C83" s="223">
        <v>2</v>
      </c>
      <c r="D83" s="913" t="s">
        <v>542</v>
      </c>
      <c r="E83" s="913"/>
      <c r="F83" s="913"/>
      <c r="G83" s="913"/>
      <c r="H83" s="913"/>
      <c r="I83" s="913"/>
      <c r="J83" s="913"/>
      <c r="K83" s="913"/>
      <c r="L83" s="913"/>
      <c r="M83" s="913"/>
      <c r="N83" s="913"/>
      <c r="O83" s="913"/>
      <c r="P83" s="478"/>
      <c r="R83" s="387"/>
      <c r="S83" s="387"/>
      <c r="T83" s="387"/>
      <c r="U83" s="387"/>
    </row>
    <row r="84" spans="2:21" s="51" customFormat="1" x14ac:dyDescent="0.2">
      <c r="B84" s="50"/>
      <c r="C84" s="223"/>
      <c r="D84" s="913"/>
      <c r="E84" s="913"/>
      <c r="F84" s="913"/>
      <c r="G84" s="913"/>
      <c r="H84" s="913"/>
      <c r="I84" s="913"/>
      <c r="J84" s="913"/>
      <c r="K84" s="913"/>
      <c r="L84" s="913"/>
      <c r="M84" s="913"/>
      <c r="N84" s="913"/>
      <c r="O84" s="913"/>
      <c r="P84" s="478"/>
      <c r="R84" s="387"/>
      <c r="S84" s="387"/>
      <c r="T84" s="387"/>
      <c r="U84" s="387"/>
    </row>
    <row r="85" spans="2:21" s="51" customFormat="1" x14ac:dyDescent="0.2">
      <c r="B85" s="50"/>
      <c r="C85" s="223"/>
      <c r="D85" s="913"/>
      <c r="E85" s="913"/>
      <c r="F85" s="913"/>
      <c r="G85" s="913"/>
      <c r="H85" s="913"/>
      <c r="I85" s="913"/>
      <c r="J85" s="913"/>
      <c r="K85" s="913"/>
      <c r="L85" s="913"/>
      <c r="M85" s="913"/>
      <c r="N85" s="913"/>
      <c r="O85" s="913"/>
      <c r="P85" s="566"/>
      <c r="R85" s="387"/>
      <c r="S85" s="387"/>
      <c r="T85" s="387"/>
      <c r="U85" s="387"/>
    </row>
    <row r="86" spans="2:21" s="51" customFormat="1" x14ac:dyDescent="0.2">
      <c r="B86" s="50"/>
      <c r="C86" s="223"/>
      <c r="D86" s="913"/>
      <c r="E86" s="913"/>
      <c r="F86" s="913"/>
      <c r="G86" s="913"/>
      <c r="H86" s="913"/>
      <c r="I86" s="913"/>
      <c r="J86" s="913"/>
      <c r="K86" s="913"/>
      <c r="L86" s="913"/>
      <c r="M86" s="913"/>
      <c r="N86" s="913"/>
      <c r="O86" s="913"/>
      <c r="P86" s="566"/>
    </row>
    <row r="87" spans="2:21" s="51" customFormat="1" ht="12.75" customHeight="1" x14ac:dyDescent="0.2">
      <c r="B87" s="50"/>
      <c r="C87" s="223">
        <v>3</v>
      </c>
      <c r="D87" s="913" t="s">
        <v>584</v>
      </c>
      <c r="E87" s="913"/>
      <c r="F87" s="913"/>
      <c r="G87" s="913"/>
      <c r="H87" s="913"/>
      <c r="I87" s="913"/>
      <c r="J87" s="913"/>
      <c r="K87" s="913"/>
      <c r="L87" s="913"/>
      <c r="M87" s="913"/>
      <c r="N87" s="913"/>
      <c r="O87" s="913"/>
      <c r="P87" s="566"/>
    </row>
    <row r="88" spans="2:21" s="51" customFormat="1" x14ac:dyDescent="0.2">
      <c r="B88" s="50"/>
      <c r="C88" s="223"/>
      <c r="D88" s="913"/>
      <c r="E88" s="913"/>
      <c r="F88" s="913"/>
      <c r="G88" s="913"/>
      <c r="H88" s="913"/>
      <c r="I88" s="913"/>
      <c r="J88" s="913"/>
      <c r="K88" s="913"/>
      <c r="L88" s="913"/>
      <c r="M88" s="913"/>
      <c r="N88" s="913"/>
      <c r="O88" s="913"/>
      <c r="P88" s="566"/>
    </row>
    <row r="89" spans="2:21" s="51" customFormat="1" ht="15.75" customHeight="1" x14ac:dyDescent="0.2">
      <c r="B89" s="50"/>
      <c r="C89" s="223"/>
      <c r="D89" s="913"/>
      <c r="E89" s="913"/>
      <c r="F89" s="913"/>
      <c r="G89" s="913"/>
      <c r="H89" s="913"/>
      <c r="I89" s="913"/>
      <c r="J89" s="913"/>
      <c r="K89" s="913"/>
      <c r="L89" s="913"/>
      <c r="M89" s="913"/>
      <c r="N89" s="913"/>
      <c r="O89" s="913"/>
      <c r="P89" s="566"/>
    </row>
    <row r="90" spans="2:21" s="51" customFormat="1" x14ac:dyDescent="0.2">
      <c r="B90" s="50"/>
      <c r="C90" s="223"/>
      <c r="D90" s="913"/>
      <c r="E90" s="913"/>
      <c r="F90" s="913"/>
      <c r="G90" s="913"/>
      <c r="H90" s="913"/>
      <c r="I90" s="913"/>
      <c r="J90" s="913"/>
      <c r="K90" s="913"/>
      <c r="L90" s="913"/>
      <c r="M90" s="913"/>
      <c r="N90" s="913"/>
      <c r="O90" s="913"/>
      <c r="P90" s="566"/>
    </row>
    <row r="91" spans="2:21" s="51" customFormat="1" x14ac:dyDescent="0.2">
      <c r="B91" s="50"/>
      <c r="C91" s="223">
        <v>4</v>
      </c>
      <c r="D91" s="992" t="s">
        <v>543</v>
      </c>
      <c r="E91" s="993"/>
      <c r="F91" s="993"/>
      <c r="G91" s="993"/>
      <c r="H91" s="993"/>
      <c r="I91" s="993"/>
      <c r="J91" s="993"/>
      <c r="K91" s="993"/>
      <c r="L91" s="993"/>
      <c r="M91" s="993"/>
      <c r="N91" s="993"/>
      <c r="O91" s="994"/>
      <c r="P91" s="566"/>
    </row>
    <row r="92" spans="2:21" s="51" customFormat="1" x14ac:dyDescent="0.2">
      <c r="B92" s="50"/>
      <c r="C92" s="387"/>
      <c r="D92" s="995"/>
      <c r="E92" s="996"/>
      <c r="F92" s="996"/>
      <c r="G92" s="996"/>
      <c r="H92" s="996"/>
      <c r="I92" s="996"/>
      <c r="J92" s="996"/>
      <c r="K92" s="996"/>
      <c r="L92" s="996"/>
      <c r="M92" s="996"/>
      <c r="N92" s="996"/>
      <c r="O92" s="997"/>
      <c r="P92" s="566"/>
    </row>
    <row r="93" spans="2:21" s="51" customFormat="1" x14ac:dyDescent="0.2">
      <c r="B93" s="50"/>
      <c r="C93" s="387"/>
      <c r="D93" s="995"/>
      <c r="E93" s="996"/>
      <c r="F93" s="996"/>
      <c r="G93" s="996"/>
      <c r="H93" s="996"/>
      <c r="I93" s="996"/>
      <c r="J93" s="996"/>
      <c r="K93" s="996"/>
      <c r="L93" s="996"/>
      <c r="M93" s="996"/>
      <c r="N93" s="996"/>
      <c r="O93" s="997"/>
      <c r="P93" s="566"/>
    </row>
    <row r="94" spans="2:21" s="51" customFormat="1" x14ac:dyDescent="0.2">
      <c r="B94" s="50"/>
      <c r="C94" s="387"/>
      <c r="D94" s="998"/>
      <c r="E94" s="999"/>
      <c r="F94" s="999"/>
      <c r="G94" s="999"/>
      <c r="H94" s="999"/>
      <c r="I94" s="999"/>
      <c r="J94" s="999"/>
      <c r="K94" s="999"/>
      <c r="L94" s="999"/>
      <c r="M94" s="999"/>
      <c r="N94" s="999"/>
      <c r="O94" s="1000"/>
      <c r="P94" s="566"/>
    </row>
    <row r="95" spans="2:21" s="51" customFormat="1" x14ac:dyDescent="0.2">
      <c r="B95" s="50"/>
      <c r="C95" s="223"/>
      <c r="D95" s="792"/>
      <c r="E95" s="792"/>
      <c r="F95" s="792"/>
      <c r="G95" s="792"/>
      <c r="H95" s="792"/>
      <c r="I95" s="792"/>
      <c r="J95" s="792"/>
      <c r="K95" s="792"/>
      <c r="L95" s="792"/>
      <c r="M95" s="792"/>
      <c r="N95" s="792"/>
      <c r="O95" s="792"/>
      <c r="P95" s="566"/>
    </row>
    <row r="96" spans="2:21" s="51" customFormat="1" ht="13.5" thickBot="1" x14ac:dyDescent="0.25">
      <c r="B96" s="59"/>
      <c r="C96" s="760"/>
      <c r="D96" s="793"/>
      <c r="E96" s="793"/>
      <c r="F96" s="793"/>
      <c r="G96" s="793"/>
      <c r="H96" s="793"/>
      <c r="I96" s="793"/>
      <c r="J96" s="793"/>
      <c r="K96" s="793"/>
      <c r="L96" s="793"/>
      <c r="M96" s="793"/>
      <c r="N96" s="793"/>
      <c r="O96" s="793"/>
      <c r="P96" s="709"/>
    </row>
  </sheetData>
  <sheetProtection algorithmName="SHA-512" hashValue="qL3XYDWQJucGhuwHifGmCqaXr1+CpREYU7QOOU6bDOX08Z5zMkVzMNl/qUKRma+Elr+xI2tC2da+oUW+8f61kw==" saltValue="FFmT62Q5qTnfBhRnJCeuoQ==" spinCount="100000" sheet="1" objects="1" scenarios="1"/>
  <customSheetViews>
    <customSheetView guid="{1D46CCF0-D0A9-4A4B-AB32-CC50C778381E}" showPageBreaks="1" hiddenColumns="1">
      <pane ySplit="15" topLeftCell="A16" activePane="bottomLeft" state="frozen"/>
      <selection pane="bottomLeft"/>
      <rowBreaks count="1" manualBreakCount="1">
        <brk id="44" max="16383" man="1"/>
      </rowBreaks>
      <pageMargins left="0.75" right="0.67" top="0.5" bottom="0.5" header="0.25" footer="0.5"/>
      <pageSetup scale="57" orientation="landscape" useFirstPageNumber="1" r:id="rId1"/>
      <headerFooter scaleWithDoc="0">
        <oddHeader>&amp;C&amp;8 Bridge-Scour Envelope Curve Template</oddHeader>
        <oddFooter>&amp;C&amp;A&amp;RPage  &amp;P  of  &amp;N</oddFooter>
      </headerFooter>
    </customSheetView>
  </customSheetViews>
  <mergeCells count="34">
    <mergeCell ref="D75:O75"/>
    <mergeCell ref="D91:O94"/>
    <mergeCell ref="D83:O86"/>
    <mergeCell ref="D87:O90"/>
    <mergeCell ref="I6:J6"/>
    <mergeCell ref="I7:J7"/>
    <mergeCell ref="D79:O82"/>
    <mergeCell ref="D56:I56"/>
    <mergeCell ref="L19:M19"/>
    <mergeCell ref="L21:M21"/>
    <mergeCell ref="L22:M22"/>
    <mergeCell ref="L51:M51"/>
    <mergeCell ref="L62:M62"/>
    <mergeCell ref="L61:M61"/>
    <mergeCell ref="L58:M58"/>
    <mergeCell ref="C35:O35"/>
    <mergeCell ref="C29:I29"/>
    <mergeCell ref="C2:O2"/>
    <mergeCell ref="C3:O3"/>
    <mergeCell ref="C4:O4"/>
    <mergeCell ref="L23:M23"/>
    <mergeCell ref="F6:G6"/>
    <mergeCell ref="M13:O13"/>
    <mergeCell ref="M14:O14"/>
    <mergeCell ref="L20:M20"/>
    <mergeCell ref="D50:J50"/>
    <mergeCell ref="D53:J53"/>
    <mergeCell ref="D60:J60"/>
    <mergeCell ref="D67:O67"/>
    <mergeCell ref="D68:O69"/>
    <mergeCell ref="L57:M57"/>
    <mergeCell ref="L54:M54"/>
    <mergeCell ref="E57:I57"/>
    <mergeCell ref="E58:I58"/>
  </mergeCells>
  <conditionalFormatting sqref="L57:L58">
    <cfRule type="cellIs" dxfId="86" priority="29" stopIfTrue="1" operator="equal">
      <formula>"OUTSIDE RANGE"</formula>
    </cfRule>
  </conditionalFormatting>
  <conditionalFormatting sqref="K25">
    <cfRule type="cellIs" dxfId="85" priority="23" stopIfTrue="1" operator="equal">
      <formula>"CAUTION"</formula>
    </cfRule>
    <cfRule type="cellIs" dxfId="84" priority="24" stopIfTrue="1" operator="equal">
      <formula>"OUTSIDE RANGE"</formula>
    </cfRule>
    <cfRule type="cellIs" dxfId="83" priority="25" stopIfTrue="1" operator="equal">
      <formula>"OK"</formula>
    </cfRule>
  </conditionalFormatting>
  <conditionalFormatting sqref="M12:M13">
    <cfRule type="cellIs" dxfId="82" priority="14" stopIfTrue="1" operator="equal">
      <formula>"DA OUTSIDE RANGE"</formula>
    </cfRule>
  </conditionalFormatting>
  <conditionalFormatting sqref="M12:O12 M13">
    <cfRule type="containsText" dxfId="81" priority="11" operator="containsText" text="DA OUTSIDE RANGE">
      <formula>NOT(ISERROR(SEARCH("DA OUTSIDE RANGE",M12)))</formula>
    </cfRule>
    <cfRule type="containsText" dxfId="80" priority="12" stopIfTrue="1" operator="containsText" text="Caution">
      <formula>NOT(ISERROR(SEARCH("Caution",M12)))</formula>
    </cfRule>
    <cfRule type="cellIs" dxfId="79" priority="13" stopIfTrue="1" operator="equal">
      <formula>"DA IN RANGE"</formula>
    </cfRule>
  </conditionalFormatting>
  <conditionalFormatting sqref="M14">
    <cfRule type="cellIs" dxfId="78" priority="10" stopIfTrue="1" operator="equal">
      <formula>"DA OUTSIDE RANGE"</formula>
    </cfRule>
  </conditionalFormatting>
  <conditionalFormatting sqref="M14">
    <cfRule type="containsText" dxfId="77" priority="7" operator="containsText" text="DA OUTSIDE RANGE">
      <formula>NOT(ISERROR(SEARCH("DA OUTSIDE RANGE",M14)))</formula>
    </cfRule>
    <cfRule type="containsText" dxfId="76" priority="8" stopIfTrue="1" operator="containsText" text="Caution">
      <formula>NOT(ISERROR(SEARCH("Caution",M14)))</formula>
    </cfRule>
    <cfRule type="cellIs" dxfId="75" priority="9" stopIfTrue="1" operator="equal">
      <formula>"DA IN RANGE"</formula>
    </cfRule>
  </conditionalFormatting>
  <conditionalFormatting sqref="L26">
    <cfRule type="cellIs" dxfId="74" priority="4" stopIfTrue="1" operator="equal">
      <formula>"CAUTION"</formula>
    </cfRule>
    <cfRule type="cellIs" dxfId="73" priority="5" stopIfTrue="1" operator="equal">
      <formula>"OUTSIDE RANGE"</formula>
    </cfRule>
    <cfRule type="cellIs" dxfId="72" priority="6" stopIfTrue="1" operator="equal">
      <formula>"OK"</formula>
    </cfRule>
  </conditionalFormatting>
  <conditionalFormatting sqref="L27">
    <cfRule type="cellIs" dxfId="71" priority="1" stopIfTrue="1" operator="equal">
      <formula>"CAUTION"</formula>
    </cfRule>
    <cfRule type="cellIs" dxfId="70" priority="2" stopIfTrue="1" operator="equal">
      <formula>"OUTSIDE RANGE"</formula>
    </cfRule>
    <cfRule type="cellIs" dxfId="69" priority="3" stopIfTrue="1" operator="equal">
      <formula>"OK"</formula>
    </cfRule>
  </conditionalFormatting>
  <dataValidations count="1">
    <dataValidation type="list" allowBlank="1" showInputMessage="1" showErrorMessage="1" sqref="L57:M57">
      <formula1>$R$57:$R$59</formula1>
    </dataValidation>
  </dataValidations>
  <pageMargins left="0.75" right="0.67" top="0.5" bottom="0.5" header="0.25" footer="0.5"/>
  <pageSetup scale="57" orientation="landscape" useFirstPageNumber="1" r:id="rId2"/>
  <headerFooter scaleWithDoc="0">
    <oddHeader>&amp;C&amp;8 Bridge-Scour Envelope Curve Template</oddHeader>
    <oddFooter>&amp;C&amp;A&amp;RPage  &amp;P  of  &amp;N</oddFooter>
  </headerFooter>
  <rowBreaks count="1" manualBreakCount="1">
    <brk id="46" max="16383" man="1"/>
  </rowBreak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B1:Z70"/>
  <sheetViews>
    <sheetView zoomScaleNormal="100" zoomScalePageLayoutView="60" workbookViewId="0">
      <pane ySplit="12" topLeftCell="A13" activePane="bottomLeft" state="frozen"/>
      <selection activeCell="L34" sqref="L34"/>
      <selection pane="bottomLeft" activeCell="N23" sqref="N23"/>
    </sheetView>
  </sheetViews>
  <sheetFormatPr defaultColWidth="9.140625" defaultRowHeight="12.75" x14ac:dyDescent="0.2"/>
  <cols>
    <col min="1" max="1" width="2.140625" style="171" customWidth="1"/>
    <col min="2" max="2" width="3.7109375" style="387" customWidth="1"/>
    <col min="3" max="3" width="21" style="171" customWidth="1"/>
    <col min="4" max="4" width="9.42578125" style="171" customWidth="1"/>
    <col min="5" max="5" width="18.7109375" style="171" customWidth="1"/>
    <col min="6" max="10" width="22.7109375" style="171" customWidth="1"/>
    <col min="11" max="11" width="6.140625" style="171" customWidth="1"/>
    <col min="12" max="12" width="17.7109375" style="171" customWidth="1"/>
    <col min="13" max="13" width="6.42578125" style="171" customWidth="1"/>
    <col min="14" max="14" width="3.7109375" style="563" customWidth="1"/>
    <col min="15" max="15" width="4.5703125" style="171" customWidth="1"/>
    <col min="16" max="16" width="34.85546875" style="171" hidden="1" customWidth="1"/>
    <col min="17" max="17" width="13.85546875" style="182" hidden="1" customWidth="1"/>
    <col min="18" max="18" width="25.28515625" style="171" hidden="1" customWidth="1"/>
    <col min="19" max="24" width="13.85546875" style="171" customWidth="1"/>
    <col min="25" max="26" width="9.140625" style="171"/>
    <col min="27" max="27" width="13.85546875" style="171" customWidth="1"/>
    <col min="28" max="16384" width="9.140625" style="171"/>
  </cols>
  <sheetData>
    <row r="1" spans="2:18" ht="13.5" thickBot="1" x14ac:dyDescent="0.25"/>
    <row r="2" spans="2:18" ht="20.25" x14ac:dyDescent="0.3">
      <c r="B2" s="1032" t="s">
        <v>44</v>
      </c>
      <c r="C2" s="960"/>
      <c r="D2" s="960"/>
      <c r="E2" s="960"/>
      <c r="F2" s="960"/>
      <c r="G2" s="960"/>
      <c r="H2" s="960"/>
      <c r="I2" s="960"/>
      <c r="J2" s="960"/>
      <c r="K2" s="960"/>
      <c r="L2" s="960"/>
      <c r="M2" s="960"/>
      <c r="N2" s="369">
        <v>1</v>
      </c>
      <c r="O2" s="530"/>
      <c r="Q2" s="171"/>
    </row>
    <row r="3" spans="2:18" ht="18" x14ac:dyDescent="0.25">
      <c r="B3" s="1033" t="s">
        <v>435</v>
      </c>
      <c r="C3" s="962"/>
      <c r="D3" s="962"/>
      <c r="E3" s="962"/>
      <c r="F3" s="962"/>
      <c r="G3" s="962"/>
      <c r="H3" s="962"/>
      <c r="I3" s="962"/>
      <c r="J3" s="962"/>
      <c r="K3" s="962"/>
      <c r="L3" s="962"/>
      <c r="M3" s="962"/>
      <c r="N3" s="304"/>
      <c r="O3" s="387"/>
      <c r="Q3" s="171"/>
    </row>
    <row r="4" spans="2:18" x14ac:dyDescent="0.2">
      <c r="B4" s="397"/>
      <c r="C4" s="387"/>
      <c r="D4" s="387"/>
      <c r="E4" s="387"/>
      <c r="F4" s="387"/>
      <c r="G4" s="387"/>
      <c r="H4" s="387"/>
      <c r="I4" s="387"/>
      <c r="J4" s="387"/>
      <c r="K4" s="387"/>
      <c r="L4" s="387"/>
      <c r="M4" s="387"/>
      <c r="N4" s="304"/>
      <c r="O4" s="387"/>
      <c r="Q4" s="171"/>
    </row>
    <row r="5" spans="2:18" x14ac:dyDescent="0.2">
      <c r="B5" s="397"/>
      <c r="C5" s="390" t="s">
        <v>0</v>
      </c>
      <c r="D5" s="383"/>
      <c r="E5" s="805">
        <f>'Site Info'!E6</f>
        <v>0</v>
      </c>
      <c r="F5" s="383"/>
      <c r="G5" s="390" t="s">
        <v>2</v>
      </c>
      <c r="H5" s="963">
        <f>'Site Info'!I6</f>
        <v>0</v>
      </c>
      <c r="I5" s="968"/>
      <c r="J5" s="383"/>
      <c r="K5" s="176" t="s">
        <v>32</v>
      </c>
      <c r="L5" s="805">
        <f>'Site Info'!N6</f>
        <v>0</v>
      </c>
      <c r="M5" s="579"/>
      <c r="N5" s="304"/>
      <c r="O5" s="387"/>
      <c r="Q5" s="171"/>
    </row>
    <row r="6" spans="2:18" x14ac:dyDescent="0.2">
      <c r="B6" s="397"/>
      <c r="C6" s="390" t="s">
        <v>1</v>
      </c>
      <c r="D6" s="383"/>
      <c r="E6" s="805">
        <f>'Site Info'!E7</f>
        <v>0</v>
      </c>
      <c r="F6" s="383"/>
      <c r="G6" s="390" t="s">
        <v>3</v>
      </c>
      <c r="H6" s="963">
        <f>'Site Info'!I7</f>
        <v>0</v>
      </c>
      <c r="I6" s="968"/>
      <c r="J6" s="383"/>
      <c r="K6" s="580"/>
      <c r="L6" s="382"/>
      <c r="M6" s="383"/>
      <c r="N6" s="304"/>
      <c r="O6" s="387"/>
      <c r="P6" s="175" t="s">
        <v>40</v>
      </c>
      <c r="Q6" s="171"/>
    </row>
    <row r="7" spans="2:18" x14ac:dyDescent="0.2">
      <c r="B7" s="397"/>
      <c r="C7" s="383"/>
      <c r="D7" s="383"/>
      <c r="E7" s="383"/>
      <c r="F7" s="383"/>
      <c r="G7" s="383"/>
      <c r="H7" s="383"/>
      <c r="I7" s="383"/>
      <c r="J7" s="383"/>
      <c r="K7" s="383"/>
      <c r="L7" s="383"/>
      <c r="M7" s="383"/>
      <c r="N7" s="304"/>
      <c r="O7" s="387"/>
      <c r="Q7" s="171"/>
    </row>
    <row r="8" spans="2:18" x14ac:dyDescent="0.2">
      <c r="B8" s="397"/>
      <c r="C8" s="390" t="s">
        <v>6</v>
      </c>
      <c r="D8" s="383"/>
      <c r="E8" s="805">
        <f>'Site Info'!G9</f>
        <v>0</v>
      </c>
      <c r="F8" s="383"/>
      <c r="G8" s="383"/>
      <c r="H8" s="176" t="s">
        <v>34</v>
      </c>
      <c r="I8" s="58">
        <f>'Site Info'!J9</f>
        <v>0</v>
      </c>
      <c r="J8" s="383"/>
      <c r="K8" s="176" t="s">
        <v>42</v>
      </c>
      <c r="L8" s="58">
        <f>'Site Info'!N9</f>
        <v>0</v>
      </c>
      <c r="M8" s="390" t="s">
        <v>7</v>
      </c>
      <c r="N8" s="304"/>
      <c r="O8" s="387"/>
      <c r="Q8" s="171"/>
    </row>
    <row r="9" spans="2:18" x14ac:dyDescent="0.2">
      <c r="B9" s="397"/>
      <c r="C9" s="390"/>
      <c r="D9" s="383"/>
      <c r="E9" s="383"/>
      <c r="F9" s="383"/>
      <c r="G9" s="383"/>
      <c r="H9" s="409" t="s">
        <v>275</v>
      </c>
      <c r="I9" s="58">
        <f>'Site Info'!J10</f>
        <v>0</v>
      </c>
      <c r="J9" s="383"/>
      <c r="K9" s="580"/>
      <c r="L9" s="383"/>
      <c r="M9" s="390"/>
      <c r="N9" s="304"/>
      <c r="O9" s="387"/>
      <c r="Q9" s="171"/>
    </row>
    <row r="10" spans="2:18" x14ac:dyDescent="0.2">
      <c r="B10" s="397"/>
      <c r="C10" s="390" t="s">
        <v>90</v>
      </c>
      <c r="D10" s="383"/>
      <c r="E10" s="58">
        <f>'Site Info'!E11</f>
        <v>0</v>
      </c>
      <c r="F10" s="395" t="s">
        <v>92</v>
      </c>
      <c r="G10" s="383"/>
      <c r="H10" s="1040" t="s">
        <v>290</v>
      </c>
      <c r="I10" s="1041">
        <f>'Site Info'!J11</f>
        <v>0</v>
      </c>
      <c r="J10" s="383"/>
      <c r="K10" s="176" t="s">
        <v>57</v>
      </c>
      <c r="L10" s="58">
        <f>'Site Info'!N11</f>
        <v>0</v>
      </c>
      <c r="M10" s="390" t="s">
        <v>58</v>
      </c>
      <c r="N10" s="304"/>
      <c r="O10" s="387"/>
      <c r="Q10" s="171"/>
    </row>
    <row r="11" spans="2:18" x14ac:dyDescent="0.2">
      <c r="B11" s="397"/>
      <c r="C11" s="390" t="s">
        <v>91</v>
      </c>
      <c r="D11" s="383"/>
      <c r="E11" s="58">
        <f>'Site Info'!E12</f>
        <v>0</v>
      </c>
      <c r="F11" s="395" t="s">
        <v>92</v>
      </c>
      <c r="G11" s="383"/>
      <c r="H11" s="1040"/>
      <c r="I11" s="1042"/>
      <c r="J11" s="383"/>
      <c r="K11" s="383"/>
      <c r="L11" s="390"/>
      <c r="M11" s="390"/>
      <c r="N11" s="304"/>
      <c r="O11" s="391"/>
      <c r="Q11" s="171"/>
    </row>
    <row r="12" spans="2:18" ht="13.5" thickBot="1" x14ac:dyDescent="0.25">
      <c r="B12" s="177"/>
      <c r="C12" s="178"/>
      <c r="D12" s="62"/>
      <c r="E12" s="62"/>
      <c r="F12" s="179"/>
      <c r="G12" s="179"/>
      <c r="H12" s="62"/>
      <c r="I12" s="62"/>
      <c r="J12" s="62"/>
      <c r="K12" s="62"/>
      <c r="L12" s="62"/>
      <c r="M12" s="62"/>
      <c r="N12" s="564"/>
      <c r="O12" s="387"/>
      <c r="Q12" s="171"/>
    </row>
    <row r="13" spans="2:18" x14ac:dyDescent="0.2">
      <c r="B13" s="169"/>
      <c r="C13" s="200"/>
      <c r="D13" s="200"/>
      <c r="E13" s="200"/>
      <c r="F13" s="158"/>
      <c r="G13" s="158"/>
      <c r="H13" s="567"/>
      <c r="I13" s="567"/>
      <c r="J13" s="158"/>
      <c r="K13" s="158"/>
      <c r="L13" s="158"/>
      <c r="M13" s="158"/>
      <c r="N13" s="369"/>
      <c r="O13" s="387"/>
      <c r="R13" s="387"/>
    </row>
    <row r="14" spans="2:18" s="173" customFormat="1" ht="15.75" x14ac:dyDescent="0.25">
      <c r="B14" s="583"/>
      <c r="C14" s="507" t="s">
        <v>451</v>
      </c>
      <c r="D14" s="65"/>
      <c r="E14" s="65"/>
      <c r="F14" s="65"/>
      <c r="G14" s="65"/>
      <c r="H14" s="65"/>
      <c r="I14" s="65"/>
      <c r="J14" s="146"/>
      <c r="K14" s="584"/>
      <c r="L14" s="146"/>
      <c r="M14" s="146"/>
      <c r="N14" s="561"/>
      <c r="O14" s="65"/>
      <c r="P14" s="65"/>
      <c r="Q14" s="65"/>
      <c r="R14" s="65"/>
    </row>
    <row r="15" spans="2:18" s="182" customFormat="1" ht="12.75" customHeight="1" x14ac:dyDescent="0.25">
      <c r="B15" s="181"/>
      <c r="C15" s="221" t="s">
        <v>448</v>
      </c>
      <c r="D15" s="190"/>
      <c r="E15" s="190"/>
      <c r="F15" s="390"/>
      <c r="G15" s="390"/>
      <c r="H15" s="390"/>
      <c r="I15" s="390"/>
      <c r="J15" s="387"/>
      <c r="K15" s="531"/>
      <c r="L15" s="387"/>
      <c r="M15" s="387"/>
      <c r="N15" s="304"/>
      <c r="O15" s="390"/>
      <c r="P15" s="390"/>
      <c r="Q15" s="390"/>
      <c r="R15" s="390"/>
    </row>
    <row r="16" spans="2:18" s="182" customFormat="1" ht="12.75" customHeight="1" x14ac:dyDescent="0.25">
      <c r="B16" s="181"/>
      <c r="C16" s="175" t="s">
        <v>449</v>
      </c>
      <c r="D16" s="190"/>
      <c r="E16" s="190"/>
      <c r="F16" s="390"/>
      <c r="G16" s="390"/>
      <c r="H16" s="390"/>
      <c r="I16" s="390"/>
      <c r="J16" s="387"/>
      <c r="K16" s="531"/>
      <c r="L16" s="387"/>
      <c r="M16" s="387"/>
      <c r="N16" s="304"/>
      <c r="O16" s="390"/>
      <c r="P16" s="390"/>
      <c r="Q16" s="390"/>
      <c r="R16" s="390"/>
    </row>
    <row r="17" spans="2:26" s="182" customFormat="1" x14ac:dyDescent="0.2">
      <c r="B17" s="181"/>
      <c r="C17" s="221" t="s">
        <v>279</v>
      </c>
      <c r="D17" s="390"/>
      <c r="E17" s="390"/>
      <c r="F17" s="390"/>
      <c r="G17" s="390"/>
      <c r="H17" s="390"/>
      <c r="I17" s="390"/>
      <c r="J17" s="383"/>
      <c r="K17" s="558"/>
      <c r="L17" s="383"/>
      <c r="M17" s="383"/>
      <c r="N17" s="304"/>
      <c r="O17" s="390"/>
      <c r="P17" s="390"/>
      <c r="Q17" s="390"/>
      <c r="R17" s="390"/>
    </row>
    <row r="18" spans="2:26" s="182" customFormat="1" x14ac:dyDescent="0.2">
      <c r="B18" s="181"/>
      <c r="C18" s="383" t="s">
        <v>281</v>
      </c>
      <c r="D18" s="390"/>
      <c r="E18" s="390"/>
      <c r="F18" s="390"/>
      <c r="G18" s="390"/>
      <c r="H18" s="390"/>
      <c r="I18" s="390"/>
      <c r="J18" s="383"/>
      <c r="K18" s="558"/>
      <c r="L18" s="383"/>
      <c r="M18" s="383"/>
      <c r="N18" s="304"/>
      <c r="O18" s="390"/>
      <c r="P18" s="390"/>
      <c r="Q18" s="390"/>
      <c r="R18" s="390"/>
    </row>
    <row r="19" spans="2:26" s="182" customFormat="1" x14ac:dyDescent="0.2">
      <c r="B19" s="181"/>
      <c r="C19" s="383" t="s">
        <v>282</v>
      </c>
      <c r="D19" s="390"/>
      <c r="E19" s="390"/>
      <c r="F19" s="390"/>
      <c r="G19" s="390"/>
      <c r="H19" s="390"/>
      <c r="I19" s="390"/>
      <c r="J19" s="383"/>
      <c r="K19" s="558"/>
      <c r="L19" s="383"/>
      <c r="M19" s="383"/>
      <c r="N19" s="304"/>
      <c r="O19" s="390"/>
      <c r="P19" s="390"/>
      <c r="Q19" s="390"/>
      <c r="R19" s="390"/>
    </row>
    <row r="20" spans="2:26" s="182" customFormat="1" x14ac:dyDescent="0.2">
      <c r="B20" s="181"/>
      <c r="C20" s="383" t="s">
        <v>283</v>
      </c>
      <c r="D20" s="390"/>
      <c r="E20" s="390"/>
      <c r="F20" s="390"/>
      <c r="G20" s="390"/>
      <c r="H20" s="390"/>
      <c r="I20" s="390"/>
      <c r="J20" s="383"/>
      <c r="K20" s="558"/>
      <c r="L20" s="383"/>
      <c r="M20" s="383"/>
      <c r="N20" s="304"/>
      <c r="O20" s="390"/>
      <c r="P20" s="390"/>
      <c r="Q20" s="390"/>
      <c r="R20" s="390"/>
    </row>
    <row r="21" spans="2:26" s="182" customFormat="1" x14ac:dyDescent="0.2">
      <c r="B21" s="181"/>
      <c r="C21" s="383" t="s">
        <v>280</v>
      </c>
      <c r="D21" s="390"/>
      <c r="E21" s="390"/>
      <c r="F21" s="390"/>
      <c r="G21" s="390"/>
      <c r="H21" s="390"/>
      <c r="I21" s="390"/>
      <c r="J21" s="383"/>
      <c r="K21" s="558"/>
      <c r="L21" s="383"/>
      <c r="M21" s="383"/>
      <c r="N21" s="304"/>
      <c r="O21" s="390"/>
      <c r="P21" s="390"/>
      <c r="Q21" s="390"/>
      <c r="R21" s="390"/>
    </row>
    <row r="22" spans="2:26" s="182" customFormat="1" ht="13.5" thickBot="1" x14ac:dyDescent="0.25">
      <c r="B22" s="568"/>
      <c r="C22" s="203"/>
      <c r="D22" s="178"/>
      <c r="E22" s="178"/>
      <c r="F22" s="178"/>
      <c r="G22" s="178"/>
      <c r="H22" s="178"/>
      <c r="I22" s="178"/>
      <c r="J22" s="203"/>
      <c r="K22" s="569"/>
      <c r="L22" s="203"/>
      <c r="M22" s="203"/>
      <c r="N22" s="564"/>
      <c r="O22" s="390"/>
      <c r="P22" s="390"/>
      <c r="Q22" s="390"/>
      <c r="R22" s="390"/>
    </row>
    <row r="23" spans="2:26" s="182" customFormat="1" x14ac:dyDescent="0.2">
      <c r="B23" s="519"/>
      <c r="C23" s="200"/>
      <c r="D23" s="200"/>
      <c r="E23" s="200"/>
      <c r="F23" s="200"/>
      <c r="G23" s="200"/>
      <c r="H23" s="200"/>
      <c r="I23" s="200"/>
      <c r="J23" s="559"/>
      <c r="K23" s="560"/>
      <c r="L23" s="559"/>
      <c r="M23" s="559"/>
      <c r="N23" s="369"/>
      <c r="O23" s="390"/>
      <c r="P23" s="390"/>
      <c r="Q23" s="390"/>
      <c r="R23" s="390"/>
    </row>
    <row r="24" spans="2:26" s="173" customFormat="1" ht="15.75" x14ac:dyDescent="0.25">
      <c r="B24" s="583"/>
      <c r="C24" s="66" t="s">
        <v>450</v>
      </c>
      <c r="D24" s="65"/>
      <c r="E24" s="65"/>
      <c r="F24" s="65"/>
      <c r="G24" s="65"/>
      <c r="H24" s="65"/>
      <c r="I24" s="65"/>
      <c r="J24" s="146"/>
      <c r="K24" s="584"/>
      <c r="L24" s="146"/>
      <c r="M24" s="146"/>
      <c r="N24" s="561"/>
      <c r="O24" s="65"/>
      <c r="P24" s="65"/>
      <c r="Q24" s="65"/>
      <c r="R24" s="65"/>
    </row>
    <row r="25" spans="2:26" s="175" customFormat="1" x14ac:dyDescent="0.2">
      <c r="B25" s="159"/>
      <c r="C25" s="390" t="s">
        <v>518</v>
      </c>
      <c r="D25" s="383"/>
      <c r="E25" s="383"/>
      <c r="F25" s="383"/>
      <c r="G25" s="383"/>
      <c r="H25" s="383"/>
      <c r="I25" s="383"/>
      <c r="J25" s="383"/>
      <c r="K25" s="581"/>
      <c r="L25" s="383"/>
      <c r="M25" s="383"/>
      <c r="N25" s="582"/>
      <c r="O25" s="383"/>
      <c r="P25" s="383"/>
      <c r="Q25" s="383"/>
      <c r="R25" s="383"/>
    </row>
    <row r="26" spans="2:26" s="557" customFormat="1" ht="12" thickBot="1" x14ac:dyDescent="0.25">
      <c r="B26" s="554"/>
      <c r="C26" s="540"/>
      <c r="D26" s="540"/>
      <c r="E26" s="540"/>
      <c r="F26" s="540"/>
      <c r="G26" s="540"/>
      <c r="H26" s="540"/>
      <c r="I26" s="540"/>
      <c r="J26" s="555"/>
      <c r="K26" s="556"/>
      <c r="L26" s="555"/>
      <c r="M26" s="555"/>
      <c r="N26" s="565"/>
      <c r="O26" s="540"/>
      <c r="P26" s="540"/>
      <c r="Q26" s="540"/>
      <c r="R26" s="540"/>
    </row>
    <row r="27" spans="2:26" s="182" customFormat="1" ht="30.75" customHeight="1" thickBot="1" x14ac:dyDescent="0.3">
      <c r="B27" s="181"/>
      <c r="C27" s="190"/>
      <c r="D27" s="190"/>
      <c r="E27" s="190"/>
      <c r="F27" s="541" t="s">
        <v>4</v>
      </c>
      <c r="G27" s="542" t="s">
        <v>18</v>
      </c>
      <c r="H27" s="542" t="s">
        <v>87</v>
      </c>
      <c r="I27" s="542" t="s">
        <v>19</v>
      </c>
      <c r="J27" s="543" t="s">
        <v>5</v>
      </c>
      <c r="K27" s="387"/>
      <c r="L27" s="387"/>
      <c r="M27" s="387"/>
      <c r="N27" s="304"/>
      <c r="O27" s="390"/>
      <c r="P27" s="175"/>
      <c r="Q27" s="390"/>
      <c r="R27" s="390"/>
    </row>
    <row r="28" spans="2:26" s="192" customFormat="1" ht="16.5" thickBot="1" x14ac:dyDescent="0.25">
      <c r="B28" s="191"/>
      <c r="C28" s="1037" t="s">
        <v>118</v>
      </c>
      <c r="D28" s="1038"/>
      <c r="E28" s="1039"/>
      <c r="F28" s="815" t="s">
        <v>128</v>
      </c>
      <c r="G28" s="816" t="s">
        <v>129</v>
      </c>
      <c r="H28" s="816" t="s">
        <v>89</v>
      </c>
      <c r="I28" s="816" t="s">
        <v>130</v>
      </c>
      <c r="J28" s="817" t="s">
        <v>131</v>
      </c>
      <c r="K28" s="143"/>
      <c r="L28" s="143"/>
      <c r="M28" s="143"/>
      <c r="N28" s="561"/>
      <c r="O28" s="143"/>
      <c r="P28" s="527"/>
      <c r="Q28" s="143"/>
      <c r="S28" s="143"/>
      <c r="T28" s="143"/>
      <c r="U28" s="143"/>
      <c r="V28" s="143"/>
      <c r="W28" s="143"/>
      <c r="Z28" s="143"/>
    </row>
    <row r="29" spans="2:26" s="192" customFormat="1" ht="15.75" x14ac:dyDescent="0.25">
      <c r="B29" s="191"/>
      <c r="C29" s="1023" t="s">
        <v>442</v>
      </c>
      <c r="D29" s="1024"/>
      <c r="E29" s="1025"/>
      <c r="F29" s="818" t="s">
        <v>104</v>
      </c>
      <c r="G29" s="819" t="s">
        <v>100</v>
      </c>
      <c r="H29" s="819" t="s">
        <v>101</v>
      </c>
      <c r="I29" s="819" t="s">
        <v>101</v>
      </c>
      <c r="J29" s="820" t="s">
        <v>101</v>
      </c>
      <c r="K29" s="144"/>
      <c r="L29" s="143"/>
      <c r="M29" s="143"/>
      <c r="N29" s="561"/>
      <c r="O29" s="143"/>
      <c r="P29" s="193" t="s">
        <v>56</v>
      </c>
      <c r="Q29" s="143"/>
      <c r="R29" s="167" t="s">
        <v>99</v>
      </c>
      <c r="S29" s="143"/>
      <c r="T29" s="143"/>
      <c r="U29" s="143"/>
      <c r="V29" s="143"/>
      <c r="W29" s="143"/>
      <c r="Z29" s="143"/>
    </row>
    <row r="30" spans="2:26" s="192" customFormat="1" ht="15.75" x14ac:dyDescent="0.2">
      <c r="B30" s="191"/>
      <c r="C30" s="1023" t="s">
        <v>443</v>
      </c>
      <c r="D30" s="1024"/>
      <c r="E30" s="1025"/>
      <c r="F30" s="821" t="s">
        <v>259</v>
      </c>
      <c r="G30" s="544" t="s">
        <v>259</v>
      </c>
      <c r="H30" s="544" t="s">
        <v>259</v>
      </c>
      <c r="I30" s="544" t="s">
        <v>259</v>
      </c>
      <c r="J30" s="545" t="s">
        <v>259</v>
      </c>
      <c r="K30" s="144"/>
      <c r="L30" s="144"/>
      <c r="M30" s="144"/>
      <c r="N30" s="561"/>
      <c r="O30" s="144"/>
      <c r="P30" s="194" t="s">
        <v>37</v>
      </c>
      <c r="Q30" s="143"/>
      <c r="R30" s="168" t="s">
        <v>100</v>
      </c>
      <c r="S30" s="143"/>
      <c r="T30" s="143"/>
      <c r="U30" s="143"/>
      <c r="V30" s="143"/>
      <c r="W30" s="143"/>
      <c r="Z30" s="143"/>
    </row>
    <row r="31" spans="2:26" s="144" customFormat="1" ht="15.75" x14ac:dyDescent="0.2">
      <c r="B31" s="191"/>
      <c r="C31" s="1023" t="s">
        <v>119</v>
      </c>
      <c r="D31" s="1024"/>
      <c r="E31" s="1025"/>
      <c r="F31" s="822">
        <v>15</v>
      </c>
      <c r="G31" s="544">
        <v>16</v>
      </c>
      <c r="H31" s="544">
        <v>16</v>
      </c>
      <c r="I31" s="544">
        <v>16</v>
      </c>
      <c r="J31" s="545">
        <v>16</v>
      </c>
      <c r="N31" s="561"/>
      <c r="P31" s="194" t="s">
        <v>36</v>
      </c>
      <c r="Q31" s="143"/>
      <c r="R31" s="168" t="s">
        <v>101</v>
      </c>
      <c r="S31" s="143"/>
      <c r="T31" s="143"/>
      <c r="U31" s="143"/>
      <c r="V31" s="143"/>
      <c r="W31" s="143"/>
    </row>
    <row r="32" spans="2:26" s="192" customFormat="1" ht="31.5" customHeight="1" x14ac:dyDescent="0.2">
      <c r="B32" s="191"/>
      <c r="C32" s="1023" t="s">
        <v>444</v>
      </c>
      <c r="D32" s="1024"/>
      <c r="E32" s="1025"/>
      <c r="F32" s="822">
        <v>16</v>
      </c>
      <c r="G32" s="544">
        <v>25</v>
      </c>
      <c r="H32" s="544">
        <v>20</v>
      </c>
      <c r="I32" s="544">
        <v>20</v>
      </c>
      <c r="J32" s="545">
        <v>16</v>
      </c>
      <c r="K32" s="144"/>
      <c r="L32" s="144"/>
      <c r="M32" s="144"/>
      <c r="N32" s="561"/>
      <c r="O32" s="144"/>
      <c r="P32" s="171"/>
      <c r="Q32" s="143"/>
      <c r="R32" s="168" t="s">
        <v>105</v>
      </c>
      <c r="S32" s="143"/>
      <c r="T32" s="143"/>
      <c r="U32" s="143"/>
      <c r="V32" s="143"/>
      <c r="W32" s="143"/>
      <c r="Z32" s="145"/>
    </row>
    <row r="33" spans="2:26" s="192" customFormat="1" ht="15.75" x14ac:dyDescent="0.2">
      <c r="B33" s="191"/>
      <c r="C33" s="1023" t="s">
        <v>445</v>
      </c>
      <c r="D33" s="1024"/>
      <c r="E33" s="1025"/>
      <c r="F33" s="822">
        <v>15</v>
      </c>
      <c r="G33" s="544">
        <v>15</v>
      </c>
      <c r="H33" s="544">
        <v>15</v>
      </c>
      <c r="I33" s="544">
        <v>40</v>
      </c>
      <c r="J33" s="545">
        <v>25</v>
      </c>
      <c r="K33" s="144"/>
      <c r="L33" s="144"/>
      <c r="M33" s="144"/>
      <c r="N33" s="561"/>
      <c r="O33" s="144"/>
      <c r="P33" s="171"/>
      <c r="Q33" s="143"/>
      <c r="R33" s="168" t="s">
        <v>102</v>
      </c>
      <c r="S33" s="143"/>
      <c r="T33" s="143"/>
      <c r="U33" s="143"/>
      <c r="V33" s="143"/>
      <c r="W33" s="143"/>
      <c r="Z33" s="145"/>
    </row>
    <row r="34" spans="2:26" s="192" customFormat="1" ht="15.75" x14ac:dyDescent="0.25">
      <c r="B34" s="191"/>
      <c r="C34" s="1023" t="s">
        <v>446</v>
      </c>
      <c r="D34" s="1024"/>
      <c r="E34" s="1025"/>
      <c r="F34" s="822" t="s">
        <v>37</v>
      </c>
      <c r="G34" s="544" t="s">
        <v>37</v>
      </c>
      <c r="H34" s="544" t="s">
        <v>37</v>
      </c>
      <c r="I34" s="544" t="s">
        <v>37</v>
      </c>
      <c r="J34" s="546" t="s">
        <v>36</v>
      </c>
      <c r="K34" s="144"/>
      <c r="L34" s="144"/>
      <c r="M34" s="144"/>
      <c r="N34" s="561"/>
      <c r="O34" s="144"/>
      <c r="P34" s="173" t="s">
        <v>46</v>
      </c>
      <c r="Q34" s="143"/>
      <c r="R34" s="168" t="s">
        <v>103</v>
      </c>
      <c r="S34" s="143"/>
      <c r="T34" s="143"/>
      <c r="U34" s="143"/>
      <c r="V34" s="143"/>
      <c r="W34" s="143"/>
      <c r="Z34" s="144"/>
    </row>
    <row r="35" spans="2:26" s="192" customFormat="1" ht="31.5" customHeight="1" x14ac:dyDescent="0.2">
      <c r="B35" s="191"/>
      <c r="C35" s="1023" t="s">
        <v>184</v>
      </c>
      <c r="D35" s="1024"/>
      <c r="E35" s="1025"/>
      <c r="F35" s="822">
        <v>30</v>
      </c>
      <c r="G35" s="544">
        <v>35</v>
      </c>
      <c r="H35" s="544">
        <v>10</v>
      </c>
      <c r="I35" s="544">
        <v>10</v>
      </c>
      <c r="J35" s="546">
        <v>0</v>
      </c>
      <c r="K35" s="144"/>
      <c r="L35" s="144"/>
      <c r="M35" s="144"/>
      <c r="N35" s="561"/>
      <c r="O35" s="144"/>
      <c r="P35" s="195" t="s">
        <v>259</v>
      </c>
      <c r="Q35" s="108"/>
      <c r="R35" s="153" t="s">
        <v>104</v>
      </c>
      <c r="S35" s="143"/>
      <c r="T35" s="143"/>
      <c r="U35" s="143"/>
      <c r="V35" s="143"/>
      <c r="Y35" s="146"/>
    </row>
    <row r="36" spans="2:26" s="192" customFormat="1" ht="31.5" customHeight="1" x14ac:dyDescent="0.2">
      <c r="B36" s="191"/>
      <c r="C36" s="1023" t="s">
        <v>447</v>
      </c>
      <c r="D36" s="1024"/>
      <c r="E36" s="1025"/>
      <c r="F36" s="823">
        <f>IF(OR(ISBLANK(F35),ISBLANK(F31),F35=0,F34="No"),"N/A",F35/F31)</f>
        <v>2</v>
      </c>
      <c r="G36" s="547">
        <f t="shared" ref="G36:J36" si="0">IF(OR(ISBLANK(G35),ISBLANK(G31),G35=0,G34="No"),"N/A",G35/G31)</f>
        <v>2.1875</v>
      </c>
      <c r="H36" s="547">
        <f t="shared" si="0"/>
        <v>0.625</v>
      </c>
      <c r="I36" s="547">
        <f t="shared" si="0"/>
        <v>0.625</v>
      </c>
      <c r="J36" s="549" t="str">
        <f t="shared" si="0"/>
        <v>N/A</v>
      </c>
      <c r="K36" s="144"/>
      <c r="L36" s="144"/>
      <c r="M36" s="144"/>
      <c r="N36" s="561"/>
      <c r="O36" s="144"/>
      <c r="P36" s="195" t="s">
        <v>97</v>
      </c>
      <c r="Q36" s="109"/>
      <c r="R36" s="154" t="s">
        <v>106</v>
      </c>
      <c r="S36" s="108"/>
      <c r="T36" s="108"/>
      <c r="U36" s="108"/>
      <c r="V36" s="108"/>
      <c r="W36" s="108"/>
      <c r="Z36" s="387"/>
    </row>
    <row r="37" spans="2:26" s="192" customFormat="1" ht="31.5" customHeight="1" x14ac:dyDescent="0.2">
      <c r="B37" s="191"/>
      <c r="C37" s="1023" t="s">
        <v>591</v>
      </c>
      <c r="D37" s="1024"/>
      <c r="E37" s="1025"/>
      <c r="F37" s="824">
        <f t="shared" ref="F37:J37" si="1">IF(OR(ISBLANK(F31),ISBLANK(F32),ISBLANK(F33)),"N/A",IF(F32&lt;F31,"Check Pier Length",IF(OR(AND(F34="Yes",F35=0),AND(F34="No",F35&gt;0)),"Check Multiple-Column and Column Spacing",IF(F31=F32,1,IF(AND((F32/F31)&lt;=12,(F32/F31)&gt;=1,(COS(RADIANS(F33))+(F32/F31)*SIN(RADIANS(F33)))^0.65&lt;1),1,IF(AND(F34="Yes",F36&gt;=5,F31&lt;=2.3,F33&lt;=15),1,IF(AND(F34="Yes",F36&gt;=5,F31&lt;=2.3,F33&gt;15, (COS(RADIANS(F33))+(F32/F31)*SIN(RADIANS(F33)))^0.65&gt;1.2),1.2,IF(AND(F34="Yes",F36&gt;=5,F31&gt;2.3, (COS(RADIANS(F33))+(F32/F31)*SIN(RADIANS(F33)))^0.65&gt;1.2),1.2,IF(AND((F32/F31)&lt;=12,(F32/F31)&gt;=1,(COS(RADIANS(F33))+(F32/F31)*SIN(RADIANS(F33)))^0.65&gt;=1),(COS(RADIANS(F33))+(F32/F31)*SIN(RADIANS(F33)))^0.65,IF((F32/F31)&gt;12,(COS(RADIANS(F33))+(12)*SIN(RADIANS(F33)))^0.65,IF((F32/F31)=1,1,"N/A")))))))))))</f>
        <v>1.1512745859219016</v>
      </c>
      <c r="G37" s="704">
        <f t="shared" si="1"/>
        <v>1.2272597131906253</v>
      </c>
      <c r="H37" s="704">
        <f t="shared" si="1"/>
        <v>1.1796762847644389</v>
      </c>
      <c r="I37" s="704">
        <f t="shared" si="1"/>
        <v>1.3404482926740386</v>
      </c>
      <c r="J37" s="825">
        <f t="shared" si="1"/>
        <v>1</v>
      </c>
      <c r="K37" s="144"/>
      <c r="L37" s="144"/>
      <c r="M37" s="144"/>
      <c r="N37" s="561"/>
      <c r="O37" s="144"/>
      <c r="P37" s="195" t="s">
        <v>98</v>
      </c>
      <c r="Q37" s="110"/>
      <c r="R37" s="155" t="s">
        <v>108</v>
      </c>
      <c r="S37" s="109"/>
      <c r="T37" s="109"/>
      <c r="U37" s="109"/>
      <c r="V37" s="109"/>
      <c r="W37" s="109"/>
      <c r="Z37" s="196"/>
    </row>
    <row r="38" spans="2:26" s="192" customFormat="1" ht="29.25" customHeight="1" x14ac:dyDescent="0.2">
      <c r="B38" s="191"/>
      <c r="C38" s="1023" t="s">
        <v>592</v>
      </c>
      <c r="D38" s="1024"/>
      <c r="E38" s="1025"/>
      <c r="F38" s="826">
        <f t="shared" ref="F38:I38" si="2">IF(OR(F37="N/A",ISNUMBER(SEARCH("Check",F37))), "N/A",IF(F37&gt;5,5,F37))</f>
        <v>1.1512745859219016</v>
      </c>
      <c r="G38" s="550">
        <f t="shared" si="2"/>
        <v>1.2272597131906253</v>
      </c>
      <c r="H38" s="705">
        <f t="shared" si="2"/>
        <v>1.1796762847644389</v>
      </c>
      <c r="I38" s="705">
        <f t="shared" si="2"/>
        <v>1.3404482926740386</v>
      </c>
      <c r="J38" s="827">
        <f>IF(OR(J37="N/A",ISNUMBER(SEARCH("Check",J37))), "N/A",IF(J37&gt;5,5,J37))</f>
        <v>1</v>
      </c>
      <c r="K38" s="144"/>
      <c r="L38" s="144"/>
      <c r="M38" s="144"/>
      <c r="N38" s="561"/>
      <c r="O38" s="144"/>
      <c r="P38" s="518" t="s">
        <v>436</v>
      </c>
      <c r="Q38" s="110"/>
      <c r="R38" s="110"/>
      <c r="S38" s="110"/>
      <c r="T38" s="110"/>
      <c r="U38" s="110"/>
      <c r="V38" s="110"/>
      <c r="W38" s="110"/>
    </row>
    <row r="39" spans="2:26" s="192" customFormat="1" ht="15.75" x14ac:dyDescent="0.2">
      <c r="B39" s="191"/>
      <c r="C39" s="1023" t="s">
        <v>260</v>
      </c>
      <c r="D39" s="1024"/>
      <c r="E39" s="1025"/>
      <c r="F39" s="826" t="str">
        <f>IF(AND(F30="Automatic Calculation",OR(F31=0,ISBLANK(F31))),"N/A",IF(AND(F30="Automatic Calculation",2.1*F31^0.9&lt;1.5*F31+0.5,F31&lt;=6),"SC Clear Water",IF(AND(F30="Automatic Calculation",2.1*F31^0.9&gt;=1.5*F31+0.5,F31&lt;=6),"PSDb-2014",IF(AND(F30="Automatic Calculation",F31&gt;6),"PSDb-2014",F30))))</f>
        <v>PSDb-2014</v>
      </c>
      <c r="G39" s="550" t="str">
        <f>IF(AND(G30="Automatic Calculation",OR(G31=0,ISBLANK(G31))),"N/A",IF(AND(G30="Automatic Calculation",2.1*G31^0.9&lt;1.5*G31+0.5,G31&lt;=6),"SC Clear Water",IF(AND(G30="Automatic Calculation",2.1*G31^0.9&gt;=1.5*G31+0.5,G31&lt;=6),"PSDb-2014",IF(AND(G30="Automatic Calculation",G31&gt;6),"PSDb-2014",G30))))</f>
        <v>PSDb-2014</v>
      </c>
      <c r="H39" s="550" t="str">
        <f>IF(AND(H30="Automatic Calculation",OR(H31=0,ISBLANK(H31))),"N/A",IF(AND(H30="Automatic Calculation",2.1*H31^0.9&lt;1.1*H31+3.4,H31&lt;=6),"SC Live Bed",IF(AND(H30="Automatic Calculation",2.1*H31^0.9&gt;=1.1*H31+3.4,H31&lt;=6),"PSDb-2014",IF(AND(H30="Automatic Calculation",H31&gt;6),"PSDb-2014",H30))))</f>
        <v>PSDb-2014</v>
      </c>
      <c r="I39" s="550" t="str">
        <f>IF(AND(I30="Automatic Calculation",OR(I31=0,ISBLANK(I31))),"N/A",IF(AND(I30="Automatic Calculation",2.1*I31^0.9&lt;1.5*I31+0.5,I31&lt;=6),"SC Clear Water",IF(AND(I30="Automatic Calculation",2.1*I31^0.9&gt;=1.5*I31+0.5,I31&lt;=6),"PSDb-2014",IF(AND(I30="Automatic Calculation",I31&gt;6),"PSDb-2014",I30))))</f>
        <v>PSDb-2014</v>
      </c>
      <c r="J39" s="551" t="str">
        <f>IF(AND(J30="Automatic Calculation",OR(J31=0,ISBLANK(J31))),"N/A",IF(AND(J30="Automatic Calculation",2.1*J31^0.9&lt;1.5*J31+0.5,J31&lt;=6),"SC Clear Water",IF(AND(J30="Automatic Calculation",2.1*J31^0.9&gt;=1.5*J31+0.5,J31&lt;=6),"PSDb-2014",IF(AND(J30="Automatic Calculation",J31&gt;6),"PSDb-2014",J30))))</f>
        <v>PSDb-2014</v>
      </c>
      <c r="K39" s="144"/>
      <c r="L39" s="144"/>
      <c r="M39" s="144"/>
      <c r="N39" s="561"/>
      <c r="O39" s="144"/>
      <c r="P39" s="195" t="s">
        <v>257</v>
      </c>
      <c r="Q39" s="110"/>
      <c r="R39" s="110"/>
      <c r="S39" s="110"/>
      <c r="T39" s="110"/>
      <c r="U39" s="110"/>
      <c r="V39" s="110"/>
      <c r="W39" s="110"/>
    </row>
    <row r="40" spans="2:26" s="198" customFormat="1" ht="15.75" x14ac:dyDescent="0.2">
      <c r="B40" s="197"/>
      <c r="C40" s="1026" t="s">
        <v>152</v>
      </c>
      <c r="D40" s="1027"/>
      <c r="E40" s="1028"/>
      <c r="F40" s="828">
        <f>IF(ISBLANK(F31),0,IF(AND(F30="Automatic Calculation",F31&lt;=6),MAX(1.5*F31+0.5,2.1*F31^0.9),IF(AND(F30="Automatic Calculation",F31&gt;6),2.1*F31^0.9,IF(F30="SC Clear Water",1.5*F31+0.5,IF(F30="SC Live Bed",1.1*F31+3.4,IF(F30="2.5b",2.5*F31,IF(F30="PSDb-2014",2.1*F31^0.9,0)))))))</f>
        <v>24.027103982154301</v>
      </c>
      <c r="G40" s="548">
        <f>IF(ISBLANK(G31),0,IF(AND(G30="Automatic Calculation",G31&lt;=6),MAX(1.5*G31+0.5,2.1*G31^0.9),IF(AND(G30="Automatic Calculation",G31&gt;6),2.1*G31^0.9,IF(G30="SC Clear Water",1.5*G31+0.5,IF(G30="SC Live Bed",1.1*G31+3.4,IF(G30="2.5b",2.5*G31,IF(G30="PSDb-2014",2.1*G31^0.9,0)))))))</f>
        <v>25.464038317374687</v>
      </c>
      <c r="H40" s="548">
        <f>IF(ISBLANK(H31),0,IF(AND(H30="Automatic Calculation",H31&lt;=6),MAX(1.1*H31+3.4,2.1*H31^0.9),IF(AND(H30="Automatic Calculation",H31&gt;6),2.1*H31^0.9,IF(H30="SC Clear Water",1.5*H31+0.5,IF(H30="SC Live Bed",1.1*H31+3.4,IF(H30="2.5b",2.5*H31,IF(H30="PSDb-2014",2.1*H31^0.9,0)))))))</f>
        <v>25.464038317374687</v>
      </c>
      <c r="I40" s="548">
        <f>IF(ISBLANK(I31),0,IF(AND(I30="Automatic Calculation",I31&lt;=6),MAX(1.5*I31+0.5,2.1*I31^0.9),IF(AND(I30="Automatic Calculation",I31&gt;6),2.1*I31^0.9,IF(I30="SC Clear Water",1.5*I31+0.5,IF(I30="SC Live Bed",1.1*I31+3.4,IF(I30="2.5b",2.5*I31,IF(I30="PSDb-2014",2.1*I31^0.9,0)))))))</f>
        <v>25.464038317374687</v>
      </c>
      <c r="J40" s="549">
        <f>IF(ISBLANK(J31),0,IF(AND(J30="Automatic Calculation",J31&lt;=6),MAX(1.5*J31+0.5,2.1*J31^0.9),IF(AND(J30="Automatic Calculation",J31&gt;6),2.1*J31^0.9,IF(J30="SC Clear Water",1.5*J31+0.5,IF(J30="SC Live Bed",1.1*J31+3.4,IF(J30="2.5b",2.5*J31,IF(J30="PSDb-2014",2.1*J31^0.9,0)))))))</f>
        <v>25.464038317374687</v>
      </c>
      <c r="K40" s="144"/>
      <c r="L40" s="110"/>
      <c r="M40" s="110"/>
      <c r="N40" s="562"/>
      <c r="O40" s="110"/>
      <c r="P40" s="517"/>
      <c r="Q40" s="110"/>
      <c r="R40" s="110"/>
      <c r="S40" s="110"/>
      <c r="T40" s="110"/>
      <c r="U40" s="110"/>
      <c r="V40" s="110"/>
      <c r="W40" s="110"/>
    </row>
    <row r="41" spans="2:26" s="198" customFormat="1" ht="15.75" x14ac:dyDescent="0.2">
      <c r="B41" s="197"/>
      <c r="C41" s="1026" t="s">
        <v>453</v>
      </c>
      <c r="D41" s="1027"/>
      <c r="E41" s="1028"/>
      <c r="F41" s="829">
        <f>IF(F40=0,0,F40*F38)</f>
        <v>27.661794187957167</v>
      </c>
      <c r="G41" s="806">
        <f>IF(G40=0,0,G40*G38)</f>
        <v>31.250988362056351</v>
      </c>
      <c r="H41" s="552">
        <f>IF(H40=0,0,H40*H38)</f>
        <v>30.039322117339882</v>
      </c>
      <c r="I41" s="806">
        <f>IF(I40=0,0,I40*I38)</f>
        <v>34.133226687111197</v>
      </c>
      <c r="J41" s="807">
        <f>IF(J40=0,0,J40*J38)</f>
        <v>25.464038317374687</v>
      </c>
      <c r="K41" s="144"/>
      <c r="L41" s="110"/>
      <c r="M41" s="110"/>
      <c r="N41" s="562"/>
      <c r="O41" s="110"/>
      <c r="P41" s="517"/>
      <c r="Q41" s="110"/>
      <c r="R41" s="110"/>
      <c r="S41" s="110"/>
      <c r="T41" s="110"/>
      <c r="U41" s="110"/>
      <c r="V41" s="110"/>
      <c r="W41" s="110"/>
    </row>
    <row r="42" spans="2:26" s="198" customFormat="1" ht="15.75" x14ac:dyDescent="0.2">
      <c r="B42" s="197"/>
      <c r="C42" s="1029" t="s">
        <v>437</v>
      </c>
      <c r="D42" s="1030"/>
      <c r="E42" s="1031"/>
      <c r="F42" s="830">
        <f>F41</f>
        <v>27.661794187957167</v>
      </c>
      <c r="G42" s="808">
        <f t="shared" ref="G42:J42" si="3">G41</f>
        <v>31.250988362056351</v>
      </c>
      <c r="H42" s="808">
        <f t="shared" si="3"/>
        <v>30.039322117339882</v>
      </c>
      <c r="I42" s="808">
        <f t="shared" si="3"/>
        <v>34.133226687111197</v>
      </c>
      <c r="J42" s="809">
        <f t="shared" si="3"/>
        <v>25.464038317374687</v>
      </c>
      <c r="K42" s="144"/>
      <c r="L42" s="110"/>
      <c r="M42" s="110"/>
      <c r="N42" s="562"/>
      <c r="O42" s="110"/>
      <c r="P42" s="383"/>
      <c r="Q42" s="110"/>
      <c r="R42" s="110"/>
      <c r="S42" s="110"/>
      <c r="T42" s="110"/>
      <c r="U42" s="110"/>
      <c r="V42" s="110"/>
      <c r="W42" s="110"/>
    </row>
    <row r="43" spans="2:26" s="198" customFormat="1" ht="15.75" x14ac:dyDescent="0.2">
      <c r="B43" s="197"/>
      <c r="C43" s="1017" t="s">
        <v>593</v>
      </c>
      <c r="D43" s="1018"/>
      <c r="E43" s="1019"/>
      <c r="F43" s="831">
        <v>1.0900000000000001</v>
      </c>
      <c r="G43" s="552">
        <v>1.0900000000000001</v>
      </c>
      <c r="H43" s="552">
        <v>1.0900000000000001</v>
      </c>
      <c r="I43" s="552">
        <v>1.0900000000000001</v>
      </c>
      <c r="J43" s="553">
        <v>1.0900000000000001</v>
      </c>
      <c r="K43" s="144"/>
      <c r="L43" s="110"/>
      <c r="M43" s="110"/>
      <c r="N43" s="562"/>
      <c r="O43" s="110"/>
      <c r="P43" s="383"/>
      <c r="Q43" s="110"/>
      <c r="R43" s="110"/>
      <c r="S43" s="110"/>
      <c r="T43" s="110"/>
      <c r="U43" s="110"/>
      <c r="V43" s="110"/>
      <c r="W43" s="110"/>
    </row>
    <row r="44" spans="2:26" s="198" customFormat="1" ht="47.25" customHeight="1" thickBot="1" x14ac:dyDescent="0.25">
      <c r="B44" s="197"/>
      <c r="C44" s="1034" t="s">
        <v>519</v>
      </c>
      <c r="D44" s="1035"/>
      <c r="E44" s="1036"/>
      <c r="F44" s="832">
        <f>ROUND(F42*1.09,1)</f>
        <v>30.2</v>
      </c>
      <c r="G44" s="810">
        <f>ROUND(G42*1.09,1)</f>
        <v>34.1</v>
      </c>
      <c r="H44" s="810">
        <f>ROUND(H42*1.09,1)</f>
        <v>32.700000000000003</v>
      </c>
      <c r="I44" s="810">
        <f>ROUND(I42*1.09,1)</f>
        <v>37.200000000000003</v>
      </c>
      <c r="J44" s="811">
        <f>ROUND(J42*1.09,1)</f>
        <v>27.8</v>
      </c>
      <c r="K44" s="144"/>
      <c r="L44" s="110"/>
      <c r="M44" s="110"/>
      <c r="N44" s="562"/>
      <c r="O44" s="110"/>
      <c r="P44" s="517"/>
      <c r="Q44" s="110"/>
      <c r="R44" s="110"/>
      <c r="S44" s="110"/>
      <c r="T44" s="110"/>
      <c r="U44" s="110"/>
      <c r="V44" s="110"/>
      <c r="W44" s="110"/>
    </row>
    <row r="45" spans="2:26" s="387" customFormat="1" ht="15" customHeight="1" thickBot="1" x14ac:dyDescent="0.25">
      <c r="B45" s="177"/>
      <c r="C45" s="199"/>
      <c r="D45" s="199"/>
      <c r="E45" s="199"/>
      <c r="F45" s="62"/>
      <c r="G45" s="62"/>
      <c r="H45" s="178"/>
      <c r="I45" s="62"/>
      <c r="J45" s="62"/>
      <c r="K45" s="62"/>
      <c r="L45" s="62"/>
      <c r="M45" s="62"/>
      <c r="N45" s="564"/>
      <c r="P45" s="110"/>
      <c r="Q45" s="390"/>
    </row>
    <row r="46" spans="2:26" s="387" customFormat="1" ht="30" customHeight="1" thickBot="1" x14ac:dyDescent="0.25">
      <c r="B46" s="397"/>
      <c r="C46" s="1020" t="s">
        <v>556</v>
      </c>
      <c r="D46" s="1021"/>
      <c r="E46" s="1021"/>
      <c r="F46" s="1021"/>
      <c r="G46" s="1021"/>
      <c r="H46" s="1021"/>
      <c r="I46" s="1021"/>
      <c r="J46" s="1021"/>
      <c r="K46" s="1021"/>
      <c r="L46" s="1021"/>
      <c r="N46" s="304"/>
      <c r="P46" s="110"/>
      <c r="Q46" s="390"/>
    </row>
    <row r="47" spans="2:26" s="387" customFormat="1" ht="20.25" customHeight="1" x14ac:dyDescent="0.2">
      <c r="B47" s="169"/>
      <c r="C47" s="570"/>
      <c r="D47" s="570"/>
      <c r="E47" s="570"/>
      <c r="F47" s="158"/>
      <c r="G47" s="158"/>
      <c r="H47" s="200"/>
      <c r="I47" s="158"/>
      <c r="J47" s="158"/>
      <c r="K47" s="158"/>
      <c r="L47" s="158"/>
      <c r="M47" s="158"/>
      <c r="N47" s="369">
        <v>2</v>
      </c>
      <c r="Q47" s="390"/>
    </row>
    <row r="48" spans="2:26" s="586" customFormat="1" ht="15.75" x14ac:dyDescent="0.25">
      <c r="B48" s="587"/>
      <c r="C48" s="381" t="s">
        <v>452</v>
      </c>
      <c r="D48" s="588"/>
      <c r="E48" s="588"/>
      <c r="F48" s="588"/>
      <c r="G48" s="588"/>
      <c r="H48" s="588"/>
      <c r="I48" s="588"/>
      <c r="J48" s="588"/>
      <c r="K48" s="588"/>
      <c r="L48" s="588"/>
      <c r="M48" s="588"/>
      <c r="N48" s="589"/>
      <c r="P48" s="146"/>
    </row>
    <row r="49" spans="2:19" s="380" customFormat="1" ht="12.75" customHeight="1" x14ac:dyDescent="0.2">
      <c r="B49" s="365">
        <v>1</v>
      </c>
      <c r="C49" s="913" t="s">
        <v>541</v>
      </c>
      <c r="D49" s="913"/>
      <c r="E49" s="913"/>
      <c r="F49" s="913"/>
      <c r="G49" s="913"/>
      <c r="H49" s="913"/>
      <c r="I49" s="913"/>
      <c r="J49" s="913"/>
      <c r="K49" s="913"/>
      <c r="L49" s="913"/>
      <c r="M49" s="913"/>
      <c r="N49" s="1022"/>
      <c r="O49" s="755"/>
      <c r="P49" s="383"/>
      <c r="Q49" s="528"/>
      <c r="R49" s="387"/>
      <c r="S49" s="387"/>
    </row>
    <row r="50" spans="2:19" s="380" customFormat="1" ht="12.75" customHeight="1" x14ac:dyDescent="0.2">
      <c r="B50" s="761"/>
      <c r="C50" s="913"/>
      <c r="D50" s="913"/>
      <c r="E50" s="913"/>
      <c r="F50" s="913"/>
      <c r="G50" s="913"/>
      <c r="H50" s="913"/>
      <c r="I50" s="913"/>
      <c r="J50" s="913"/>
      <c r="K50" s="913"/>
      <c r="L50" s="913"/>
      <c r="M50" s="913"/>
      <c r="N50" s="1022"/>
      <c r="O50" s="755"/>
      <c r="P50" s="383"/>
      <c r="Q50" s="387"/>
      <c r="R50" s="387"/>
      <c r="S50" s="387"/>
    </row>
    <row r="51" spans="2:19" s="380" customFormat="1" ht="12.75" customHeight="1" x14ac:dyDescent="0.2">
      <c r="B51" s="761"/>
      <c r="C51" s="913"/>
      <c r="D51" s="913"/>
      <c r="E51" s="913"/>
      <c r="F51" s="913"/>
      <c r="G51" s="913"/>
      <c r="H51" s="913"/>
      <c r="I51" s="913"/>
      <c r="J51" s="913"/>
      <c r="K51" s="913"/>
      <c r="L51" s="913"/>
      <c r="M51" s="913"/>
      <c r="N51" s="1022"/>
      <c r="O51" s="755"/>
      <c r="P51" s="383"/>
      <c r="Q51" s="528"/>
      <c r="R51" s="528"/>
      <c r="S51" s="387"/>
    </row>
    <row r="52" spans="2:19" s="380" customFormat="1" ht="12.75" customHeight="1" x14ac:dyDescent="0.2">
      <c r="B52" s="761"/>
      <c r="C52" s="913"/>
      <c r="D52" s="913"/>
      <c r="E52" s="913"/>
      <c r="F52" s="913"/>
      <c r="G52" s="913"/>
      <c r="H52" s="913"/>
      <c r="I52" s="913"/>
      <c r="J52" s="913"/>
      <c r="K52" s="913"/>
      <c r="L52" s="913"/>
      <c r="M52" s="913"/>
      <c r="N52" s="1022"/>
      <c r="O52" s="755"/>
      <c r="P52" s="387"/>
      <c r="Q52" s="387"/>
      <c r="R52" s="387"/>
      <c r="S52" s="387"/>
    </row>
    <row r="53" spans="2:19" s="380" customFormat="1" ht="12.75" customHeight="1" x14ac:dyDescent="0.2">
      <c r="B53" s="761">
        <v>2</v>
      </c>
      <c r="C53" s="913" t="s">
        <v>542</v>
      </c>
      <c r="D53" s="913"/>
      <c r="E53" s="913"/>
      <c r="F53" s="913"/>
      <c r="G53" s="913"/>
      <c r="H53" s="913"/>
      <c r="I53" s="913"/>
      <c r="J53" s="913"/>
      <c r="K53" s="913"/>
      <c r="L53" s="913"/>
      <c r="M53" s="913"/>
      <c r="N53" s="1022"/>
      <c r="O53" s="755"/>
      <c r="P53" s="387"/>
      <c r="Q53" s="387"/>
      <c r="R53" s="387"/>
      <c r="S53" s="387"/>
    </row>
    <row r="54" spans="2:19" s="380" customFormat="1" x14ac:dyDescent="0.2">
      <c r="B54" s="761"/>
      <c r="C54" s="913"/>
      <c r="D54" s="913"/>
      <c r="E54" s="913"/>
      <c r="F54" s="913"/>
      <c r="G54" s="913"/>
      <c r="H54" s="913"/>
      <c r="I54" s="913"/>
      <c r="J54" s="913"/>
      <c r="K54" s="913"/>
      <c r="L54" s="913"/>
      <c r="M54" s="913"/>
      <c r="N54" s="1022"/>
      <c r="O54" s="755"/>
    </row>
    <row r="55" spans="2:19" s="380" customFormat="1" x14ac:dyDescent="0.2">
      <c r="B55" s="761"/>
      <c r="C55" s="913"/>
      <c r="D55" s="913"/>
      <c r="E55" s="913"/>
      <c r="F55" s="913"/>
      <c r="G55" s="913"/>
      <c r="H55" s="913"/>
      <c r="I55" s="913"/>
      <c r="J55" s="913"/>
      <c r="K55" s="913"/>
      <c r="L55" s="913"/>
      <c r="M55" s="913"/>
      <c r="N55" s="1022"/>
      <c r="O55" s="755"/>
    </row>
    <row r="56" spans="2:19" s="380" customFormat="1" x14ac:dyDescent="0.2">
      <c r="B56" s="761"/>
      <c r="C56" s="913"/>
      <c r="D56" s="913"/>
      <c r="E56" s="913"/>
      <c r="F56" s="913"/>
      <c r="G56" s="913"/>
      <c r="H56" s="913"/>
      <c r="I56" s="913"/>
      <c r="J56" s="913"/>
      <c r="K56" s="913"/>
      <c r="L56" s="913"/>
      <c r="M56" s="913"/>
      <c r="N56" s="1022"/>
      <c r="O56" s="755"/>
    </row>
    <row r="57" spans="2:19" s="380" customFormat="1" ht="12.75" customHeight="1" x14ac:dyDescent="0.2">
      <c r="B57" s="761">
        <v>3</v>
      </c>
      <c r="C57" s="913" t="s">
        <v>584</v>
      </c>
      <c r="D57" s="913"/>
      <c r="E57" s="913"/>
      <c r="F57" s="913"/>
      <c r="G57" s="913"/>
      <c r="H57" s="913"/>
      <c r="I57" s="913"/>
      <c r="J57" s="913"/>
      <c r="K57" s="913"/>
      <c r="L57" s="913"/>
      <c r="M57" s="913"/>
      <c r="N57" s="913"/>
      <c r="O57" s="755"/>
    </row>
    <row r="58" spans="2:19" s="380" customFormat="1" x14ac:dyDescent="0.2">
      <c r="B58" s="761"/>
      <c r="C58" s="913"/>
      <c r="D58" s="913"/>
      <c r="E58" s="913"/>
      <c r="F58" s="913"/>
      <c r="G58" s="913"/>
      <c r="H58" s="913"/>
      <c r="I58" s="913"/>
      <c r="J58" s="913"/>
      <c r="K58" s="913"/>
      <c r="L58" s="913"/>
      <c r="M58" s="913"/>
      <c r="N58" s="913"/>
      <c r="O58" s="755"/>
    </row>
    <row r="59" spans="2:19" s="380" customFormat="1" x14ac:dyDescent="0.2">
      <c r="B59" s="761"/>
      <c r="C59" s="913"/>
      <c r="D59" s="913"/>
      <c r="E59" s="913"/>
      <c r="F59" s="913"/>
      <c r="G59" s="913"/>
      <c r="H59" s="913"/>
      <c r="I59" s="913"/>
      <c r="J59" s="913"/>
      <c r="K59" s="913"/>
      <c r="L59" s="913"/>
      <c r="M59" s="913"/>
      <c r="N59" s="913"/>
      <c r="O59" s="755"/>
    </row>
    <row r="60" spans="2:19" s="380" customFormat="1" x14ac:dyDescent="0.2">
      <c r="B60" s="761"/>
      <c r="C60" s="913"/>
      <c r="D60" s="913"/>
      <c r="E60" s="913"/>
      <c r="F60" s="913"/>
      <c r="G60" s="913"/>
      <c r="H60" s="913"/>
      <c r="I60" s="913"/>
      <c r="J60" s="913"/>
      <c r="K60" s="913"/>
      <c r="L60" s="913"/>
      <c r="M60" s="913"/>
      <c r="N60" s="913"/>
      <c r="O60" s="755"/>
    </row>
    <row r="61" spans="2:19" s="380" customFormat="1" ht="12.75" customHeight="1" x14ac:dyDescent="0.2">
      <c r="B61" s="761">
        <v>4</v>
      </c>
      <c r="C61" s="992" t="s">
        <v>543</v>
      </c>
      <c r="D61" s="993"/>
      <c r="E61" s="993"/>
      <c r="F61" s="993"/>
      <c r="G61" s="993"/>
      <c r="H61" s="993"/>
      <c r="I61" s="993"/>
      <c r="J61" s="993"/>
      <c r="K61" s="993"/>
      <c r="L61" s="993"/>
      <c r="M61" s="993"/>
      <c r="N61" s="1013"/>
      <c r="O61" s="755"/>
    </row>
    <row r="62" spans="2:19" s="380" customFormat="1" x14ac:dyDescent="0.2">
      <c r="B62" s="762"/>
      <c r="C62" s="995"/>
      <c r="D62" s="1014"/>
      <c r="E62" s="1014"/>
      <c r="F62" s="1014"/>
      <c r="G62" s="1014"/>
      <c r="H62" s="1014"/>
      <c r="I62" s="1014"/>
      <c r="J62" s="1014"/>
      <c r="K62" s="1014"/>
      <c r="L62" s="1014"/>
      <c r="M62" s="1014"/>
      <c r="N62" s="1015"/>
      <c r="O62" s="755"/>
    </row>
    <row r="63" spans="2:19" s="380" customFormat="1" x14ac:dyDescent="0.2">
      <c r="B63" s="762"/>
      <c r="C63" s="995"/>
      <c r="D63" s="1014"/>
      <c r="E63" s="1014"/>
      <c r="F63" s="1014"/>
      <c r="G63" s="1014"/>
      <c r="H63" s="1014"/>
      <c r="I63" s="1014"/>
      <c r="J63" s="1014"/>
      <c r="K63" s="1014"/>
      <c r="L63" s="1014"/>
      <c r="M63" s="1014"/>
      <c r="N63" s="1015"/>
      <c r="O63" s="755"/>
    </row>
    <row r="64" spans="2:19" s="380" customFormat="1" x14ac:dyDescent="0.2">
      <c r="B64" s="762"/>
      <c r="C64" s="998"/>
      <c r="D64" s="999"/>
      <c r="E64" s="999"/>
      <c r="F64" s="999"/>
      <c r="G64" s="999"/>
      <c r="H64" s="999"/>
      <c r="I64" s="999"/>
      <c r="J64" s="999"/>
      <c r="K64" s="999"/>
      <c r="L64" s="999"/>
      <c r="M64" s="999"/>
      <c r="N64" s="1016"/>
      <c r="O64" s="755"/>
    </row>
    <row r="65" spans="2:17" x14ac:dyDescent="0.2">
      <c r="B65" s="397"/>
      <c r="C65" s="387"/>
      <c r="D65" s="387"/>
      <c r="E65" s="387"/>
      <c r="F65" s="387"/>
      <c r="G65" s="387"/>
      <c r="H65" s="387"/>
      <c r="I65" s="387"/>
      <c r="J65" s="387"/>
      <c r="K65" s="387"/>
      <c r="L65" s="387"/>
      <c r="M65" s="387"/>
      <c r="N65" s="304"/>
      <c r="P65" s="380"/>
      <c r="Q65" s="171"/>
    </row>
    <row r="66" spans="2:17" ht="13.5" thickBot="1" x14ac:dyDescent="0.25">
      <c r="B66" s="177"/>
      <c r="C66" s="62"/>
      <c r="D66" s="62"/>
      <c r="E66" s="62"/>
      <c r="F66" s="62"/>
      <c r="G66" s="62"/>
      <c r="H66" s="62"/>
      <c r="I66" s="62"/>
      <c r="J66" s="62"/>
      <c r="K66" s="62"/>
      <c r="L66" s="62"/>
      <c r="M66" s="62"/>
      <c r="N66" s="564"/>
      <c r="P66" s="182"/>
    </row>
    <row r="67" spans="2:17" x14ac:dyDescent="0.2">
      <c r="C67" s="182"/>
      <c r="D67" s="182"/>
      <c r="E67" s="182"/>
      <c r="F67" s="182"/>
      <c r="G67" s="182"/>
      <c r="H67" s="182"/>
      <c r="I67" s="182"/>
    </row>
    <row r="68" spans="2:17" x14ac:dyDescent="0.2">
      <c r="C68" s="182"/>
      <c r="D68" s="182"/>
      <c r="E68" s="182"/>
      <c r="F68" s="182"/>
      <c r="G68" s="182"/>
      <c r="H68" s="383"/>
      <c r="I68" s="182"/>
    </row>
    <row r="69" spans="2:17" ht="15.75" x14ac:dyDescent="0.25">
      <c r="C69" s="186"/>
      <c r="D69" s="186"/>
      <c r="E69" s="186"/>
      <c r="F69" s="182"/>
      <c r="G69" s="182"/>
      <c r="H69" s="383"/>
      <c r="I69" s="182"/>
    </row>
    <row r="70" spans="2:17" x14ac:dyDescent="0.2">
      <c r="C70" s="182"/>
      <c r="D70" s="182"/>
      <c r="E70" s="182"/>
      <c r="F70" s="182"/>
      <c r="G70" s="182"/>
      <c r="H70" s="383"/>
      <c r="I70" s="182"/>
    </row>
  </sheetData>
  <sheetProtection algorithmName="SHA-512" hashValue="UK6oX5QgsiCgOPDTh0pCjYgUMcvzj5rBeB6GzVHH3wPd025tpEdSrIiWJxu9nD1s37xMbYSsP3zEvXZHs3keHA==" saltValue="BrVAGMjk7k1nPFgtiJ/o2Q==" spinCount="100000" sheet="1" objects="1" scenarios="1"/>
  <protectedRanges>
    <protectedRange sqref="F42:J42" name="Range2_1"/>
    <protectedRange sqref="F38:J38" name="Range1_1"/>
  </protectedRanges>
  <customSheetViews>
    <customSheetView guid="{1D46CCF0-D0A9-4A4B-AB32-CC50C778381E}" showPageBreaks="1" hiddenColumns="1">
      <pane ySplit="12" topLeftCell="A13" activePane="bottomLeft" state="frozen"/>
      <selection pane="bottomLeft"/>
      <rowBreaks count="1" manualBreakCount="1">
        <brk id="44" max="16383" man="1"/>
      </rowBreaks>
      <colBreaks count="1" manualBreakCount="1">
        <brk id="18" max="1048575" man="1"/>
      </colBreaks>
      <pageMargins left="0.7" right="0.7" top="0.75" bottom="0.75" header="0.3" footer="0.3"/>
      <pageSetup scale="57" orientation="landscape" useFirstPageNumber="1" r:id="rId1"/>
      <headerFooter scaleWithDoc="0" alignWithMargins="0">
        <oddHeader>&amp;C&amp;8 Bridge-Scour Envelope Curve Template</oddHeader>
        <oddFooter>&amp;C&amp;A&amp;RPage  &amp;P  of  &amp;N</oddFooter>
      </headerFooter>
    </customSheetView>
  </customSheetViews>
  <mergeCells count="28">
    <mergeCell ref="C42:E42"/>
    <mergeCell ref="B2:M2"/>
    <mergeCell ref="B3:M3"/>
    <mergeCell ref="C44:E44"/>
    <mergeCell ref="C34:E34"/>
    <mergeCell ref="C35:E35"/>
    <mergeCell ref="C36:E36"/>
    <mergeCell ref="C37:E37"/>
    <mergeCell ref="H5:I5"/>
    <mergeCell ref="H6:I6"/>
    <mergeCell ref="C28:E28"/>
    <mergeCell ref="H10:H11"/>
    <mergeCell ref="I10:I11"/>
    <mergeCell ref="C29:E29"/>
    <mergeCell ref="C30:E30"/>
    <mergeCell ref="C31:E31"/>
    <mergeCell ref="C32:E32"/>
    <mergeCell ref="C33:E33"/>
    <mergeCell ref="C38:E38"/>
    <mergeCell ref="C40:E40"/>
    <mergeCell ref="C41:E41"/>
    <mergeCell ref="C39:E39"/>
    <mergeCell ref="C61:N64"/>
    <mergeCell ref="C43:E43"/>
    <mergeCell ref="C46:L46"/>
    <mergeCell ref="C49:N52"/>
    <mergeCell ref="C53:N56"/>
    <mergeCell ref="C57:N60"/>
  </mergeCells>
  <conditionalFormatting sqref="F31">
    <cfRule type="cellIs" dxfId="68" priority="42" stopIfTrue="1" operator="greaterThan">
      <formula>15</formula>
    </cfRule>
  </conditionalFormatting>
  <conditionalFormatting sqref="F32">
    <cfRule type="expression" dxfId="67" priority="41" stopIfTrue="1">
      <formula>F32&lt;F31</formula>
    </cfRule>
  </conditionalFormatting>
  <conditionalFormatting sqref="G37">
    <cfRule type="cellIs" dxfId="66" priority="39" stopIfTrue="1" operator="equal">
      <formula>"N/A"</formula>
    </cfRule>
    <cfRule type="containsText" dxfId="65" priority="40" stopIfTrue="1" operator="containsText" text="Check">
      <formula>NOT(ISERROR(SEARCH("Check",G37)))</formula>
    </cfRule>
  </conditionalFormatting>
  <conditionalFormatting sqref="I37">
    <cfRule type="containsText" dxfId="64" priority="38" stopIfTrue="1" operator="containsText" text="Check">
      <formula>NOT(ISERROR(SEARCH("Check",I37)))</formula>
    </cfRule>
  </conditionalFormatting>
  <conditionalFormatting sqref="I37">
    <cfRule type="cellIs" dxfId="63" priority="37" stopIfTrue="1" operator="equal">
      <formula>"N/A"</formula>
    </cfRule>
  </conditionalFormatting>
  <conditionalFormatting sqref="J36">
    <cfRule type="cellIs" dxfId="62" priority="36" stopIfTrue="1" operator="notBetween">
      <formula>2</formula>
      <formula>10</formula>
    </cfRule>
  </conditionalFormatting>
  <conditionalFormatting sqref="J36">
    <cfRule type="cellIs" dxfId="61" priority="35" stopIfTrue="1" operator="equal">
      <formula>"N/A"</formula>
    </cfRule>
  </conditionalFormatting>
  <conditionalFormatting sqref="H36">
    <cfRule type="cellIs" dxfId="60" priority="34" stopIfTrue="1" operator="notBetween">
      <formula>2</formula>
      <formula>10</formula>
    </cfRule>
  </conditionalFormatting>
  <conditionalFormatting sqref="H36">
    <cfRule type="cellIs" dxfId="59" priority="33" stopIfTrue="1" operator="equal">
      <formula>"N/A"</formula>
    </cfRule>
  </conditionalFormatting>
  <conditionalFormatting sqref="F42:J43">
    <cfRule type="expression" dxfId="58" priority="32">
      <formula>AND(F30="Automatic Calculation", F31&gt;15)</formula>
    </cfRule>
  </conditionalFormatting>
  <conditionalFormatting sqref="F44:J44">
    <cfRule type="expression" dxfId="57" priority="31">
      <formula>AND(F30="Automatic Calculation", F31&gt;15)</formula>
    </cfRule>
  </conditionalFormatting>
  <conditionalFormatting sqref="F36">
    <cfRule type="cellIs" dxfId="56" priority="30" stopIfTrue="1" operator="notBetween">
      <formula>2</formula>
      <formula>10</formula>
    </cfRule>
  </conditionalFormatting>
  <conditionalFormatting sqref="F36">
    <cfRule type="cellIs" dxfId="55" priority="29" stopIfTrue="1" operator="equal">
      <formula>"N/A"</formula>
    </cfRule>
  </conditionalFormatting>
  <conditionalFormatting sqref="G31">
    <cfRule type="cellIs" dxfId="54" priority="28" stopIfTrue="1" operator="greaterThan">
      <formula>15</formula>
    </cfRule>
  </conditionalFormatting>
  <conditionalFormatting sqref="G32">
    <cfRule type="expression" dxfId="53" priority="27" stopIfTrue="1">
      <formula>G32&lt;G31</formula>
    </cfRule>
  </conditionalFormatting>
  <conditionalFormatting sqref="H31">
    <cfRule type="cellIs" dxfId="52" priority="26" stopIfTrue="1" operator="greaterThan">
      <formula>15</formula>
    </cfRule>
  </conditionalFormatting>
  <conditionalFormatting sqref="H32">
    <cfRule type="expression" dxfId="51" priority="25" stopIfTrue="1">
      <formula>H32&lt;H31</formula>
    </cfRule>
  </conditionalFormatting>
  <conditionalFormatting sqref="I31">
    <cfRule type="cellIs" dxfId="50" priority="24" stopIfTrue="1" operator="greaterThan">
      <formula>15</formula>
    </cfRule>
  </conditionalFormatting>
  <conditionalFormatting sqref="I32">
    <cfRule type="expression" dxfId="49" priority="23" stopIfTrue="1">
      <formula>I32&lt;I31</formula>
    </cfRule>
  </conditionalFormatting>
  <conditionalFormatting sqref="J31">
    <cfRule type="cellIs" dxfId="48" priority="22" stopIfTrue="1" operator="greaterThan">
      <formula>15</formula>
    </cfRule>
  </conditionalFormatting>
  <conditionalFormatting sqref="J32">
    <cfRule type="expression" dxfId="47" priority="21" stopIfTrue="1">
      <formula>J32&lt;J31</formula>
    </cfRule>
  </conditionalFormatting>
  <conditionalFormatting sqref="J34">
    <cfRule type="expression" dxfId="46" priority="20">
      <formula>ISNUMBER(SEARCH("Check Multiple",J37))</formula>
    </cfRule>
  </conditionalFormatting>
  <conditionalFormatting sqref="J35">
    <cfRule type="expression" dxfId="45" priority="19">
      <formula>ISNUMBER(SEARCH("Check Multiple",J37))</formula>
    </cfRule>
  </conditionalFormatting>
  <conditionalFormatting sqref="I34">
    <cfRule type="expression" dxfId="44" priority="18">
      <formula>ISNUMBER(SEARCH("Check Multiple",I37))</formula>
    </cfRule>
  </conditionalFormatting>
  <conditionalFormatting sqref="H34">
    <cfRule type="expression" dxfId="43" priority="17">
      <formula>ISNUMBER(SEARCH("Check Multiple",H37))</formula>
    </cfRule>
  </conditionalFormatting>
  <conditionalFormatting sqref="G34">
    <cfRule type="expression" dxfId="42" priority="16">
      <formula>ISNUMBER(SEARCH("Check Multiple",G37))</formula>
    </cfRule>
  </conditionalFormatting>
  <conditionalFormatting sqref="F34">
    <cfRule type="expression" dxfId="41" priority="15">
      <formula>ISNUMBER(SEARCH("Check Multiple",F37))</formula>
    </cfRule>
  </conditionalFormatting>
  <conditionalFormatting sqref="I35">
    <cfRule type="expression" dxfId="40" priority="14">
      <formula>ISNUMBER(SEARCH("Check Multiple",I37))</formula>
    </cfRule>
  </conditionalFormatting>
  <conditionalFormatting sqref="H35">
    <cfRule type="expression" dxfId="39" priority="13">
      <formula>ISNUMBER(SEARCH("Check Multiple",H37))</formula>
    </cfRule>
  </conditionalFormatting>
  <conditionalFormatting sqref="G35">
    <cfRule type="expression" dxfId="38" priority="12">
      <formula>ISNUMBER(SEARCH("Check Multiple",G37))</formula>
    </cfRule>
  </conditionalFormatting>
  <conditionalFormatting sqref="F35">
    <cfRule type="expression" dxfId="37" priority="11">
      <formula>ISNUMBER(SEARCH("Check Multiple",F37))</formula>
    </cfRule>
  </conditionalFormatting>
  <conditionalFormatting sqref="G36">
    <cfRule type="cellIs" dxfId="36" priority="10" stopIfTrue="1" operator="notBetween">
      <formula>2</formula>
      <formula>10</formula>
    </cfRule>
  </conditionalFormatting>
  <conditionalFormatting sqref="G36">
    <cfRule type="cellIs" dxfId="35" priority="9" stopIfTrue="1" operator="equal">
      <formula>"N/A"</formula>
    </cfRule>
  </conditionalFormatting>
  <conditionalFormatting sqref="I36">
    <cfRule type="cellIs" dxfId="34" priority="8" stopIfTrue="1" operator="notBetween">
      <formula>2</formula>
      <formula>10</formula>
    </cfRule>
  </conditionalFormatting>
  <conditionalFormatting sqref="I36">
    <cfRule type="cellIs" dxfId="33" priority="7" stopIfTrue="1" operator="equal">
      <formula>"N/A"</formula>
    </cfRule>
  </conditionalFormatting>
  <conditionalFormatting sqref="H37">
    <cfRule type="containsText" dxfId="32" priority="6" stopIfTrue="1" operator="containsText" text="Check">
      <formula>NOT(ISERROR(SEARCH("Check",H37)))</formula>
    </cfRule>
  </conditionalFormatting>
  <conditionalFormatting sqref="H37">
    <cfRule type="cellIs" dxfId="31" priority="5" stopIfTrue="1" operator="equal">
      <formula>"N/A"</formula>
    </cfRule>
  </conditionalFormatting>
  <conditionalFormatting sqref="J37">
    <cfRule type="containsText" dxfId="30" priority="4" stopIfTrue="1" operator="containsText" text="Check">
      <formula>NOT(ISERROR(SEARCH("Check",J37)))</formula>
    </cfRule>
  </conditionalFormatting>
  <conditionalFormatting sqref="J37">
    <cfRule type="cellIs" dxfId="29" priority="3" stopIfTrue="1" operator="equal">
      <formula>"N/A"</formula>
    </cfRule>
  </conditionalFormatting>
  <conditionalFormatting sqref="F37">
    <cfRule type="cellIs" dxfId="28" priority="1" stopIfTrue="1" operator="equal">
      <formula>"N/A"</formula>
    </cfRule>
    <cfRule type="containsText" dxfId="27" priority="2" stopIfTrue="1" operator="containsText" text="Check">
      <formula>NOT(ISERROR(SEARCH("Check",F37)))</formula>
    </cfRule>
  </conditionalFormatting>
  <dataValidations disablePrompts="1" count="3">
    <dataValidation type="list" allowBlank="1" showInputMessage="1" showErrorMessage="1" sqref="F34:J34">
      <formula1>$P$30:$P$31</formula1>
    </dataValidation>
    <dataValidation type="list" allowBlank="1" showInputMessage="1" showErrorMessage="1" sqref="F29:J29">
      <formula1>$R$30:$R$37</formula1>
    </dataValidation>
    <dataValidation type="list" allowBlank="1" showInputMessage="1" showErrorMessage="1" sqref="F30:J30">
      <formula1>$P$35:$P$39</formula1>
    </dataValidation>
  </dataValidations>
  <pageMargins left="0.7" right="0.7" top="0.75" bottom="0.75" header="0.3" footer="0.3"/>
  <pageSetup scale="57" orientation="landscape" useFirstPageNumber="1" r:id="rId2"/>
  <headerFooter scaleWithDoc="0" alignWithMargins="0">
    <oddHeader>&amp;C&amp;8 Bridge-Scour Envelope Curve Template</oddHeader>
    <oddFooter>&amp;C&amp;A&amp;RPage  &amp;P  of  &amp;N</oddFooter>
  </headerFooter>
  <rowBreaks count="1" manualBreakCount="1">
    <brk id="46" max="16383" man="1"/>
  </rowBreaks>
  <colBreaks count="1" manualBreakCount="1">
    <brk id="18" max="1048575" man="1"/>
  </colBreak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S66"/>
  <sheetViews>
    <sheetView zoomScaleNormal="100" zoomScalePageLayoutView="80" workbookViewId="0">
      <pane ySplit="13" topLeftCell="A35" activePane="bottomLeft" state="frozen"/>
      <selection activeCell="L34" sqref="L34"/>
      <selection pane="bottomLeft" activeCell="E38" sqref="E38"/>
    </sheetView>
  </sheetViews>
  <sheetFormatPr defaultColWidth="9.140625" defaultRowHeight="12.75" x14ac:dyDescent="0.2"/>
  <cols>
    <col min="1" max="1" width="2.7109375" style="387" customWidth="1"/>
    <col min="2" max="2" width="22.140625" style="171" customWidth="1"/>
    <col min="3" max="3" width="13.85546875" style="171" customWidth="1"/>
    <col min="4" max="4" width="13.5703125" style="171" customWidth="1"/>
    <col min="5" max="5" width="11.85546875" style="171" customWidth="1"/>
    <col min="6" max="6" width="12.28515625" style="171" customWidth="1"/>
    <col min="7" max="7" width="12.42578125" style="171" customWidth="1"/>
    <col min="8" max="8" width="11.85546875" style="171" customWidth="1"/>
    <col min="9" max="9" width="13.7109375" style="171" customWidth="1"/>
    <col min="10" max="10" width="12.140625" style="171" customWidth="1"/>
    <col min="11" max="11" width="12.5703125" style="171" customWidth="1"/>
    <col min="12" max="12" width="11.7109375" style="171" customWidth="1"/>
    <col min="13" max="13" width="13.28515625" style="171" customWidth="1"/>
    <col min="14" max="14" width="12.42578125" style="171" customWidth="1"/>
    <col min="15" max="15" width="14.140625" style="182" customWidth="1"/>
    <col min="16" max="16" width="15.140625" style="171" customWidth="1"/>
    <col min="17" max="17" width="3.7109375" style="185" customWidth="1"/>
    <col min="18" max="18" width="9.140625" style="171"/>
    <col min="19" max="19" width="0" style="171" hidden="1" customWidth="1"/>
    <col min="20" max="16384" width="9.140625" style="171"/>
  </cols>
  <sheetData>
    <row r="1" spans="1:19" ht="18" x14ac:dyDescent="0.25">
      <c r="A1" s="169"/>
      <c r="B1" s="802"/>
      <c r="C1" s="158"/>
      <c r="D1" s="158"/>
      <c r="E1" s="200"/>
      <c r="F1" s="200"/>
      <c r="G1" s="158"/>
      <c r="H1" s="158"/>
      <c r="I1" s="520" t="s">
        <v>587</v>
      </c>
      <c r="J1" s="158"/>
      <c r="K1" s="158"/>
      <c r="L1" s="158"/>
      <c r="M1" s="158"/>
      <c r="N1" s="158"/>
      <c r="O1" s="200"/>
      <c r="P1" s="158"/>
      <c r="Q1" s="170">
        <v>1</v>
      </c>
    </row>
    <row r="2" spans="1:19" ht="16.5" thickBot="1" x14ac:dyDescent="0.3">
      <c r="A2" s="397"/>
      <c r="B2" s="390"/>
      <c r="C2" s="387"/>
      <c r="D2" s="387"/>
      <c r="E2" s="390"/>
      <c r="F2" s="390"/>
      <c r="G2" s="387"/>
      <c r="H2" s="387"/>
      <c r="I2" s="399" t="s">
        <v>476</v>
      </c>
      <c r="J2" s="387"/>
      <c r="K2" s="387"/>
      <c r="L2" s="387"/>
      <c r="M2" s="387"/>
      <c r="N2" s="387"/>
      <c r="O2" s="390"/>
      <c r="P2" s="387"/>
      <c r="Q2" s="172"/>
    </row>
    <row r="3" spans="1:19" ht="18" x14ac:dyDescent="0.25">
      <c r="A3" s="397"/>
      <c r="B3" s="390"/>
      <c r="C3" s="387"/>
      <c r="D3" s="387"/>
      <c r="E3" s="390"/>
      <c r="F3" s="390"/>
      <c r="G3" s="387"/>
      <c r="H3" s="387"/>
      <c r="I3" s="777" t="s">
        <v>435</v>
      </c>
      <c r="J3" s="387"/>
      <c r="K3" s="387"/>
      <c r="L3" s="387"/>
      <c r="M3" s="387"/>
      <c r="N3" s="387"/>
      <c r="O3" s="390"/>
      <c r="P3" s="387"/>
      <c r="Q3" s="172"/>
      <c r="S3" s="201" t="s">
        <v>37</v>
      </c>
    </row>
    <row r="4" spans="1:19" ht="13.5" thickBot="1" x14ac:dyDescent="0.25">
      <c r="A4" s="397"/>
      <c r="B4" s="390"/>
      <c r="C4" s="390"/>
      <c r="D4" s="390"/>
      <c r="E4" s="387"/>
      <c r="F4" s="387"/>
      <c r="G4" s="387"/>
      <c r="H4" s="387"/>
      <c r="I4" s="387"/>
      <c r="J4" s="390"/>
      <c r="K4" s="390"/>
      <c r="L4" s="390"/>
      <c r="M4" s="390"/>
      <c r="N4" s="390"/>
      <c r="O4" s="390"/>
      <c r="P4" s="387"/>
      <c r="Q4" s="172"/>
      <c r="S4" s="202" t="s">
        <v>36</v>
      </c>
    </row>
    <row r="5" spans="1:19" x14ac:dyDescent="0.2">
      <c r="A5" s="397"/>
      <c r="B5" s="390" t="s">
        <v>0</v>
      </c>
      <c r="C5" s="387"/>
      <c r="D5" s="963">
        <f>'Site Info'!E6</f>
        <v>0</v>
      </c>
      <c r="E5" s="1044"/>
      <c r="F5" s="387"/>
      <c r="G5" s="387"/>
      <c r="H5" s="390" t="s">
        <v>2</v>
      </c>
      <c r="I5" s="963">
        <f>'Site Info'!I6</f>
        <v>0</v>
      </c>
      <c r="J5" s="968"/>
      <c r="K5" s="387"/>
      <c r="L5" s="775" t="s">
        <v>32</v>
      </c>
      <c r="M5" s="387"/>
      <c r="N5" s="788">
        <f>'Site Info'!N6</f>
        <v>0</v>
      </c>
      <c r="O5" s="400"/>
      <c r="P5" s="387"/>
      <c r="Q5" s="172"/>
    </row>
    <row r="6" spans="1:19" x14ac:dyDescent="0.2">
      <c r="A6" s="397"/>
      <c r="B6" s="390" t="s">
        <v>1</v>
      </c>
      <c r="C6" s="387"/>
      <c r="D6" s="963">
        <f>'Site Info'!E7</f>
        <v>0</v>
      </c>
      <c r="E6" s="1044"/>
      <c r="F6" s="387"/>
      <c r="G6" s="387"/>
      <c r="H6" s="390" t="s">
        <v>3</v>
      </c>
      <c r="I6" s="963">
        <f>'Site Info'!I7</f>
        <v>0</v>
      </c>
      <c r="J6" s="968"/>
      <c r="K6" s="387"/>
      <c r="L6" s="387"/>
      <c r="M6" s="387"/>
      <c r="N6" s="382"/>
      <c r="O6" s="387"/>
      <c r="P6" s="387"/>
      <c r="Q6" s="172"/>
    </row>
    <row r="7" spans="1:19" x14ac:dyDescent="0.2">
      <c r="A7" s="397"/>
      <c r="B7" s="387"/>
      <c r="C7" s="387"/>
      <c r="D7" s="401"/>
      <c r="E7" s="401"/>
      <c r="F7" s="387"/>
      <c r="G7" s="387"/>
      <c r="H7" s="387"/>
      <c r="I7" s="401"/>
      <c r="J7" s="401"/>
      <c r="K7" s="387"/>
      <c r="L7" s="387"/>
      <c r="M7" s="387"/>
      <c r="N7" s="387"/>
      <c r="O7" s="387"/>
      <c r="P7" s="387"/>
      <c r="Q7" s="172"/>
    </row>
    <row r="8" spans="1:19" x14ac:dyDescent="0.2">
      <c r="A8" s="397"/>
      <c r="B8" s="387"/>
      <c r="C8" s="387"/>
      <c r="D8" s="401"/>
      <c r="E8" s="401"/>
      <c r="F8" s="387"/>
      <c r="G8" s="387"/>
      <c r="H8" s="387"/>
      <c r="I8" s="401"/>
      <c r="J8" s="401"/>
      <c r="K8" s="387"/>
      <c r="L8" s="390" t="s">
        <v>42</v>
      </c>
      <c r="M8" s="387"/>
      <c r="N8" s="389">
        <f>'Site Info'!N9</f>
        <v>0</v>
      </c>
      <c r="O8" s="390" t="s">
        <v>7</v>
      </c>
      <c r="P8" s="387"/>
      <c r="Q8" s="172"/>
    </row>
    <row r="9" spans="1:19" x14ac:dyDescent="0.2">
      <c r="A9" s="397"/>
      <c r="B9" s="390" t="s">
        <v>6</v>
      </c>
      <c r="C9" s="387"/>
      <c r="D9" s="788">
        <f>'Site Info'!G9</f>
        <v>0</v>
      </c>
      <c r="E9" s="401"/>
      <c r="F9" s="400"/>
      <c r="G9" s="387"/>
      <c r="H9" s="387"/>
      <c r="I9" s="595" t="s">
        <v>34</v>
      </c>
      <c r="J9" s="782">
        <f>'Site Info'!J9</f>
        <v>0</v>
      </c>
      <c r="K9" s="387"/>
      <c r="L9" s="387"/>
      <c r="M9" s="387"/>
      <c r="N9" s="387"/>
      <c r="O9" s="390"/>
      <c r="P9" s="387"/>
      <c r="Q9" s="172"/>
    </row>
    <row r="10" spans="1:19" x14ac:dyDescent="0.2">
      <c r="A10" s="397"/>
      <c r="B10" s="390"/>
      <c r="C10" s="387"/>
      <c r="D10" s="387"/>
      <c r="E10" s="385"/>
      <c r="F10" s="385"/>
      <c r="G10" s="387"/>
      <c r="H10" s="387"/>
      <c r="I10" s="596" t="s">
        <v>275</v>
      </c>
      <c r="J10" s="782">
        <f>'Site Info'!J10</f>
        <v>0</v>
      </c>
      <c r="K10" s="387"/>
      <c r="L10" s="390" t="s">
        <v>57</v>
      </c>
      <c r="M10" s="387"/>
      <c r="N10" s="389">
        <f>'Site Info'!N11</f>
        <v>0</v>
      </c>
      <c r="O10" s="390" t="s">
        <v>58</v>
      </c>
      <c r="P10" s="387"/>
      <c r="Q10" s="172"/>
    </row>
    <row r="11" spans="1:19" x14ac:dyDescent="0.2">
      <c r="A11" s="397"/>
      <c r="B11" s="390" t="s">
        <v>90</v>
      </c>
      <c r="C11" s="383"/>
      <c r="D11" s="58">
        <f>'Site Info'!E11</f>
        <v>0</v>
      </c>
      <c r="E11" s="395" t="s">
        <v>92</v>
      </c>
      <c r="F11" s="385"/>
      <c r="G11" s="387"/>
      <c r="H11" s="1040" t="s">
        <v>287</v>
      </c>
      <c r="I11" s="967"/>
      <c r="J11" s="1046">
        <f>'Site Info'!J11</f>
        <v>0</v>
      </c>
      <c r="K11" s="390"/>
      <c r="L11" s="387"/>
      <c r="M11" s="391"/>
      <c r="N11" s="383"/>
      <c r="O11" s="390"/>
      <c r="P11" s="387"/>
      <c r="Q11" s="172"/>
    </row>
    <row r="12" spans="1:19" x14ac:dyDescent="0.2">
      <c r="A12" s="397"/>
      <c r="B12" s="390" t="s">
        <v>91</v>
      </c>
      <c r="C12" s="383"/>
      <c r="D12" s="58">
        <f>'Site Info'!E12</f>
        <v>0</v>
      </c>
      <c r="E12" s="395" t="s">
        <v>92</v>
      </c>
      <c r="F12" s="385"/>
      <c r="G12" s="387"/>
      <c r="H12" s="1040"/>
      <c r="I12" s="967"/>
      <c r="J12" s="1046"/>
      <c r="K12" s="390"/>
      <c r="L12" s="387"/>
      <c r="M12" s="391"/>
      <c r="N12" s="383"/>
      <c r="O12" s="390"/>
      <c r="P12" s="387"/>
      <c r="Q12" s="172"/>
    </row>
    <row r="13" spans="1:19" ht="13.5" thickBot="1" x14ac:dyDescent="0.25">
      <c r="A13" s="177"/>
      <c r="B13" s="178"/>
      <c r="C13" s="62"/>
      <c r="D13" s="62"/>
      <c r="E13" s="179"/>
      <c r="F13" s="179"/>
      <c r="G13" s="62"/>
      <c r="H13" s="62"/>
      <c r="I13" s="62"/>
      <c r="J13" s="62"/>
      <c r="K13" s="178"/>
      <c r="L13" s="62"/>
      <c r="M13" s="592"/>
      <c r="N13" s="203"/>
      <c r="O13" s="178"/>
      <c r="P13" s="62"/>
      <c r="Q13" s="180"/>
    </row>
    <row r="14" spans="1:19" ht="13.15" customHeight="1" x14ac:dyDescent="0.2">
      <c r="A14" s="169"/>
      <c r="B14" s="200" t="s">
        <v>10</v>
      </c>
      <c r="C14" s="200"/>
      <c r="D14" s="200"/>
      <c r="E14" s="158"/>
      <c r="F14" s="158"/>
      <c r="G14" s="158"/>
      <c r="H14" s="158"/>
      <c r="I14" s="158"/>
      <c r="J14" s="158"/>
      <c r="K14" s="158"/>
      <c r="L14" s="158"/>
      <c r="M14" s="158"/>
      <c r="N14" s="158"/>
      <c r="O14" s="200"/>
      <c r="P14" s="158"/>
      <c r="Q14" s="170"/>
    </row>
    <row r="15" spans="1:19" ht="18" x14ac:dyDescent="0.25">
      <c r="A15" s="397"/>
      <c r="B15" s="220" t="s">
        <v>134</v>
      </c>
      <c r="C15" s="387"/>
      <c r="D15" s="387"/>
      <c r="E15" s="387"/>
      <c r="F15" s="387"/>
      <c r="G15" s="387"/>
      <c r="H15" s="390"/>
      <c r="I15" s="387"/>
      <c r="J15" s="383"/>
      <c r="K15" s="387"/>
      <c r="L15" s="387"/>
      <c r="M15" s="166"/>
      <c r="N15" s="387"/>
      <c r="O15" s="786"/>
      <c r="P15" s="390"/>
      <c r="Q15" s="172"/>
    </row>
    <row r="16" spans="1:19" s="182" customFormat="1" x14ac:dyDescent="0.2">
      <c r="A16" s="181"/>
      <c r="B16" s="390" t="s">
        <v>520</v>
      </c>
      <c r="C16" s="675"/>
      <c r="D16" s="675"/>
      <c r="E16" s="675"/>
      <c r="F16" s="675"/>
      <c r="G16" s="675"/>
      <c r="H16" s="675"/>
      <c r="I16" s="675"/>
      <c r="J16" s="675"/>
      <c r="K16" s="675"/>
      <c r="L16" s="675"/>
      <c r="M16" s="675"/>
      <c r="N16" s="675"/>
      <c r="O16" s="675"/>
      <c r="P16" s="675"/>
      <c r="Q16" s="172"/>
    </row>
    <row r="17" spans="1:17" s="175" customFormat="1" ht="13.9" customHeight="1" x14ac:dyDescent="0.2">
      <c r="A17" s="159"/>
      <c r="B17" s="1043" t="s">
        <v>272</v>
      </c>
      <c r="C17" s="1043"/>
      <c r="D17" s="1043"/>
      <c r="E17" s="1043"/>
      <c r="F17" s="1043"/>
      <c r="G17" s="1043"/>
      <c r="H17" s="1043"/>
      <c r="I17" s="1043"/>
      <c r="J17" s="1043"/>
      <c r="K17" s="1043"/>
      <c r="L17" s="1043"/>
      <c r="M17" s="1043"/>
      <c r="N17" s="1043"/>
      <c r="O17" s="1043"/>
      <c r="P17" s="1043"/>
      <c r="Q17" s="172"/>
    </row>
    <row r="18" spans="1:17" s="175" customFormat="1" ht="13.9" customHeight="1" x14ac:dyDescent="0.2">
      <c r="A18" s="159"/>
      <c r="B18" s="1043" t="s">
        <v>318</v>
      </c>
      <c r="C18" s="1043"/>
      <c r="D18" s="1043"/>
      <c r="E18" s="1043"/>
      <c r="F18" s="1043"/>
      <c r="G18" s="1043"/>
      <c r="H18" s="1043"/>
      <c r="I18" s="1043"/>
      <c r="J18" s="1043"/>
      <c r="K18" s="1043"/>
      <c r="L18" s="1043"/>
      <c r="M18" s="1043"/>
      <c r="N18" s="1043"/>
      <c r="O18" s="1043"/>
      <c r="P18" s="1043"/>
      <c r="Q18" s="172"/>
    </row>
    <row r="19" spans="1:17" s="175" customFormat="1" ht="28.9" customHeight="1" x14ac:dyDescent="0.2">
      <c r="A19" s="159"/>
      <c r="B19" s="1045" t="s">
        <v>385</v>
      </c>
      <c r="C19" s="1045"/>
      <c r="D19" s="1045"/>
      <c r="E19" s="1045"/>
      <c r="F19" s="1045"/>
      <c r="G19" s="1045"/>
      <c r="H19" s="1045"/>
      <c r="I19" s="1045"/>
      <c r="J19" s="1045"/>
      <c r="K19" s="1045"/>
      <c r="L19" s="1045"/>
      <c r="M19" s="1045"/>
      <c r="N19" s="1045"/>
      <c r="O19" s="1045"/>
      <c r="P19" s="1045"/>
      <c r="Q19" s="172"/>
    </row>
    <row r="20" spans="1:17" s="175" customFormat="1" ht="42" customHeight="1" x14ac:dyDescent="0.2">
      <c r="A20" s="159"/>
      <c r="B20" s="1043" t="s">
        <v>320</v>
      </c>
      <c r="C20" s="1043"/>
      <c r="D20" s="1043"/>
      <c r="E20" s="1043"/>
      <c r="F20" s="1043"/>
      <c r="G20" s="1043"/>
      <c r="H20" s="1043"/>
      <c r="I20" s="1043"/>
      <c r="J20" s="1043"/>
      <c r="K20" s="1043"/>
      <c r="L20" s="1043"/>
      <c r="M20" s="1043"/>
      <c r="N20" s="1043"/>
      <c r="O20" s="1043"/>
      <c r="P20" s="1043"/>
      <c r="Q20" s="172"/>
    </row>
    <row r="21" spans="1:17" ht="28.9" customHeight="1" x14ac:dyDescent="0.2">
      <c r="A21" s="397"/>
      <c r="B21" s="1043" t="s">
        <v>319</v>
      </c>
      <c r="C21" s="1043"/>
      <c r="D21" s="1043"/>
      <c r="E21" s="1043"/>
      <c r="F21" s="1043"/>
      <c r="G21" s="1043"/>
      <c r="H21" s="1043"/>
      <c r="I21" s="1043"/>
      <c r="J21" s="1043"/>
      <c r="K21" s="1043"/>
      <c r="L21" s="1043"/>
      <c r="M21" s="1043"/>
      <c r="N21" s="1043"/>
      <c r="O21" s="1043"/>
      <c r="P21" s="1043"/>
      <c r="Q21" s="172"/>
    </row>
    <row r="22" spans="1:17" ht="30.75" customHeight="1" x14ac:dyDescent="0.2">
      <c r="A22" s="397"/>
      <c r="B22" s="1043" t="s">
        <v>586</v>
      </c>
      <c r="C22" s="1043"/>
      <c r="D22" s="1043"/>
      <c r="E22" s="1043"/>
      <c r="F22" s="1043"/>
      <c r="G22" s="1043"/>
      <c r="H22" s="1043"/>
      <c r="I22" s="1043"/>
      <c r="J22" s="1043"/>
      <c r="K22" s="1043"/>
      <c r="L22" s="1043"/>
      <c r="M22" s="1043"/>
      <c r="N22" s="1043"/>
      <c r="O22" s="1043"/>
      <c r="P22" s="1043"/>
      <c r="Q22" s="172"/>
    </row>
    <row r="23" spans="1:17" ht="18" x14ac:dyDescent="0.25">
      <c r="A23" s="397"/>
      <c r="B23" s="220" t="s">
        <v>135</v>
      </c>
      <c r="C23" s="387"/>
      <c r="D23" s="387"/>
      <c r="E23" s="387"/>
      <c r="F23" s="387"/>
      <c r="G23" s="387"/>
      <c r="H23" s="390"/>
      <c r="I23" s="387"/>
      <c r="J23" s="383"/>
      <c r="K23" s="387"/>
      <c r="L23" s="387"/>
      <c r="M23" s="166"/>
      <c r="N23" s="387"/>
      <c r="O23" s="786"/>
      <c r="P23" s="390"/>
      <c r="Q23" s="172"/>
    </row>
    <row r="24" spans="1:17" s="182" customFormat="1" x14ac:dyDescent="0.2">
      <c r="A24" s="181"/>
      <c r="B24" s="390" t="s">
        <v>521</v>
      </c>
      <c r="C24" s="676"/>
      <c r="D24" s="676"/>
      <c r="E24" s="676"/>
      <c r="F24" s="676"/>
      <c r="G24" s="676"/>
      <c r="H24" s="676"/>
      <c r="I24" s="676"/>
      <c r="J24" s="676"/>
      <c r="K24" s="676"/>
      <c r="L24" s="676"/>
      <c r="M24" s="676"/>
      <c r="N24" s="676"/>
      <c r="O24" s="676"/>
      <c r="P24" s="676"/>
      <c r="Q24" s="172"/>
    </row>
    <row r="25" spans="1:17" s="175" customFormat="1" ht="28.9" customHeight="1" x14ac:dyDescent="0.2">
      <c r="A25" s="159"/>
      <c r="B25" s="988" t="s">
        <v>284</v>
      </c>
      <c r="C25" s="988"/>
      <c r="D25" s="988"/>
      <c r="E25" s="988"/>
      <c r="F25" s="988"/>
      <c r="G25" s="988"/>
      <c r="H25" s="988"/>
      <c r="I25" s="988"/>
      <c r="J25" s="988"/>
      <c r="K25" s="988"/>
      <c r="L25" s="988"/>
      <c r="M25" s="988"/>
      <c r="N25" s="988"/>
      <c r="O25" s="988"/>
      <c r="P25" s="988"/>
      <c r="Q25" s="172"/>
    </row>
    <row r="26" spans="1:17" s="175" customFormat="1" ht="13.9" customHeight="1" x14ac:dyDescent="0.2">
      <c r="A26" s="159"/>
      <c r="B26" s="988" t="s">
        <v>274</v>
      </c>
      <c r="C26" s="988"/>
      <c r="D26" s="988"/>
      <c r="E26" s="988"/>
      <c r="F26" s="988"/>
      <c r="G26" s="988"/>
      <c r="H26" s="988"/>
      <c r="I26" s="988"/>
      <c r="J26" s="988"/>
      <c r="K26" s="988"/>
      <c r="L26" s="988"/>
      <c r="M26" s="988"/>
      <c r="N26" s="988"/>
      <c r="O26" s="988"/>
      <c r="P26" s="988"/>
      <c r="Q26" s="172"/>
    </row>
    <row r="27" spans="1:17" s="175" customFormat="1" ht="13.9" customHeight="1" x14ac:dyDescent="0.2">
      <c r="A27" s="159"/>
      <c r="B27" s="988" t="s">
        <v>388</v>
      </c>
      <c r="C27" s="988"/>
      <c r="D27" s="988"/>
      <c r="E27" s="988"/>
      <c r="F27" s="988"/>
      <c r="G27" s="988"/>
      <c r="H27" s="988"/>
      <c r="I27" s="988"/>
      <c r="J27" s="988"/>
      <c r="K27" s="988"/>
      <c r="L27" s="988"/>
      <c r="M27" s="988"/>
      <c r="N27" s="988"/>
      <c r="O27" s="988"/>
      <c r="P27" s="988"/>
      <c r="Q27" s="172"/>
    </row>
    <row r="28" spans="1:17" ht="15.75" x14ac:dyDescent="0.25">
      <c r="A28" s="397"/>
      <c r="B28" s="220" t="s">
        <v>295</v>
      </c>
      <c r="C28" s="390"/>
      <c r="D28" s="390"/>
      <c r="E28" s="387"/>
      <c r="F28" s="387"/>
      <c r="G28" s="387"/>
      <c r="H28" s="387"/>
      <c r="I28" s="387"/>
      <c r="J28" s="387"/>
      <c r="K28" s="387"/>
      <c r="L28" s="387"/>
      <c r="M28" s="387"/>
      <c r="N28" s="387"/>
      <c r="O28" s="390"/>
      <c r="P28" s="387"/>
      <c r="Q28" s="172"/>
    </row>
    <row r="29" spans="1:17" s="182" customFormat="1" x14ac:dyDescent="0.2">
      <c r="A29" s="181"/>
      <c r="B29" s="390" t="s">
        <v>522</v>
      </c>
      <c r="C29" s="675"/>
      <c r="D29" s="675"/>
      <c r="E29" s="675"/>
      <c r="F29" s="675"/>
      <c r="G29" s="675"/>
      <c r="H29" s="675"/>
      <c r="I29" s="675"/>
      <c r="J29" s="675"/>
      <c r="K29" s="675"/>
      <c r="L29" s="675"/>
      <c r="M29" s="675"/>
      <c r="N29" s="675"/>
      <c r="O29" s="675"/>
      <c r="P29" s="675"/>
      <c r="Q29" s="172"/>
    </row>
    <row r="30" spans="1:17" ht="28.9" customHeight="1" x14ac:dyDescent="0.2">
      <c r="A30" s="397"/>
      <c r="B30" s="1043" t="s">
        <v>386</v>
      </c>
      <c r="C30" s="1043"/>
      <c r="D30" s="1043"/>
      <c r="E30" s="1043"/>
      <c r="F30" s="1043"/>
      <c r="G30" s="1043"/>
      <c r="H30" s="1043"/>
      <c r="I30" s="1043"/>
      <c r="J30" s="1043"/>
      <c r="K30" s="1043"/>
      <c r="L30" s="1043"/>
      <c r="M30" s="1043"/>
      <c r="N30" s="1043"/>
      <c r="O30" s="1043"/>
      <c r="P30" s="1043"/>
      <c r="Q30" s="172"/>
    </row>
    <row r="31" spans="1:17" ht="28.9" customHeight="1" x14ac:dyDescent="0.2">
      <c r="A31" s="397"/>
      <c r="B31" s="1043" t="s">
        <v>389</v>
      </c>
      <c r="C31" s="1043"/>
      <c r="D31" s="1043"/>
      <c r="E31" s="1043"/>
      <c r="F31" s="1043"/>
      <c r="G31" s="1043"/>
      <c r="H31" s="1043"/>
      <c r="I31" s="1043"/>
      <c r="J31" s="1043"/>
      <c r="K31" s="1043"/>
      <c r="L31" s="1043"/>
      <c r="M31" s="1043"/>
      <c r="N31" s="1043"/>
      <c r="O31" s="1043"/>
      <c r="P31" s="1043"/>
      <c r="Q31" s="172"/>
    </row>
    <row r="32" spans="1:17" ht="15.75" x14ac:dyDescent="0.25">
      <c r="A32" s="397"/>
      <c r="B32" s="220" t="s">
        <v>136</v>
      </c>
      <c r="C32" s="387"/>
      <c r="D32" s="387"/>
      <c r="E32" s="387"/>
      <c r="F32" s="387"/>
      <c r="G32" s="387"/>
      <c r="H32" s="390"/>
      <c r="I32" s="387"/>
      <c r="J32" s="390"/>
      <c r="K32" s="387"/>
      <c r="L32" s="387"/>
      <c r="M32" s="387"/>
      <c r="N32" s="387"/>
      <c r="O32" s="786"/>
      <c r="P32" s="390"/>
      <c r="Q32" s="172"/>
    </row>
    <row r="33" spans="1:17" ht="13.9" customHeight="1" x14ac:dyDescent="0.2">
      <c r="A33" s="397"/>
      <c r="B33" s="383" t="s">
        <v>321</v>
      </c>
      <c r="C33" s="387"/>
      <c r="D33" s="387"/>
      <c r="E33" s="387"/>
      <c r="F33" s="387"/>
      <c r="G33" s="387"/>
      <c r="H33" s="390"/>
      <c r="I33" s="387"/>
      <c r="J33" s="390"/>
      <c r="K33" s="387"/>
      <c r="L33" s="387"/>
      <c r="M33" s="387"/>
      <c r="N33" s="387"/>
      <c r="O33" s="786"/>
      <c r="P33" s="390"/>
      <c r="Q33" s="172"/>
    </row>
    <row r="34" spans="1:17" ht="13.9" customHeight="1" x14ac:dyDescent="0.2">
      <c r="A34" s="397"/>
      <c r="B34" s="383" t="s">
        <v>636</v>
      </c>
      <c r="C34" s="390"/>
      <c r="D34" s="390"/>
      <c r="E34" s="387"/>
      <c r="F34" s="387"/>
      <c r="G34" s="387"/>
      <c r="H34" s="387"/>
      <c r="I34" s="387"/>
      <c r="J34" s="387"/>
      <c r="K34" s="387"/>
      <c r="L34" s="387"/>
      <c r="M34" s="387"/>
      <c r="N34" s="387"/>
      <c r="O34" s="390"/>
      <c r="P34" s="387"/>
      <c r="Q34" s="172"/>
    </row>
    <row r="35" spans="1:17" ht="13.9" customHeight="1" thickBot="1" x14ac:dyDescent="0.25">
      <c r="A35" s="177"/>
      <c r="B35" s="203" t="s">
        <v>273</v>
      </c>
      <c r="C35" s="178"/>
      <c r="D35" s="178"/>
      <c r="E35" s="62"/>
      <c r="F35" s="62"/>
      <c r="G35" s="62"/>
      <c r="H35" s="62"/>
      <c r="I35" s="62"/>
      <c r="J35" s="62"/>
      <c r="K35" s="62"/>
      <c r="L35" s="62"/>
      <c r="M35" s="62"/>
      <c r="N35" s="62"/>
      <c r="O35" s="178"/>
      <c r="P35" s="62"/>
      <c r="Q35" s="180"/>
    </row>
    <row r="36" spans="1:17" ht="13.5" thickBot="1" x14ac:dyDescent="0.25">
      <c r="A36" s="169"/>
      <c r="B36" s="200"/>
      <c r="C36" s="200"/>
      <c r="D36" s="200"/>
      <c r="E36" s="158"/>
      <c r="F36" s="158"/>
      <c r="G36" s="158"/>
      <c r="H36" s="158"/>
      <c r="I36" s="158"/>
      <c r="J36" s="158"/>
      <c r="K36" s="158"/>
      <c r="L36" s="158"/>
      <c r="M36" s="158"/>
      <c r="N36" s="158"/>
      <c r="O36" s="200"/>
      <c r="P36" s="226"/>
      <c r="Q36" s="170"/>
    </row>
    <row r="37" spans="1:17" ht="125.25" customHeight="1" thickBot="1" x14ac:dyDescent="0.25">
      <c r="A37" s="224"/>
      <c r="B37" s="348" t="s">
        <v>582</v>
      </c>
      <c r="C37" s="774" t="s">
        <v>117</v>
      </c>
      <c r="D37" s="348" t="s">
        <v>263</v>
      </c>
      <c r="E37" s="206" t="s">
        <v>387</v>
      </c>
      <c r="F37" s="348" t="s">
        <v>264</v>
      </c>
      <c r="G37" s="206" t="s">
        <v>172</v>
      </c>
      <c r="H37" s="348" t="s">
        <v>265</v>
      </c>
      <c r="I37" s="206" t="s">
        <v>179</v>
      </c>
      <c r="J37" s="348" t="s">
        <v>123</v>
      </c>
      <c r="K37" s="206" t="s">
        <v>180</v>
      </c>
      <c r="L37" s="204" t="s">
        <v>181</v>
      </c>
      <c r="M37" s="205" t="s">
        <v>182</v>
      </c>
      <c r="N37" s="229" t="s">
        <v>183</v>
      </c>
      <c r="O37" s="205" t="s">
        <v>294</v>
      </c>
      <c r="P37" s="206" t="s">
        <v>178</v>
      </c>
      <c r="Q37" s="172"/>
    </row>
    <row r="38" spans="1:17" s="210" customFormat="1" ht="22.5" customHeight="1" x14ac:dyDescent="0.2">
      <c r="A38" s="225"/>
      <c r="B38" s="207" t="s">
        <v>4</v>
      </c>
      <c r="C38" s="343" t="str">
        <f>IF(ISBLANK('Pier Scour'!F28),"",'Pier Scour'!F28)</f>
        <v>LABUT</v>
      </c>
      <c r="D38" s="349" t="s">
        <v>37</v>
      </c>
      <c r="E38" s="209" t="str">
        <f>IF(AND(D38="Yes",C38="LABUT",'CW Abutment Scour'!$J$99&gt;='CW Contraction Scour'!K45),'CW Abutment Scour'!$J$99,IF(AND(D38="Yes",C38="LABUT",'CW Abutment Scour'!$J$99&lt;'CW Contraction Scour'!K45),'CW Contraction Scour'!K45,0))</f>
        <v>N/A</v>
      </c>
      <c r="F38" s="355" t="s">
        <v>36</v>
      </c>
      <c r="G38" s="209">
        <f>IF(AND(F38="Yes",C38="LABUT"),'CW Contraction Scour'!$K$45,0)</f>
        <v>0</v>
      </c>
      <c r="H38" s="355" t="s">
        <v>36</v>
      </c>
      <c r="I38" s="358">
        <v>0</v>
      </c>
      <c r="J38" s="349" t="str">
        <f>IF(D38="No","No",IF(AND(D9="Piedmont",E38&lt;=5),"Yes",IF('Pier Scour'!F31&gt;2.3,"Yes",IF('Pier Scour'!F34="No","Yes","No"))))</f>
        <v>Yes</v>
      </c>
      <c r="K38" s="209">
        <f>IF((J38="Yes"),'Pier Scour'!F41,0)</f>
        <v>27.661794187957167</v>
      </c>
      <c r="L38" s="800" t="str">
        <f>IF(OR(E38="N/A",G38="N/A",I38="N/A",K38="N/A"),"N/A",IF(AND(D38="No",F38="No",H38="No",J38="No"),"N/A",K38+I38+G38+E38))</f>
        <v>N/A</v>
      </c>
      <c r="M38" s="217"/>
      <c r="N38" s="208" t="str">
        <f>IF(OR(E38="N/A",G38="N/A",I38="N/A",K38="N/A"),"N/A",IF(AND(D38="No",F38="No",H38="No",J38="No"),"N/A",M38-L38))</f>
        <v>N/A</v>
      </c>
      <c r="O38" s="218"/>
      <c r="P38" s="209" t="str">
        <f>IF(OR(E38="N/A",G38="N/A",I38="N/A",K38="N/A"),"N/A",IF(AND(D38="No",F38="No",H38="No",J38="No"),"N/A",O38-L38))</f>
        <v>N/A</v>
      </c>
      <c r="Q38" s="304"/>
    </row>
    <row r="39" spans="1:17" s="210" customFormat="1" ht="22.5" customHeight="1" x14ac:dyDescent="0.2">
      <c r="A39" s="225"/>
      <c r="B39" s="248" t="s">
        <v>18</v>
      </c>
      <c r="C39" s="344" t="str">
        <f>IF(ISBLANK('Pier Scour'!G28),"",'Pier Scour'!G28)</f>
        <v>LOB</v>
      </c>
      <c r="D39" s="350" t="s">
        <v>36</v>
      </c>
      <c r="E39" s="351">
        <v>0</v>
      </c>
      <c r="F39" s="356" t="str">
        <f>IF(OR('CW Abutment Scour'!J139&gt;'Site Info'!I144,'Site Info'!J124="Yes"),"No","Yes")</f>
        <v>Yes</v>
      </c>
      <c r="G39" s="213" t="str">
        <f>IF(AND(F39="Yes",C39="LOB"),'CW Contraction Scour'!$K$45,0)</f>
        <v>N/A</v>
      </c>
      <c r="H39" s="350" t="s">
        <v>36</v>
      </c>
      <c r="I39" s="359">
        <v>0</v>
      </c>
      <c r="J39" s="356" t="str">
        <f>F39</f>
        <v>Yes</v>
      </c>
      <c r="K39" s="250">
        <f>IF((J39="Yes"),'Pier Scour'!G41,0)</f>
        <v>31.250988362056351</v>
      </c>
      <c r="L39" s="362" t="str">
        <f>IF(OR(E38="N/A",G38="N/A",I38="N/A",K38="N/A"),"N/A",IF(AND(D38="No",F38="No",H38="No",J38="No"),"N/A",K38+I38+G38+E38))</f>
        <v>N/A</v>
      </c>
      <c r="M39" s="218"/>
      <c r="N39" s="249" t="str">
        <f t="shared" ref="N39:N42" si="0">IF(OR(E39="N/A",G39="N/A",I39="N/A",K39="N/A"),"N/A",IF(AND(D39="No",F39="No",H39="No",J39="No"),"N/A",M39-L39))</f>
        <v>N/A</v>
      </c>
      <c r="O39" s="218"/>
      <c r="P39" s="250" t="str">
        <f t="shared" ref="P39:P42" si="1">IF(OR(E39="N/A",G39="N/A",I39="N/A",K39="N/A"),"N/A",IF(AND(D39="No",F39="No",H39="No",J39="No"),"N/A",O39-L39))</f>
        <v>N/A</v>
      </c>
      <c r="Q39" s="304"/>
    </row>
    <row r="40" spans="1:17" s="210" customFormat="1" ht="22.5" customHeight="1" x14ac:dyDescent="0.2">
      <c r="A40" s="225"/>
      <c r="B40" s="211" t="s">
        <v>87</v>
      </c>
      <c r="C40" s="345" t="str">
        <f>IF(ISBLANK('Pier Scour'!H28),"",'Pier Scour'!H28)</f>
        <v>CH</v>
      </c>
      <c r="D40" s="352" t="s">
        <v>36</v>
      </c>
      <c r="E40" s="351">
        <v>0</v>
      </c>
      <c r="F40" s="352" t="s">
        <v>36</v>
      </c>
      <c r="G40" s="351">
        <v>0</v>
      </c>
      <c r="H40" s="356" t="str">
        <f>IF(OR(J10="Yes",J11="Yes"),"No","Yes")</f>
        <v>Yes</v>
      </c>
      <c r="I40" s="213" t="str">
        <f>IF(H40="Yes",'LB Contraction Scour'!$L$58,0)</f>
        <v>N/A</v>
      </c>
      <c r="J40" s="356" t="str">
        <f>H40</f>
        <v>Yes</v>
      </c>
      <c r="K40" s="250">
        <f>IF((J40="Yes"),'Pier Scour'!H41,0)</f>
        <v>30.039322117339882</v>
      </c>
      <c r="L40" s="363" t="str">
        <f t="shared" ref="L40:L41" si="2">IF(OR(E40="N/A",G40="N/A",I40="N/A",K40="N/A"),"N/A",IF(AND(D40="No",F40="No",H40="No",J40="No"),"N/A",K40+I40+G40+E40))</f>
        <v>N/A</v>
      </c>
      <c r="M40" s="218"/>
      <c r="N40" s="212" t="str">
        <f t="shared" si="0"/>
        <v>N/A</v>
      </c>
      <c r="O40" s="218"/>
      <c r="P40" s="213" t="str">
        <f t="shared" si="1"/>
        <v>N/A</v>
      </c>
      <c r="Q40" s="304"/>
    </row>
    <row r="41" spans="1:17" s="210" customFormat="1" ht="22.5" customHeight="1" x14ac:dyDescent="0.2">
      <c r="A41" s="225"/>
      <c r="B41" s="251" t="s">
        <v>19</v>
      </c>
      <c r="C41" s="346" t="str">
        <f>IF(ISBLANK('Pier Scour'!I28),"",'Pier Scour'!I28)</f>
        <v>ROB</v>
      </c>
      <c r="D41" s="353" t="s">
        <v>36</v>
      </c>
      <c r="E41" s="360">
        <v>0</v>
      </c>
      <c r="F41" s="356" t="str">
        <f>IF(OR('CW Abutment Scour'!M139&gt;'Site Info'!L144,'Site Info'!J124="Yes"),"No","Yes")</f>
        <v>Yes</v>
      </c>
      <c r="G41" s="213" t="str">
        <f>IF(AND(F41="Yes",C41="ROB"),'CW Contraction Scour'!$M$45,0)</f>
        <v>N/A</v>
      </c>
      <c r="H41" s="353" t="s">
        <v>36</v>
      </c>
      <c r="I41" s="360">
        <v>0</v>
      </c>
      <c r="J41" s="356" t="str">
        <f>F41</f>
        <v>Yes</v>
      </c>
      <c r="K41" s="253">
        <f>IF((J41="Yes"),'Pier Scour'!I41,0)</f>
        <v>34.133226687111197</v>
      </c>
      <c r="L41" s="364" t="str">
        <f t="shared" si="2"/>
        <v>N/A</v>
      </c>
      <c r="M41" s="218"/>
      <c r="N41" s="252" t="str">
        <f t="shared" si="0"/>
        <v>N/A</v>
      </c>
      <c r="O41" s="218"/>
      <c r="P41" s="253" t="str">
        <f t="shared" si="1"/>
        <v>N/A</v>
      </c>
      <c r="Q41" s="304"/>
    </row>
    <row r="42" spans="1:17" ht="22.5" customHeight="1" thickBot="1" x14ac:dyDescent="0.25">
      <c r="A42" s="225"/>
      <c r="B42" s="214" t="s">
        <v>5</v>
      </c>
      <c r="C42" s="347" t="str">
        <f>IF(ISBLANK('Pier Scour'!J28),"",'Pier Scour'!J28)</f>
        <v>RABUT</v>
      </c>
      <c r="D42" s="354" t="s">
        <v>37</v>
      </c>
      <c r="E42" s="216" t="str">
        <f>IF(AND(D42="Yes",C42="RABUT",'CW Abutment Scour'!$M$99&gt;='CW Contraction Scour'!M45),'CW Abutment Scour'!$M$99,IF(AND(D42="Yes",C42="RABUT",'CW Abutment Scour'!$M$99&lt;'CW Contraction Scour'!M45),'CW Contraction Scour'!M45,0))</f>
        <v>N/A</v>
      </c>
      <c r="F42" s="357" t="s">
        <v>36</v>
      </c>
      <c r="G42" s="216">
        <f>IF(AND(F42="Yes",C42="RABUT"),'CW Contraction Scour'!$M$45,0)</f>
        <v>0</v>
      </c>
      <c r="H42" s="357" t="s">
        <v>36</v>
      </c>
      <c r="I42" s="361">
        <v>0</v>
      </c>
      <c r="J42" s="354" t="str">
        <f>IF(D42="No","No",IF(AND(D9="Piedmont",E42&lt;=5),"Yes",IF('Pier Scour'!J31&gt;2.3,"Yes",IF('Pier Scour'!J34="No","Yes","No"))))</f>
        <v>Yes</v>
      </c>
      <c r="K42" s="216">
        <f>IF((J42="Yes"),'Pier Scour'!J41,0)</f>
        <v>25.464038317374687</v>
      </c>
      <c r="L42" s="803" t="str">
        <f>IF(OR(E42="N/A",G42="N/A",I42="N/A",K42="N/A"),"N/A",IF(AND(D42="No",F42="No",H42="No",J42="No"),"N/A",K42+I42+G42+E42))</f>
        <v>N/A</v>
      </c>
      <c r="M42" s="219"/>
      <c r="N42" s="215" t="str">
        <f t="shared" si="0"/>
        <v>N/A</v>
      </c>
      <c r="O42" s="219"/>
      <c r="P42" s="216" t="str">
        <f t="shared" si="1"/>
        <v>N/A</v>
      </c>
      <c r="Q42" s="172"/>
    </row>
    <row r="43" spans="1:17" ht="13.5" thickBot="1" x14ac:dyDescent="0.25">
      <c r="A43" s="177"/>
      <c r="B43" s="62"/>
      <c r="C43" s="62"/>
      <c r="D43" s="62"/>
      <c r="E43" s="62"/>
      <c r="F43" s="62"/>
      <c r="G43" s="62"/>
      <c r="H43" s="62"/>
      <c r="I43" s="62"/>
      <c r="J43" s="62"/>
      <c r="K43" s="62"/>
      <c r="L43" s="62"/>
      <c r="M43" s="62"/>
      <c r="N43" s="62"/>
      <c r="O43" s="178"/>
      <c r="P43" s="226"/>
      <c r="Q43" s="180"/>
    </row>
    <row r="44" spans="1:17" s="51" customFormat="1" ht="15.75" x14ac:dyDescent="0.25">
      <c r="A44" s="49"/>
      <c r="B44" s="591"/>
      <c r="C44" s="594" t="s">
        <v>452</v>
      </c>
      <c r="D44" s="591"/>
      <c r="E44" s="591"/>
      <c r="F44" s="591"/>
      <c r="G44" s="591"/>
      <c r="H44" s="591"/>
      <c r="I44" s="591"/>
      <c r="J44" s="591"/>
      <c r="K44" s="591"/>
      <c r="L44" s="591"/>
      <c r="M44" s="591"/>
      <c r="N44" s="591"/>
      <c r="O44" s="591"/>
      <c r="P44" s="591"/>
      <c r="Q44" s="512">
        <v>2</v>
      </c>
    </row>
    <row r="45" spans="1:17" s="51" customFormat="1" ht="12.75" customHeight="1" x14ac:dyDescent="0.2">
      <c r="A45" s="50"/>
      <c r="B45" s="366">
        <v>1</v>
      </c>
      <c r="C45" s="913" t="s">
        <v>541</v>
      </c>
      <c r="D45" s="913"/>
      <c r="E45" s="913"/>
      <c r="F45" s="913"/>
      <c r="G45" s="913"/>
      <c r="H45" s="913"/>
      <c r="I45" s="913"/>
      <c r="J45" s="913"/>
      <c r="K45" s="913"/>
      <c r="L45" s="913"/>
      <c r="M45" s="913"/>
      <c r="N45" s="1022"/>
      <c r="O45" s="380"/>
      <c r="P45" s="383"/>
      <c r="Q45" s="514"/>
    </row>
    <row r="46" spans="1:17" s="51" customFormat="1" x14ac:dyDescent="0.2">
      <c r="A46" s="50"/>
      <c r="B46" s="763"/>
      <c r="C46" s="913"/>
      <c r="D46" s="913"/>
      <c r="E46" s="913"/>
      <c r="F46" s="913"/>
      <c r="G46" s="913"/>
      <c r="H46" s="913"/>
      <c r="I46" s="913"/>
      <c r="J46" s="913"/>
      <c r="K46" s="913"/>
      <c r="L46" s="913"/>
      <c r="M46" s="913"/>
      <c r="N46" s="1022"/>
      <c r="O46" s="380"/>
      <c r="P46" s="383"/>
      <c r="Q46" s="514"/>
    </row>
    <row r="47" spans="1:17" s="51" customFormat="1" x14ac:dyDescent="0.2">
      <c r="A47" s="50"/>
      <c r="B47" s="763"/>
      <c r="C47" s="913"/>
      <c r="D47" s="913"/>
      <c r="E47" s="913"/>
      <c r="F47" s="913"/>
      <c r="G47" s="913"/>
      <c r="H47" s="913"/>
      <c r="I47" s="913"/>
      <c r="J47" s="913"/>
      <c r="K47" s="913"/>
      <c r="L47" s="913"/>
      <c r="M47" s="913"/>
      <c r="N47" s="1022"/>
      <c r="O47" s="380"/>
      <c r="P47" s="383"/>
      <c r="Q47" s="514"/>
    </row>
    <row r="48" spans="1:17" s="51" customFormat="1" x14ac:dyDescent="0.2">
      <c r="A48" s="50"/>
      <c r="B48" s="763"/>
      <c r="C48" s="913"/>
      <c r="D48" s="913"/>
      <c r="E48" s="913"/>
      <c r="F48" s="913"/>
      <c r="G48" s="913"/>
      <c r="H48" s="913"/>
      <c r="I48" s="913"/>
      <c r="J48" s="913"/>
      <c r="K48" s="913"/>
      <c r="L48" s="913"/>
      <c r="M48" s="913"/>
      <c r="N48" s="1022"/>
      <c r="O48" s="380"/>
      <c r="P48" s="380"/>
      <c r="Q48" s="514"/>
    </row>
    <row r="49" spans="1:17" s="51" customFormat="1" x14ac:dyDescent="0.2">
      <c r="A49" s="50"/>
      <c r="B49" s="763">
        <v>2</v>
      </c>
      <c r="C49" s="913" t="s">
        <v>542</v>
      </c>
      <c r="D49" s="913"/>
      <c r="E49" s="913"/>
      <c r="F49" s="913"/>
      <c r="G49" s="913"/>
      <c r="H49" s="913"/>
      <c r="I49" s="913"/>
      <c r="J49" s="913"/>
      <c r="K49" s="913"/>
      <c r="L49" s="913"/>
      <c r="M49" s="913"/>
      <c r="N49" s="1022"/>
      <c r="O49" s="380"/>
      <c r="P49" s="380"/>
      <c r="Q49" s="514"/>
    </row>
    <row r="50" spans="1:17" s="51" customFormat="1" x14ac:dyDescent="0.2">
      <c r="A50" s="50"/>
      <c r="B50" s="763"/>
      <c r="C50" s="913"/>
      <c r="D50" s="913"/>
      <c r="E50" s="913"/>
      <c r="F50" s="913"/>
      <c r="G50" s="913"/>
      <c r="H50" s="913"/>
      <c r="I50" s="913"/>
      <c r="J50" s="913"/>
      <c r="K50" s="913"/>
      <c r="L50" s="913"/>
      <c r="M50" s="913"/>
      <c r="N50" s="1022"/>
      <c r="O50" s="380"/>
      <c r="P50" s="380"/>
      <c r="Q50" s="514"/>
    </row>
    <row r="51" spans="1:17" s="51" customFormat="1" x14ac:dyDescent="0.2">
      <c r="A51" s="50"/>
      <c r="B51" s="763"/>
      <c r="C51" s="913"/>
      <c r="D51" s="913"/>
      <c r="E51" s="913"/>
      <c r="F51" s="913"/>
      <c r="G51" s="913"/>
      <c r="H51" s="913"/>
      <c r="I51" s="913"/>
      <c r="J51" s="913"/>
      <c r="K51" s="913"/>
      <c r="L51" s="913"/>
      <c r="M51" s="913"/>
      <c r="N51" s="1022"/>
      <c r="O51" s="386"/>
      <c r="P51" s="380"/>
      <c r="Q51" s="514"/>
    </row>
    <row r="52" spans="1:17" s="51" customFormat="1" x14ac:dyDescent="0.2">
      <c r="A52" s="50"/>
      <c r="B52" s="763"/>
      <c r="C52" s="913"/>
      <c r="D52" s="913"/>
      <c r="E52" s="913"/>
      <c r="F52" s="913"/>
      <c r="G52" s="913"/>
      <c r="H52" s="913"/>
      <c r="I52" s="913"/>
      <c r="J52" s="913"/>
      <c r="K52" s="913"/>
      <c r="L52" s="913"/>
      <c r="M52" s="913"/>
      <c r="N52" s="1022"/>
      <c r="O52" s="386"/>
      <c r="P52" s="380"/>
      <c r="Q52" s="514"/>
    </row>
    <row r="53" spans="1:17" s="51" customFormat="1" ht="12.75" customHeight="1" x14ac:dyDescent="0.2">
      <c r="A53" s="50"/>
      <c r="B53" s="763">
        <v>3</v>
      </c>
      <c r="C53" s="913" t="s">
        <v>584</v>
      </c>
      <c r="D53" s="913"/>
      <c r="E53" s="913"/>
      <c r="F53" s="913"/>
      <c r="G53" s="913"/>
      <c r="H53" s="913"/>
      <c r="I53" s="913"/>
      <c r="J53" s="913"/>
      <c r="K53" s="913"/>
      <c r="L53" s="913"/>
      <c r="M53" s="913"/>
      <c r="N53" s="913"/>
      <c r="O53" s="386"/>
      <c r="P53" s="380"/>
      <c r="Q53" s="514"/>
    </row>
    <row r="54" spans="1:17" s="51" customFormat="1" x14ac:dyDescent="0.2">
      <c r="A54" s="50"/>
      <c r="B54" s="763"/>
      <c r="C54" s="913"/>
      <c r="D54" s="913"/>
      <c r="E54" s="913"/>
      <c r="F54" s="913"/>
      <c r="G54" s="913"/>
      <c r="H54" s="913"/>
      <c r="I54" s="913"/>
      <c r="J54" s="913"/>
      <c r="K54" s="913"/>
      <c r="L54" s="913"/>
      <c r="M54" s="913"/>
      <c r="N54" s="913"/>
      <c r="O54" s="386"/>
      <c r="P54" s="380"/>
      <c r="Q54" s="514"/>
    </row>
    <row r="55" spans="1:17" s="51" customFormat="1" ht="15.75" customHeight="1" x14ac:dyDescent="0.2">
      <c r="A55" s="50"/>
      <c r="B55" s="763"/>
      <c r="C55" s="913"/>
      <c r="D55" s="913"/>
      <c r="E55" s="913"/>
      <c r="F55" s="913"/>
      <c r="G55" s="913"/>
      <c r="H55" s="913"/>
      <c r="I55" s="913"/>
      <c r="J55" s="913"/>
      <c r="K55" s="913"/>
      <c r="L55" s="913"/>
      <c r="M55" s="913"/>
      <c r="N55" s="913"/>
      <c r="O55" s="386"/>
      <c r="P55" s="380"/>
      <c r="Q55" s="514"/>
    </row>
    <row r="56" spans="1:17" s="51" customFormat="1" x14ac:dyDescent="0.2">
      <c r="A56" s="50"/>
      <c r="B56" s="763"/>
      <c r="C56" s="913"/>
      <c r="D56" s="913"/>
      <c r="E56" s="913"/>
      <c r="F56" s="913"/>
      <c r="G56" s="913"/>
      <c r="H56" s="913"/>
      <c r="I56" s="913"/>
      <c r="J56" s="913"/>
      <c r="K56" s="913"/>
      <c r="L56" s="913"/>
      <c r="M56" s="913"/>
      <c r="N56" s="913"/>
      <c r="O56" s="386"/>
      <c r="P56" s="380"/>
      <c r="Q56" s="514"/>
    </row>
    <row r="57" spans="1:17" s="51" customFormat="1" x14ac:dyDescent="0.2">
      <c r="A57" s="50"/>
      <c r="B57" s="763">
        <v>4</v>
      </c>
      <c r="C57" s="992" t="s">
        <v>543</v>
      </c>
      <c r="D57" s="993"/>
      <c r="E57" s="993"/>
      <c r="F57" s="993"/>
      <c r="G57" s="993"/>
      <c r="H57" s="993"/>
      <c r="I57" s="993"/>
      <c r="J57" s="993"/>
      <c r="K57" s="993"/>
      <c r="L57" s="993"/>
      <c r="M57" s="993"/>
      <c r="N57" s="1013"/>
      <c r="O57" s="386"/>
      <c r="P57" s="380"/>
      <c r="Q57" s="514"/>
    </row>
    <row r="58" spans="1:17" s="51" customFormat="1" x14ac:dyDescent="0.2">
      <c r="A58" s="50"/>
      <c r="B58" s="764"/>
      <c r="C58" s="995"/>
      <c r="D58" s="1014"/>
      <c r="E58" s="1014"/>
      <c r="F58" s="1014"/>
      <c r="G58" s="1014"/>
      <c r="H58" s="1014"/>
      <c r="I58" s="1014"/>
      <c r="J58" s="1014"/>
      <c r="K58" s="1014"/>
      <c r="L58" s="1014"/>
      <c r="M58" s="1014"/>
      <c r="N58" s="1015"/>
      <c r="O58" s="386"/>
      <c r="P58" s="380"/>
      <c r="Q58" s="514"/>
    </row>
    <row r="59" spans="1:17" s="51" customFormat="1" x14ac:dyDescent="0.2">
      <c r="A59" s="50"/>
      <c r="B59" s="764"/>
      <c r="C59" s="995"/>
      <c r="D59" s="1014"/>
      <c r="E59" s="1014"/>
      <c r="F59" s="1014"/>
      <c r="G59" s="1014"/>
      <c r="H59" s="1014"/>
      <c r="I59" s="1014"/>
      <c r="J59" s="1014"/>
      <c r="K59" s="1014"/>
      <c r="L59" s="1014"/>
      <c r="M59" s="1014"/>
      <c r="N59" s="1015"/>
      <c r="O59" s="386"/>
      <c r="P59" s="380"/>
      <c r="Q59" s="514"/>
    </row>
    <row r="60" spans="1:17" s="51" customFormat="1" x14ac:dyDescent="0.2">
      <c r="A60" s="50"/>
      <c r="B60" s="764"/>
      <c r="C60" s="998"/>
      <c r="D60" s="999"/>
      <c r="E60" s="999"/>
      <c r="F60" s="999"/>
      <c r="G60" s="999"/>
      <c r="H60" s="999"/>
      <c r="I60" s="999"/>
      <c r="J60" s="999"/>
      <c r="K60" s="999"/>
      <c r="L60" s="999"/>
      <c r="M60" s="999"/>
      <c r="N60" s="1016"/>
      <c r="O60" s="386"/>
      <c r="P60" s="380"/>
      <c r="Q60" s="514"/>
    </row>
    <row r="61" spans="1:17" s="51" customFormat="1" x14ac:dyDescent="0.2">
      <c r="A61" s="50"/>
      <c r="B61" s="388">
        <v>5</v>
      </c>
      <c r="C61" s="914"/>
      <c r="D61" s="914"/>
      <c r="E61" s="914"/>
      <c r="F61" s="914"/>
      <c r="G61" s="914"/>
      <c r="H61" s="914"/>
      <c r="I61" s="914"/>
      <c r="J61" s="914"/>
      <c r="K61" s="914"/>
      <c r="L61" s="914"/>
      <c r="M61" s="914"/>
      <c r="N61" s="914"/>
      <c r="O61" s="386"/>
      <c r="P61" s="380"/>
      <c r="Q61" s="514"/>
    </row>
    <row r="62" spans="1:17" s="51" customFormat="1" x14ac:dyDescent="0.2">
      <c r="A62" s="50"/>
      <c r="B62" s="388"/>
      <c r="C62" s="914"/>
      <c r="D62" s="914"/>
      <c r="E62" s="914"/>
      <c r="F62" s="914"/>
      <c r="G62" s="914"/>
      <c r="H62" s="914"/>
      <c r="I62" s="914"/>
      <c r="J62" s="914"/>
      <c r="K62" s="914"/>
      <c r="L62" s="914"/>
      <c r="M62" s="914"/>
      <c r="N62" s="914"/>
      <c r="O62" s="386"/>
      <c r="P62" s="380"/>
      <c r="Q62" s="514"/>
    </row>
    <row r="63" spans="1:17" s="51" customFormat="1" x14ac:dyDescent="0.2">
      <c r="A63" s="50"/>
      <c r="B63" s="388"/>
      <c r="C63" s="914"/>
      <c r="D63" s="914"/>
      <c r="E63" s="914"/>
      <c r="F63" s="914"/>
      <c r="G63" s="914"/>
      <c r="H63" s="914"/>
      <c r="I63" s="914"/>
      <c r="J63" s="914"/>
      <c r="K63" s="914"/>
      <c r="L63" s="914"/>
      <c r="M63" s="914"/>
      <c r="N63" s="914"/>
      <c r="O63" s="386"/>
      <c r="P63" s="380"/>
      <c r="Q63" s="514"/>
    </row>
    <row r="64" spans="1:17" s="51" customFormat="1" x14ac:dyDescent="0.2">
      <c r="A64" s="50"/>
      <c r="B64" s="388"/>
      <c r="C64" s="914"/>
      <c r="D64" s="914"/>
      <c r="E64" s="914"/>
      <c r="F64" s="914"/>
      <c r="G64" s="914"/>
      <c r="H64" s="914"/>
      <c r="I64" s="914"/>
      <c r="J64" s="914"/>
      <c r="K64" s="914"/>
      <c r="L64" s="914"/>
      <c r="M64" s="914"/>
      <c r="N64" s="914"/>
      <c r="O64" s="386"/>
      <c r="P64" s="380"/>
      <c r="Q64" s="514"/>
    </row>
    <row r="65" spans="1:17" x14ac:dyDescent="0.2">
      <c r="A65" s="397"/>
      <c r="B65" s="387"/>
      <c r="C65" s="387"/>
      <c r="D65" s="387"/>
      <c r="E65" s="387"/>
      <c r="F65" s="387"/>
      <c r="G65" s="387"/>
      <c r="H65" s="387"/>
      <c r="I65" s="387"/>
      <c r="J65" s="387"/>
      <c r="K65" s="387"/>
      <c r="L65" s="387"/>
      <c r="M65" s="387"/>
      <c r="N65" s="387"/>
      <c r="O65" s="390"/>
      <c r="P65" s="387"/>
      <c r="Q65" s="172"/>
    </row>
    <row r="66" spans="1:17" ht="13.5" thickBot="1" x14ac:dyDescent="0.25">
      <c r="A66" s="177"/>
      <c r="B66" s="62"/>
      <c r="C66" s="62"/>
      <c r="D66" s="62"/>
      <c r="E66" s="62"/>
      <c r="F66" s="62"/>
      <c r="G66" s="62"/>
      <c r="H66" s="62"/>
      <c r="I66" s="62"/>
      <c r="J66" s="62"/>
      <c r="K66" s="62"/>
      <c r="L66" s="62"/>
      <c r="M66" s="62"/>
      <c r="N66" s="62"/>
      <c r="O66" s="178"/>
      <c r="P66" s="62"/>
      <c r="Q66" s="180"/>
    </row>
  </sheetData>
  <sheetProtection algorithmName="SHA-512" hashValue="ezirxybY3+sPEBzvSRtI9OqJs0qQDuUZjw8UvmjWZk38/X1+9j31VSZJJ/kawGpm7JwYezUSUEcvwarqOv76Dw==" saltValue="p/PERX7eJ1f62sUvzzLi1w==" spinCount="100000" sheet="1" objects="1" scenarios="1"/>
  <customSheetViews>
    <customSheetView guid="{1D46CCF0-D0A9-4A4B-AB32-CC50C778381E}" showPageBreaks="1" fitToPage="1" printArea="1" hiddenColumns="1">
      <pane ySplit="13" topLeftCell="A14" activePane="bottomLeft" state="frozen"/>
      <selection pane="bottomLeft"/>
      <rowBreaks count="1" manualBreakCount="1">
        <brk id="42" max="16383" man="1"/>
      </rowBreaks>
      <pageMargins left="0.7" right="0.7" top="0.75" bottom="0.75" header="0.3" footer="0.3"/>
      <pageSetup scale="59" fitToHeight="0" orientation="landscape" useFirstPageNumber="1" r:id="rId1"/>
      <headerFooter scaleWithDoc="0" alignWithMargins="0">
        <oddHeader>&amp;C&amp;8 Bridge-Scour Envelope Curve Template</oddHeader>
        <oddFooter>&amp;C&amp;A&amp;RPage  &amp;P  of  &amp;N</oddFooter>
      </headerFooter>
    </customSheetView>
  </customSheetViews>
  <mergeCells count="22">
    <mergeCell ref="C57:N60"/>
    <mergeCell ref="C61:N64"/>
    <mergeCell ref="D5:E5"/>
    <mergeCell ref="D6:E6"/>
    <mergeCell ref="I5:J5"/>
    <mergeCell ref="I6:J6"/>
    <mergeCell ref="C45:N48"/>
    <mergeCell ref="C49:N52"/>
    <mergeCell ref="C53:N56"/>
    <mergeCell ref="B25:P25"/>
    <mergeCell ref="B17:P17"/>
    <mergeCell ref="B18:P18"/>
    <mergeCell ref="B19:P19"/>
    <mergeCell ref="B26:P26"/>
    <mergeCell ref="J11:J12"/>
    <mergeCell ref="H11:I12"/>
    <mergeCell ref="B27:P27"/>
    <mergeCell ref="B30:P30"/>
    <mergeCell ref="B31:P31"/>
    <mergeCell ref="B20:P20"/>
    <mergeCell ref="B21:P21"/>
    <mergeCell ref="B22:P22"/>
  </mergeCells>
  <phoneticPr fontId="0" type="noConversion"/>
  <pageMargins left="0.7" right="0.7" top="0.75" bottom="0.75" header="0.3" footer="0.3"/>
  <pageSetup scale="59" fitToHeight="0" orientation="landscape" useFirstPageNumber="1" r:id="rId2"/>
  <headerFooter scaleWithDoc="0" alignWithMargins="0">
    <oddHeader>&amp;C&amp;8 Bridge-Scour Envelope Curve Template</oddHeader>
    <oddFooter>&amp;C&amp;A&amp;RPage  &amp;P  of  &amp;N</oddFooter>
  </headerFooter>
  <rowBreaks count="1" manualBreakCount="1">
    <brk id="43" max="16383" man="1"/>
  </rowBreaks>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6"/>
  <sheetViews>
    <sheetView zoomScaleNormal="100" zoomScalePageLayoutView="80" workbookViewId="0">
      <pane ySplit="13" topLeftCell="A14" activePane="bottomLeft" state="frozen"/>
      <selection activeCell="L34" sqref="L34"/>
      <selection pane="bottomLeft"/>
    </sheetView>
  </sheetViews>
  <sheetFormatPr defaultColWidth="9.140625" defaultRowHeight="12.75" x14ac:dyDescent="0.2"/>
  <cols>
    <col min="1" max="1" width="2.7109375" style="387" customWidth="1"/>
    <col min="2" max="2" width="22.140625" style="171" customWidth="1"/>
    <col min="3" max="3" width="13.85546875" style="171" customWidth="1"/>
    <col min="4" max="4" width="13.5703125" style="171" customWidth="1"/>
    <col min="5" max="5" width="11.85546875" style="171" customWidth="1"/>
    <col min="6" max="6" width="12.28515625" style="171" customWidth="1"/>
    <col min="7" max="7" width="12.42578125" style="171" customWidth="1"/>
    <col min="8" max="8" width="11.85546875" style="171" customWidth="1"/>
    <col min="9" max="9" width="13.7109375" style="171" customWidth="1"/>
    <col min="10" max="10" width="12.140625" style="171" customWidth="1"/>
    <col min="11" max="11" width="12.5703125" style="171" customWidth="1"/>
    <col min="12" max="12" width="11.7109375" style="171" customWidth="1"/>
    <col min="13" max="13" width="13.28515625" style="171" customWidth="1"/>
    <col min="14" max="14" width="12.42578125" style="171" customWidth="1"/>
    <col min="15" max="15" width="14.140625" style="182" customWidth="1"/>
    <col min="16" max="16" width="15.140625" style="171" customWidth="1"/>
    <col min="17" max="17" width="3.7109375" style="185" customWidth="1"/>
    <col min="18" max="18" width="9.140625" style="171"/>
    <col min="19" max="19" width="0" style="171" hidden="1" customWidth="1"/>
    <col min="20" max="16384" width="9.140625" style="171"/>
  </cols>
  <sheetData>
    <row r="1" spans="1:19" ht="18" x14ac:dyDescent="0.25">
      <c r="A1" s="169"/>
      <c r="B1" s="200"/>
      <c r="C1" s="158"/>
      <c r="D1" s="158"/>
      <c r="E1" s="200"/>
      <c r="F1" s="200"/>
      <c r="G1" s="158"/>
      <c r="H1" s="158"/>
      <c r="I1" s="520" t="s">
        <v>588</v>
      </c>
      <c r="J1" s="158"/>
      <c r="K1" s="158"/>
      <c r="L1" s="158"/>
      <c r="M1" s="158"/>
      <c r="N1" s="158"/>
      <c r="O1" s="200"/>
      <c r="P1" s="158"/>
      <c r="Q1" s="170">
        <v>1</v>
      </c>
    </row>
    <row r="2" spans="1:19" ht="16.5" thickBot="1" x14ac:dyDescent="0.3">
      <c r="A2" s="397"/>
      <c r="B2" s="390"/>
      <c r="C2" s="387"/>
      <c r="D2" s="387"/>
      <c r="E2" s="390"/>
      <c r="F2" s="390"/>
      <c r="G2" s="387"/>
      <c r="H2" s="387"/>
      <c r="I2" s="399" t="s">
        <v>476</v>
      </c>
      <c r="J2" s="387"/>
      <c r="K2" s="387"/>
      <c r="L2" s="387"/>
      <c r="M2" s="387"/>
      <c r="N2" s="387"/>
      <c r="O2" s="390"/>
      <c r="P2" s="387"/>
      <c r="Q2" s="172"/>
    </row>
    <row r="3" spans="1:19" ht="18" x14ac:dyDescent="0.25">
      <c r="A3" s="397"/>
      <c r="B3" s="390"/>
      <c r="C3" s="387"/>
      <c r="D3" s="387"/>
      <c r="E3" s="390"/>
      <c r="F3" s="390"/>
      <c r="G3" s="387"/>
      <c r="H3" s="387"/>
      <c r="I3" s="796" t="s">
        <v>435</v>
      </c>
      <c r="J3" s="387"/>
      <c r="K3" s="387"/>
      <c r="L3" s="387"/>
      <c r="M3" s="387"/>
      <c r="N3" s="387"/>
      <c r="O3" s="390"/>
      <c r="P3" s="387"/>
      <c r="Q3" s="172"/>
      <c r="S3" s="201" t="s">
        <v>37</v>
      </c>
    </row>
    <row r="4" spans="1:19" ht="13.5" thickBot="1" x14ac:dyDescent="0.25">
      <c r="A4" s="397"/>
      <c r="B4" s="390"/>
      <c r="C4" s="390"/>
      <c r="D4" s="390"/>
      <c r="E4" s="387"/>
      <c r="F4" s="387"/>
      <c r="G4" s="387"/>
      <c r="H4" s="387"/>
      <c r="I4" s="387"/>
      <c r="J4" s="390"/>
      <c r="K4" s="390"/>
      <c r="L4" s="390"/>
      <c r="M4" s="390"/>
      <c r="N4" s="390"/>
      <c r="O4" s="390"/>
      <c r="P4" s="387"/>
      <c r="Q4" s="172"/>
      <c r="S4" s="202" t="s">
        <v>36</v>
      </c>
    </row>
    <row r="5" spans="1:19" x14ac:dyDescent="0.2">
      <c r="A5" s="397"/>
      <c r="B5" s="390" t="s">
        <v>0</v>
      </c>
      <c r="C5" s="387"/>
      <c r="D5" s="963">
        <f>'Site Info'!E6</f>
        <v>0</v>
      </c>
      <c r="E5" s="1044"/>
      <c r="F5" s="387"/>
      <c r="G5" s="387"/>
      <c r="H5" s="390" t="s">
        <v>2</v>
      </c>
      <c r="I5" s="963">
        <f>'Site Info'!I6</f>
        <v>0</v>
      </c>
      <c r="J5" s="968"/>
      <c r="K5" s="387"/>
      <c r="L5" s="795" t="s">
        <v>32</v>
      </c>
      <c r="M5" s="387"/>
      <c r="N5" s="799">
        <f>'Site Info'!N6</f>
        <v>0</v>
      </c>
      <c r="O5" s="400"/>
      <c r="P5" s="387"/>
      <c r="Q5" s="172"/>
    </row>
    <row r="6" spans="1:19" x14ac:dyDescent="0.2">
      <c r="A6" s="397"/>
      <c r="B6" s="390" t="s">
        <v>1</v>
      </c>
      <c r="C6" s="387"/>
      <c r="D6" s="963">
        <f>'Site Info'!E7</f>
        <v>0</v>
      </c>
      <c r="E6" s="1044"/>
      <c r="F6" s="387"/>
      <c r="G6" s="387"/>
      <c r="H6" s="390" t="s">
        <v>3</v>
      </c>
      <c r="I6" s="963">
        <f>'Site Info'!I7</f>
        <v>0</v>
      </c>
      <c r="J6" s="968"/>
      <c r="K6" s="387"/>
      <c r="L6" s="387"/>
      <c r="M6" s="387"/>
      <c r="N6" s="382"/>
      <c r="O6" s="387"/>
      <c r="P6" s="387"/>
      <c r="Q6" s="172"/>
    </row>
    <row r="7" spans="1:19" x14ac:dyDescent="0.2">
      <c r="A7" s="397"/>
      <c r="B7" s="387"/>
      <c r="C7" s="387"/>
      <c r="D7" s="401"/>
      <c r="E7" s="401"/>
      <c r="F7" s="387"/>
      <c r="G7" s="387"/>
      <c r="H7" s="387"/>
      <c r="I7" s="401"/>
      <c r="J7" s="401"/>
      <c r="K7" s="387"/>
      <c r="L7" s="387"/>
      <c r="M7" s="387"/>
      <c r="N7" s="387"/>
      <c r="O7" s="387"/>
      <c r="P7" s="387"/>
      <c r="Q7" s="172"/>
    </row>
    <row r="8" spans="1:19" x14ac:dyDescent="0.2">
      <c r="A8" s="397"/>
      <c r="B8" s="387"/>
      <c r="C8" s="387"/>
      <c r="D8" s="401"/>
      <c r="E8" s="401"/>
      <c r="F8" s="387"/>
      <c r="G8" s="387"/>
      <c r="H8" s="387"/>
      <c r="I8" s="401"/>
      <c r="J8" s="401"/>
      <c r="K8" s="387"/>
      <c r="L8" s="390" t="s">
        <v>42</v>
      </c>
      <c r="M8" s="387"/>
      <c r="N8" s="389">
        <f>'Site Info'!N9</f>
        <v>0</v>
      </c>
      <c r="O8" s="390" t="s">
        <v>7</v>
      </c>
      <c r="P8" s="387"/>
      <c r="Q8" s="172"/>
    </row>
    <row r="9" spans="1:19" x14ac:dyDescent="0.2">
      <c r="A9" s="397"/>
      <c r="B9" s="390" t="s">
        <v>6</v>
      </c>
      <c r="C9" s="387"/>
      <c r="D9" s="799">
        <f>'Site Info'!G9</f>
        <v>0</v>
      </c>
      <c r="E9" s="401"/>
      <c r="F9" s="400"/>
      <c r="G9" s="387"/>
      <c r="H9" s="387"/>
      <c r="I9" s="595" t="s">
        <v>34</v>
      </c>
      <c r="J9" s="797">
        <f>'Site Info'!J9</f>
        <v>0</v>
      </c>
      <c r="K9" s="387"/>
      <c r="L9" s="387"/>
      <c r="M9" s="387"/>
      <c r="N9" s="387"/>
      <c r="O9" s="390"/>
      <c r="P9" s="387"/>
      <c r="Q9" s="172"/>
    </row>
    <row r="10" spans="1:19" x14ac:dyDescent="0.2">
      <c r="A10" s="397"/>
      <c r="B10" s="390"/>
      <c r="C10" s="387"/>
      <c r="D10" s="387"/>
      <c r="E10" s="385"/>
      <c r="F10" s="385"/>
      <c r="G10" s="387"/>
      <c r="H10" s="387"/>
      <c r="I10" s="596" t="s">
        <v>275</v>
      </c>
      <c r="J10" s="797">
        <f>'Site Info'!J10</f>
        <v>0</v>
      </c>
      <c r="K10" s="387"/>
      <c r="L10" s="390" t="s">
        <v>57</v>
      </c>
      <c r="M10" s="387"/>
      <c r="N10" s="389">
        <f>'Site Info'!N11</f>
        <v>0</v>
      </c>
      <c r="O10" s="390" t="s">
        <v>58</v>
      </c>
      <c r="P10" s="387"/>
      <c r="Q10" s="172"/>
    </row>
    <row r="11" spans="1:19" x14ac:dyDescent="0.2">
      <c r="A11" s="397"/>
      <c r="B11" s="390" t="s">
        <v>90</v>
      </c>
      <c r="C11" s="383"/>
      <c r="D11" s="58">
        <f>'Site Info'!E11</f>
        <v>0</v>
      </c>
      <c r="E11" s="395" t="s">
        <v>92</v>
      </c>
      <c r="F11" s="385"/>
      <c r="G11" s="387"/>
      <c r="H11" s="1040" t="s">
        <v>287</v>
      </c>
      <c r="I11" s="967"/>
      <c r="J11" s="1046">
        <f>'Site Info'!J11</f>
        <v>0</v>
      </c>
      <c r="K11" s="390"/>
      <c r="L11" s="387"/>
      <c r="M11" s="391"/>
      <c r="N11" s="383"/>
      <c r="O11" s="390"/>
      <c r="P11" s="387"/>
      <c r="Q11" s="172"/>
    </row>
    <row r="12" spans="1:19" x14ac:dyDescent="0.2">
      <c r="A12" s="397"/>
      <c r="B12" s="390" t="s">
        <v>91</v>
      </c>
      <c r="C12" s="383"/>
      <c r="D12" s="58">
        <f>'Site Info'!E12</f>
        <v>0</v>
      </c>
      <c r="E12" s="395" t="s">
        <v>92</v>
      </c>
      <c r="F12" s="385"/>
      <c r="G12" s="387"/>
      <c r="H12" s="1040"/>
      <c r="I12" s="967"/>
      <c r="J12" s="1046"/>
      <c r="K12" s="390"/>
      <c r="L12" s="387"/>
      <c r="M12" s="391"/>
      <c r="N12" s="383"/>
      <c r="O12" s="390"/>
      <c r="P12" s="387"/>
      <c r="Q12" s="172"/>
    </row>
    <row r="13" spans="1:19" ht="13.5" thickBot="1" x14ac:dyDescent="0.25">
      <c r="A13" s="177"/>
      <c r="B13" s="178"/>
      <c r="C13" s="62"/>
      <c r="D13" s="62"/>
      <c r="E13" s="179"/>
      <c r="F13" s="179"/>
      <c r="G13" s="62"/>
      <c r="H13" s="62"/>
      <c r="I13" s="62"/>
      <c r="J13" s="62"/>
      <c r="K13" s="178"/>
      <c r="L13" s="62"/>
      <c r="M13" s="592"/>
      <c r="N13" s="203"/>
      <c r="O13" s="178"/>
      <c r="P13" s="62"/>
      <c r="Q13" s="180"/>
    </row>
    <row r="14" spans="1:19" ht="13.15" customHeight="1" x14ac:dyDescent="0.2">
      <c r="A14" s="169"/>
      <c r="B14" s="200" t="s">
        <v>10</v>
      </c>
      <c r="C14" s="200"/>
      <c r="D14" s="200"/>
      <c r="E14" s="158"/>
      <c r="F14" s="158"/>
      <c r="G14" s="158"/>
      <c r="H14" s="158"/>
      <c r="I14" s="158"/>
      <c r="J14" s="158"/>
      <c r="K14" s="158"/>
      <c r="L14" s="158"/>
      <c r="M14" s="158"/>
      <c r="N14" s="158"/>
      <c r="O14" s="200"/>
      <c r="P14" s="158"/>
      <c r="Q14" s="170"/>
    </row>
    <row r="15" spans="1:19" ht="18" x14ac:dyDescent="0.25">
      <c r="A15" s="397"/>
      <c r="B15" s="220" t="s">
        <v>134</v>
      </c>
      <c r="C15" s="387"/>
      <c r="D15" s="387"/>
      <c r="E15" s="387"/>
      <c r="F15" s="387"/>
      <c r="G15" s="387"/>
      <c r="H15" s="390"/>
      <c r="I15" s="387"/>
      <c r="J15" s="383"/>
      <c r="K15" s="387"/>
      <c r="L15" s="387"/>
      <c r="M15" s="166"/>
      <c r="N15" s="387"/>
      <c r="O15" s="798"/>
      <c r="P15" s="390"/>
      <c r="Q15" s="172"/>
    </row>
    <row r="16" spans="1:19" s="182" customFormat="1" x14ac:dyDescent="0.2">
      <c r="A16" s="181"/>
      <c r="B16" s="390" t="s">
        <v>520</v>
      </c>
      <c r="C16" s="675"/>
      <c r="D16" s="675"/>
      <c r="E16" s="675"/>
      <c r="F16" s="675"/>
      <c r="G16" s="675"/>
      <c r="H16" s="675"/>
      <c r="I16" s="675"/>
      <c r="J16" s="675"/>
      <c r="K16" s="675"/>
      <c r="L16" s="675"/>
      <c r="M16" s="675"/>
      <c r="N16" s="675"/>
      <c r="O16" s="675"/>
      <c r="P16" s="675"/>
      <c r="Q16" s="172"/>
    </row>
    <row r="17" spans="1:17" s="175" customFormat="1" ht="13.9" customHeight="1" x14ac:dyDescent="0.2">
      <c r="A17" s="159"/>
      <c r="B17" s="1043" t="s">
        <v>272</v>
      </c>
      <c r="C17" s="1043"/>
      <c r="D17" s="1043"/>
      <c r="E17" s="1043"/>
      <c r="F17" s="1043"/>
      <c r="G17" s="1043"/>
      <c r="H17" s="1043"/>
      <c r="I17" s="1043"/>
      <c r="J17" s="1043"/>
      <c r="K17" s="1043"/>
      <c r="L17" s="1043"/>
      <c r="M17" s="1043"/>
      <c r="N17" s="1043"/>
      <c r="O17" s="1043"/>
      <c r="P17" s="1043"/>
      <c r="Q17" s="172"/>
    </row>
    <row r="18" spans="1:17" s="175" customFormat="1" ht="13.9" customHeight="1" x14ac:dyDescent="0.2">
      <c r="A18" s="159"/>
      <c r="B18" s="1043" t="s">
        <v>318</v>
      </c>
      <c r="C18" s="1043"/>
      <c r="D18" s="1043"/>
      <c r="E18" s="1043"/>
      <c r="F18" s="1043"/>
      <c r="G18" s="1043"/>
      <c r="H18" s="1043"/>
      <c r="I18" s="1043"/>
      <c r="J18" s="1043"/>
      <c r="K18" s="1043"/>
      <c r="L18" s="1043"/>
      <c r="M18" s="1043"/>
      <c r="N18" s="1043"/>
      <c r="O18" s="1043"/>
      <c r="P18" s="1043"/>
      <c r="Q18" s="172"/>
    </row>
    <row r="19" spans="1:17" s="175" customFormat="1" ht="28.9" customHeight="1" x14ac:dyDescent="0.2">
      <c r="A19" s="159"/>
      <c r="B19" s="1045" t="s">
        <v>385</v>
      </c>
      <c r="C19" s="1045"/>
      <c r="D19" s="1045"/>
      <c r="E19" s="1045"/>
      <c r="F19" s="1045"/>
      <c r="G19" s="1045"/>
      <c r="H19" s="1045"/>
      <c r="I19" s="1045"/>
      <c r="J19" s="1045"/>
      <c r="K19" s="1045"/>
      <c r="L19" s="1045"/>
      <c r="M19" s="1045"/>
      <c r="N19" s="1045"/>
      <c r="O19" s="1045"/>
      <c r="P19" s="1045"/>
      <c r="Q19" s="172"/>
    </row>
    <row r="20" spans="1:17" s="175" customFormat="1" ht="42" customHeight="1" x14ac:dyDescent="0.2">
      <c r="A20" s="159"/>
      <c r="B20" s="1043" t="s">
        <v>320</v>
      </c>
      <c r="C20" s="1043"/>
      <c r="D20" s="1043"/>
      <c r="E20" s="1043"/>
      <c r="F20" s="1043"/>
      <c r="G20" s="1043"/>
      <c r="H20" s="1043"/>
      <c r="I20" s="1043"/>
      <c r="J20" s="1043"/>
      <c r="K20" s="1043"/>
      <c r="L20" s="1043"/>
      <c r="M20" s="1043"/>
      <c r="N20" s="1043"/>
      <c r="O20" s="1043"/>
      <c r="P20" s="1043"/>
      <c r="Q20" s="172"/>
    </row>
    <row r="21" spans="1:17" ht="28.9" customHeight="1" x14ac:dyDescent="0.2">
      <c r="A21" s="397"/>
      <c r="B21" s="1043" t="s">
        <v>319</v>
      </c>
      <c r="C21" s="1043"/>
      <c r="D21" s="1043"/>
      <c r="E21" s="1043"/>
      <c r="F21" s="1043"/>
      <c r="G21" s="1043"/>
      <c r="H21" s="1043"/>
      <c r="I21" s="1043"/>
      <c r="J21" s="1043"/>
      <c r="K21" s="1043"/>
      <c r="L21" s="1043"/>
      <c r="M21" s="1043"/>
      <c r="N21" s="1043"/>
      <c r="O21" s="1043"/>
      <c r="P21" s="1043"/>
      <c r="Q21" s="172"/>
    </row>
    <row r="22" spans="1:17" ht="31.5" customHeight="1" x14ac:dyDescent="0.2">
      <c r="A22" s="397"/>
      <c r="B22" s="1043" t="s">
        <v>586</v>
      </c>
      <c r="C22" s="1043"/>
      <c r="D22" s="1043"/>
      <c r="E22" s="1043"/>
      <c r="F22" s="1043"/>
      <c r="G22" s="1043"/>
      <c r="H22" s="1043"/>
      <c r="I22" s="1043"/>
      <c r="J22" s="1043"/>
      <c r="K22" s="1043"/>
      <c r="L22" s="1043"/>
      <c r="M22" s="1043"/>
      <c r="N22" s="1043"/>
      <c r="O22" s="1043"/>
      <c r="P22" s="1043"/>
      <c r="Q22" s="172"/>
    </row>
    <row r="23" spans="1:17" ht="18" x14ac:dyDescent="0.25">
      <c r="A23" s="397"/>
      <c r="B23" s="220" t="s">
        <v>135</v>
      </c>
      <c r="C23" s="387"/>
      <c r="D23" s="387"/>
      <c r="E23" s="387"/>
      <c r="F23" s="387"/>
      <c r="G23" s="387"/>
      <c r="H23" s="390"/>
      <c r="I23" s="387"/>
      <c r="J23" s="383"/>
      <c r="K23" s="387"/>
      <c r="L23" s="387"/>
      <c r="M23" s="166"/>
      <c r="N23" s="387"/>
      <c r="O23" s="798"/>
      <c r="P23" s="390"/>
      <c r="Q23" s="172"/>
    </row>
    <row r="24" spans="1:17" s="182" customFormat="1" x14ac:dyDescent="0.2">
      <c r="A24" s="181"/>
      <c r="B24" s="390" t="s">
        <v>521</v>
      </c>
      <c r="C24" s="676"/>
      <c r="D24" s="676"/>
      <c r="E24" s="676"/>
      <c r="F24" s="676"/>
      <c r="G24" s="676"/>
      <c r="H24" s="676"/>
      <c r="I24" s="676"/>
      <c r="J24" s="676"/>
      <c r="K24" s="676"/>
      <c r="L24" s="676"/>
      <c r="M24" s="676"/>
      <c r="N24" s="676"/>
      <c r="O24" s="676"/>
      <c r="P24" s="676"/>
      <c r="Q24" s="172"/>
    </row>
    <row r="25" spans="1:17" s="175" customFormat="1" ht="28.9" customHeight="1" x14ac:dyDescent="0.2">
      <c r="A25" s="159"/>
      <c r="B25" s="988" t="s">
        <v>284</v>
      </c>
      <c r="C25" s="988"/>
      <c r="D25" s="988"/>
      <c r="E25" s="988"/>
      <c r="F25" s="988"/>
      <c r="G25" s="988"/>
      <c r="H25" s="988"/>
      <c r="I25" s="988"/>
      <c r="J25" s="988"/>
      <c r="K25" s="988"/>
      <c r="L25" s="988"/>
      <c r="M25" s="988"/>
      <c r="N25" s="988"/>
      <c r="O25" s="988"/>
      <c r="P25" s="988"/>
      <c r="Q25" s="172"/>
    </row>
    <row r="26" spans="1:17" s="175" customFormat="1" ht="13.9" customHeight="1" x14ac:dyDescent="0.2">
      <c r="A26" s="159"/>
      <c r="B26" s="988" t="s">
        <v>274</v>
      </c>
      <c r="C26" s="988"/>
      <c r="D26" s="988"/>
      <c r="E26" s="988"/>
      <c r="F26" s="988"/>
      <c r="G26" s="988"/>
      <c r="H26" s="988"/>
      <c r="I26" s="988"/>
      <c r="J26" s="988"/>
      <c r="K26" s="988"/>
      <c r="L26" s="988"/>
      <c r="M26" s="988"/>
      <c r="N26" s="988"/>
      <c r="O26" s="988"/>
      <c r="P26" s="988"/>
      <c r="Q26" s="172"/>
    </row>
    <row r="27" spans="1:17" s="175" customFormat="1" ht="13.9" customHeight="1" x14ac:dyDescent="0.2">
      <c r="A27" s="159"/>
      <c r="B27" s="988" t="s">
        <v>388</v>
      </c>
      <c r="C27" s="988"/>
      <c r="D27" s="988"/>
      <c r="E27" s="988"/>
      <c r="F27" s="988"/>
      <c r="G27" s="988"/>
      <c r="H27" s="988"/>
      <c r="I27" s="988"/>
      <c r="J27" s="988"/>
      <c r="K27" s="988"/>
      <c r="L27" s="988"/>
      <c r="M27" s="988"/>
      <c r="N27" s="988"/>
      <c r="O27" s="988"/>
      <c r="P27" s="988"/>
      <c r="Q27" s="172"/>
    </row>
    <row r="28" spans="1:17" ht="15.75" x14ac:dyDescent="0.25">
      <c r="A28" s="397"/>
      <c r="B28" s="220" t="s">
        <v>295</v>
      </c>
      <c r="C28" s="390"/>
      <c r="D28" s="390"/>
      <c r="E28" s="387"/>
      <c r="F28" s="387"/>
      <c r="G28" s="387"/>
      <c r="H28" s="387"/>
      <c r="I28" s="387"/>
      <c r="J28" s="387"/>
      <c r="K28" s="387"/>
      <c r="L28" s="387"/>
      <c r="M28" s="387"/>
      <c r="N28" s="387"/>
      <c r="O28" s="390"/>
      <c r="P28" s="387"/>
      <c r="Q28" s="172"/>
    </row>
    <row r="29" spans="1:17" s="182" customFormat="1" x14ac:dyDescent="0.2">
      <c r="A29" s="181"/>
      <c r="B29" s="390" t="s">
        <v>522</v>
      </c>
      <c r="C29" s="675"/>
      <c r="D29" s="675"/>
      <c r="E29" s="675"/>
      <c r="F29" s="675"/>
      <c r="G29" s="675"/>
      <c r="H29" s="675"/>
      <c r="I29" s="675"/>
      <c r="J29" s="675"/>
      <c r="K29" s="675"/>
      <c r="L29" s="675"/>
      <c r="M29" s="675"/>
      <c r="N29" s="675"/>
      <c r="O29" s="675"/>
      <c r="P29" s="675"/>
      <c r="Q29" s="172"/>
    </row>
    <row r="30" spans="1:17" ht="28.9" customHeight="1" x14ac:dyDescent="0.2">
      <c r="A30" s="397"/>
      <c r="B30" s="1043" t="s">
        <v>386</v>
      </c>
      <c r="C30" s="1043"/>
      <c r="D30" s="1043"/>
      <c r="E30" s="1043"/>
      <c r="F30" s="1043"/>
      <c r="G30" s="1043"/>
      <c r="H30" s="1043"/>
      <c r="I30" s="1043"/>
      <c r="J30" s="1043"/>
      <c r="K30" s="1043"/>
      <c r="L30" s="1043"/>
      <c r="M30" s="1043"/>
      <c r="N30" s="1043"/>
      <c r="O30" s="1043"/>
      <c r="P30" s="1043"/>
      <c r="Q30" s="172"/>
    </row>
    <row r="31" spans="1:17" ht="28.9" customHeight="1" x14ac:dyDescent="0.2">
      <c r="A31" s="397"/>
      <c r="B31" s="1043" t="s">
        <v>389</v>
      </c>
      <c r="C31" s="1043"/>
      <c r="D31" s="1043"/>
      <c r="E31" s="1043"/>
      <c r="F31" s="1043"/>
      <c r="G31" s="1043"/>
      <c r="H31" s="1043"/>
      <c r="I31" s="1043"/>
      <c r="J31" s="1043"/>
      <c r="K31" s="1043"/>
      <c r="L31" s="1043"/>
      <c r="M31" s="1043"/>
      <c r="N31" s="1043"/>
      <c r="O31" s="1043"/>
      <c r="P31" s="1043"/>
      <c r="Q31" s="172"/>
    </row>
    <row r="32" spans="1:17" ht="15.75" x14ac:dyDescent="0.25">
      <c r="A32" s="397"/>
      <c r="B32" s="220" t="s">
        <v>136</v>
      </c>
      <c r="C32" s="387"/>
      <c r="D32" s="387"/>
      <c r="E32" s="387"/>
      <c r="F32" s="387"/>
      <c r="G32" s="387"/>
      <c r="H32" s="390"/>
      <c r="I32" s="387"/>
      <c r="J32" s="390"/>
      <c r="K32" s="387"/>
      <c r="L32" s="387"/>
      <c r="M32" s="387"/>
      <c r="N32" s="387"/>
      <c r="O32" s="798"/>
      <c r="P32" s="390"/>
      <c r="Q32" s="172"/>
    </row>
    <row r="33" spans="1:17" ht="13.9" customHeight="1" x14ac:dyDescent="0.2">
      <c r="A33" s="397"/>
      <c r="B33" s="383" t="s">
        <v>321</v>
      </c>
      <c r="C33" s="387"/>
      <c r="D33" s="387"/>
      <c r="E33" s="387"/>
      <c r="F33" s="387"/>
      <c r="G33" s="387"/>
      <c r="H33" s="390"/>
      <c r="I33" s="387"/>
      <c r="J33" s="390"/>
      <c r="K33" s="387"/>
      <c r="L33" s="387"/>
      <c r="M33" s="387"/>
      <c r="N33" s="387"/>
      <c r="O33" s="798"/>
      <c r="P33" s="390"/>
      <c r="Q33" s="172"/>
    </row>
    <row r="34" spans="1:17" ht="13.9" customHeight="1" x14ac:dyDescent="0.2">
      <c r="A34" s="397"/>
      <c r="B34" s="383" t="s">
        <v>636</v>
      </c>
      <c r="C34" s="390"/>
      <c r="D34" s="390"/>
      <c r="E34" s="387"/>
      <c r="F34" s="387"/>
      <c r="G34" s="387"/>
      <c r="H34" s="387"/>
      <c r="I34" s="387"/>
      <c r="J34" s="387"/>
      <c r="K34" s="387"/>
      <c r="L34" s="387"/>
      <c r="M34" s="387"/>
      <c r="N34" s="387"/>
      <c r="O34" s="390"/>
      <c r="P34" s="387"/>
      <c r="Q34" s="172"/>
    </row>
    <row r="35" spans="1:17" ht="13.9" customHeight="1" thickBot="1" x14ac:dyDescent="0.25">
      <c r="A35" s="177"/>
      <c r="B35" s="203" t="s">
        <v>273</v>
      </c>
      <c r="C35" s="178"/>
      <c r="D35" s="178"/>
      <c r="E35" s="62"/>
      <c r="F35" s="62"/>
      <c r="G35" s="62"/>
      <c r="H35" s="62"/>
      <c r="I35" s="62"/>
      <c r="J35" s="62"/>
      <c r="K35" s="62"/>
      <c r="L35" s="62"/>
      <c r="M35" s="62"/>
      <c r="N35" s="62"/>
      <c r="O35" s="178"/>
      <c r="P35" s="62"/>
      <c r="Q35" s="180"/>
    </row>
    <row r="36" spans="1:17" ht="13.5" thickBot="1" x14ac:dyDescent="0.25">
      <c r="A36" s="169"/>
      <c r="B36" s="200"/>
      <c r="C36" s="200"/>
      <c r="D36" s="200"/>
      <c r="E36" s="158"/>
      <c r="F36" s="158"/>
      <c r="G36" s="158"/>
      <c r="H36" s="158"/>
      <c r="I36" s="158"/>
      <c r="J36" s="158"/>
      <c r="K36" s="158"/>
      <c r="L36" s="158"/>
      <c r="M36" s="158"/>
      <c r="N36" s="158"/>
      <c r="O36" s="200"/>
      <c r="P36" s="226"/>
      <c r="Q36" s="170"/>
    </row>
    <row r="37" spans="1:17" ht="125.25" customHeight="1" thickBot="1" x14ac:dyDescent="0.25">
      <c r="A37" s="224"/>
      <c r="B37" s="348" t="s">
        <v>582</v>
      </c>
      <c r="C37" s="794" t="s">
        <v>117</v>
      </c>
      <c r="D37" s="348" t="s">
        <v>263</v>
      </c>
      <c r="E37" s="206" t="s">
        <v>387</v>
      </c>
      <c r="F37" s="348" t="s">
        <v>264</v>
      </c>
      <c r="G37" s="206" t="s">
        <v>172</v>
      </c>
      <c r="H37" s="348" t="s">
        <v>265</v>
      </c>
      <c r="I37" s="206" t="s">
        <v>179</v>
      </c>
      <c r="J37" s="348" t="s">
        <v>123</v>
      </c>
      <c r="K37" s="206" t="s">
        <v>180</v>
      </c>
      <c r="L37" s="204" t="s">
        <v>181</v>
      </c>
      <c r="M37" s="205" t="s">
        <v>182</v>
      </c>
      <c r="N37" s="229" t="s">
        <v>183</v>
      </c>
      <c r="O37" s="205" t="s">
        <v>294</v>
      </c>
      <c r="P37" s="206" t="s">
        <v>178</v>
      </c>
      <c r="Q37" s="172"/>
    </row>
    <row r="38" spans="1:17" s="210" customFormat="1" ht="22.5" customHeight="1" x14ac:dyDescent="0.2">
      <c r="A38" s="225"/>
      <c r="B38" s="207" t="s">
        <v>4</v>
      </c>
      <c r="C38" s="343" t="str">
        <f>IF(ISBLANK('Pier Scour'!F28),"",'Pier Scour'!F28)</f>
        <v>LABUT</v>
      </c>
      <c r="D38" s="349" t="s">
        <v>37</v>
      </c>
      <c r="E38" s="209" t="str">
        <f>IF(AND(D38="Yes",C38="LABUT",'CW Abutment Scour'!$J$103&gt;='CW Contraction Scour'!K49),'CW Abutment Scour'!$J$103,IF(AND(D38="Yes",C38="LABUT",'CW Abutment Scour'!$J$103&lt;'CW Contraction Scour'!K49),'CW Contraction Scour'!K49,0))</f>
        <v>N/A</v>
      </c>
      <c r="F38" s="355" t="s">
        <v>36</v>
      </c>
      <c r="G38" s="209">
        <f>IF(AND(F38="Yes",C38="LABUT"),'CW Contraction Scour'!$K$49,0)</f>
        <v>0</v>
      </c>
      <c r="H38" s="355" t="s">
        <v>36</v>
      </c>
      <c r="I38" s="358">
        <v>0</v>
      </c>
      <c r="J38" s="349" t="str">
        <f>IF(D38="No","No",IF(AND(D9="Piedmont",E38&lt;=5),"Yes",IF('Pier Scour'!F31&gt;2.3,"Yes",IF('Pier Scour'!F34="No","Yes","No"))))</f>
        <v>Yes</v>
      </c>
      <c r="K38" s="209">
        <f>IF((J38="Yes"),'Pier Scour'!F44,0)</f>
        <v>30.2</v>
      </c>
      <c r="L38" s="800" t="str">
        <f>IF(OR(E38="N/A",G38="N/A",I38="N/A",K38="N/A"),"N/A",IF(AND(D38="No",F38="No",H38="No",J38="No"),"N/A",K38+I38+G38+E38))</f>
        <v>N/A</v>
      </c>
      <c r="M38" s="217"/>
      <c r="N38" s="208" t="str">
        <f>IF(OR(E38="N/A",G38="N/A",I38="N/A",K38="N/A"),"N/A",IF(AND(D38="No",F38="No",H38="No",J38="No"),"N/A",M38-L38))</f>
        <v>N/A</v>
      </c>
      <c r="O38" s="218"/>
      <c r="P38" s="209" t="str">
        <f>IF(OR(E38="N/A",G38="N/A",I38="N/A",K38="N/A"),"N/A",IF(AND(D38="No",F38="No",H38="No",J38="No"),"N/A",O38-L38))</f>
        <v>N/A</v>
      </c>
      <c r="Q38" s="304"/>
    </row>
    <row r="39" spans="1:17" s="210" customFormat="1" ht="22.5" customHeight="1" x14ac:dyDescent="0.2">
      <c r="A39" s="225"/>
      <c r="B39" s="248" t="s">
        <v>18</v>
      </c>
      <c r="C39" s="344" t="str">
        <f>IF(ISBLANK('Pier Scour'!G28),"",'Pier Scour'!G28)</f>
        <v>LOB</v>
      </c>
      <c r="D39" s="350" t="s">
        <v>36</v>
      </c>
      <c r="E39" s="351">
        <v>0</v>
      </c>
      <c r="F39" s="356" t="str">
        <f>IF(OR('CW Abutment Scour'!J139&gt;'Site Info'!I144,'Site Info'!J124="Yes"),"No","Yes")</f>
        <v>Yes</v>
      </c>
      <c r="G39" s="213" t="str">
        <f>IF(AND(F39="Yes",C39="LOB"),'CW Contraction Scour'!$K$49,0)</f>
        <v>N/A</v>
      </c>
      <c r="H39" s="350" t="s">
        <v>36</v>
      </c>
      <c r="I39" s="359">
        <v>0</v>
      </c>
      <c r="J39" s="356" t="str">
        <f>F39</f>
        <v>Yes</v>
      </c>
      <c r="K39" s="250">
        <f>IF((J39="Yes"),'Pier Scour'!G44,0)</f>
        <v>34.1</v>
      </c>
      <c r="L39" s="362" t="str">
        <f t="shared" ref="L39:L41" si="0">IF(OR(E39="N/A",G39="N/A",I39="N/A",K39="N/A"),"N/A",IF(AND(D39="No",F39="No",H39="No",J39="No"),"N/A",K39+I39+G39+E39))</f>
        <v>N/A</v>
      </c>
      <c r="M39" s="218"/>
      <c r="N39" s="249" t="str">
        <f t="shared" ref="N39:N42" si="1">IF(OR(E39="N/A",G39="N/A",I39="N/A",K39="N/A"),"N/A",IF(AND(D39="No",F39="No",H39="No",J39="No"),"N/A",M39-L39))</f>
        <v>N/A</v>
      </c>
      <c r="O39" s="218"/>
      <c r="P39" s="250" t="str">
        <f t="shared" ref="P39:P42" si="2">IF(OR(E39="N/A",G39="N/A",I39="N/A",K39="N/A"),"N/A",IF(AND(D39="No",F39="No",H39="No",J39="No"),"N/A",O39-L39))</f>
        <v>N/A</v>
      </c>
      <c r="Q39" s="304"/>
    </row>
    <row r="40" spans="1:17" s="210" customFormat="1" ht="22.5" customHeight="1" x14ac:dyDescent="0.2">
      <c r="A40" s="225"/>
      <c r="B40" s="211" t="s">
        <v>87</v>
      </c>
      <c r="C40" s="345" t="str">
        <f>IF(ISBLANK('Pier Scour'!H28),"",'Pier Scour'!H28)</f>
        <v>CH</v>
      </c>
      <c r="D40" s="352" t="s">
        <v>36</v>
      </c>
      <c r="E40" s="351">
        <v>0</v>
      </c>
      <c r="F40" s="352" t="s">
        <v>36</v>
      </c>
      <c r="G40" s="351">
        <v>0</v>
      </c>
      <c r="H40" s="356" t="str">
        <f>IF(OR(J10="Yes",J11="Yes"),"No","Yes")</f>
        <v>Yes</v>
      </c>
      <c r="I40" s="213" t="str">
        <f>IF(H40="Yes",'LB Contraction Scour'!$L$62,0)</f>
        <v>N/A</v>
      </c>
      <c r="J40" s="356" t="str">
        <f>H40</f>
        <v>Yes</v>
      </c>
      <c r="K40" s="250">
        <f>IF((J40="Yes"),'Pier Scour'!H44,0)</f>
        <v>32.700000000000003</v>
      </c>
      <c r="L40" s="363" t="str">
        <f t="shared" si="0"/>
        <v>N/A</v>
      </c>
      <c r="M40" s="218"/>
      <c r="N40" s="212" t="str">
        <f t="shared" si="1"/>
        <v>N/A</v>
      </c>
      <c r="O40" s="218"/>
      <c r="P40" s="213" t="str">
        <f t="shared" si="2"/>
        <v>N/A</v>
      </c>
      <c r="Q40" s="304"/>
    </row>
    <row r="41" spans="1:17" s="210" customFormat="1" ht="22.5" customHeight="1" x14ac:dyDescent="0.2">
      <c r="A41" s="225"/>
      <c r="B41" s="251" t="s">
        <v>19</v>
      </c>
      <c r="C41" s="346" t="str">
        <f>IF(ISBLANK('Pier Scour'!I28),"",'Pier Scour'!I28)</f>
        <v>ROB</v>
      </c>
      <c r="D41" s="353" t="s">
        <v>36</v>
      </c>
      <c r="E41" s="360">
        <v>0</v>
      </c>
      <c r="F41" s="356" t="str">
        <f>IF(OR('CW Abutment Scour'!M139&gt;'Site Info'!L144,'Site Info'!J124="Yes"),"No","Yes")</f>
        <v>Yes</v>
      </c>
      <c r="G41" s="213" t="str">
        <f>IF(AND(F41="Yes",C41="ROB"),'CW Contraction Scour'!$M$49,0)</f>
        <v>N/A</v>
      </c>
      <c r="H41" s="353" t="s">
        <v>36</v>
      </c>
      <c r="I41" s="360">
        <v>0</v>
      </c>
      <c r="J41" s="356" t="str">
        <f>F41</f>
        <v>Yes</v>
      </c>
      <c r="K41" s="253">
        <f>IF((J41="Yes"),'Pier Scour'!I44,0)</f>
        <v>37.200000000000003</v>
      </c>
      <c r="L41" s="364" t="str">
        <f t="shared" si="0"/>
        <v>N/A</v>
      </c>
      <c r="M41" s="218"/>
      <c r="N41" s="252" t="str">
        <f t="shared" si="1"/>
        <v>N/A</v>
      </c>
      <c r="O41" s="218"/>
      <c r="P41" s="253" t="str">
        <f t="shared" si="2"/>
        <v>N/A</v>
      </c>
      <c r="Q41" s="304"/>
    </row>
    <row r="42" spans="1:17" ht="22.5" customHeight="1" thickBot="1" x14ac:dyDescent="0.25">
      <c r="A42" s="225"/>
      <c r="B42" s="214" t="s">
        <v>5</v>
      </c>
      <c r="C42" s="347" t="str">
        <f>IF(ISBLANK('Pier Scour'!J28),"",'Pier Scour'!J28)</f>
        <v>RABUT</v>
      </c>
      <c r="D42" s="354" t="s">
        <v>37</v>
      </c>
      <c r="E42" s="216" t="str">
        <f>IF(AND(D42="Yes",C42="RABUT",'CW Abutment Scour'!$M$103&gt;='CW Contraction Scour'!M49),'CW Abutment Scour'!$M$103,IF(AND(D42="Yes",C42="RABUT",'CW Abutment Scour'!$M$103&lt;'CW Contraction Scour'!M49),'CW Contraction Scour'!M49,0))</f>
        <v>N/A</v>
      </c>
      <c r="F42" s="357" t="s">
        <v>36</v>
      </c>
      <c r="G42" s="216">
        <f>IF(AND(F42="Yes",C42="RABUT"),'CW Contraction Scour'!$M$49,0)</f>
        <v>0</v>
      </c>
      <c r="H42" s="357" t="s">
        <v>36</v>
      </c>
      <c r="I42" s="361">
        <v>0</v>
      </c>
      <c r="J42" s="354" t="str">
        <f>IF(D42="No","No",IF(AND(D9="Piedmont",E42&lt;=5),"Yes",IF('Pier Scour'!J31&gt;2.3,"Yes",IF('Pier Scour'!J34="No","Yes","No"))))</f>
        <v>Yes</v>
      </c>
      <c r="K42" s="216">
        <f>IF((J42="Yes"),'Pier Scour'!J44,0)</f>
        <v>27.8</v>
      </c>
      <c r="L42" s="803" t="str">
        <f>IF(OR(E42="N/A",G42="N/A",I42="N/A",K42="N/A"),"N/A",IF(AND(D42="No",F42="No",H42="No",J42="No"),"N/A",K42+I42+G42+E42))</f>
        <v>N/A</v>
      </c>
      <c r="M42" s="219"/>
      <c r="N42" s="215" t="str">
        <f t="shared" si="1"/>
        <v>N/A</v>
      </c>
      <c r="O42" s="219"/>
      <c r="P42" s="216" t="str">
        <f t="shared" si="2"/>
        <v>N/A</v>
      </c>
      <c r="Q42" s="172"/>
    </row>
    <row r="43" spans="1:17" ht="13.5" thickBot="1" x14ac:dyDescent="0.25">
      <c r="A43" s="177"/>
      <c r="B43" s="62"/>
      <c r="C43" s="62"/>
      <c r="D43" s="62"/>
      <c r="E43" s="62"/>
      <c r="F43" s="62"/>
      <c r="G43" s="62"/>
      <c r="H43" s="62"/>
      <c r="I43" s="62"/>
      <c r="J43" s="62"/>
      <c r="K43" s="62"/>
      <c r="L43" s="62"/>
      <c r="M43" s="62"/>
      <c r="N43" s="62"/>
      <c r="O43" s="178"/>
      <c r="P43" s="226"/>
      <c r="Q43" s="180"/>
    </row>
    <row r="44" spans="1:17" s="51" customFormat="1" ht="15.75" x14ac:dyDescent="0.25">
      <c r="A44" s="49"/>
      <c r="B44" s="591"/>
      <c r="C44" s="594" t="s">
        <v>452</v>
      </c>
      <c r="D44" s="591"/>
      <c r="E44" s="591"/>
      <c r="F44" s="591"/>
      <c r="G44" s="591"/>
      <c r="H44" s="591"/>
      <c r="I44" s="591"/>
      <c r="J44" s="591"/>
      <c r="K44" s="591"/>
      <c r="L44" s="591"/>
      <c r="M44" s="591"/>
      <c r="N44" s="591"/>
      <c r="O44" s="591"/>
      <c r="P44" s="591"/>
      <c r="Q44" s="512">
        <v>2</v>
      </c>
    </row>
    <row r="45" spans="1:17" s="51" customFormat="1" ht="12.75" customHeight="1" x14ac:dyDescent="0.2">
      <c r="A45" s="50"/>
      <c r="B45" s="366">
        <v>1</v>
      </c>
      <c r="C45" s="913" t="s">
        <v>541</v>
      </c>
      <c r="D45" s="913"/>
      <c r="E45" s="913"/>
      <c r="F45" s="913"/>
      <c r="G45" s="913"/>
      <c r="H45" s="913"/>
      <c r="I45" s="913"/>
      <c r="J45" s="913"/>
      <c r="K45" s="913"/>
      <c r="L45" s="913"/>
      <c r="M45" s="913"/>
      <c r="N45" s="1022"/>
      <c r="O45" s="380"/>
      <c r="P45" s="383"/>
      <c r="Q45" s="514"/>
    </row>
    <row r="46" spans="1:17" s="51" customFormat="1" x14ac:dyDescent="0.2">
      <c r="A46" s="50"/>
      <c r="B46" s="763"/>
      <c r="C46" s="913"/>
      <c r="D46" s="913"/>
      <c r="E46" s="913"/>
      <c r="F46" s="913"/>
      <c r="G46" s="913"/>
      <c r="H46" s="913"/>
      <c r="I46" s="913"/>
      <c r="J46" s="913"/>
      <c r="K46" s="913"/>
      <c r="L46" s="913"/>
      <c r="M46" s="913"/>
      <c r="N46" s="1022"/>
      <c r="O46" s="380"/>
      <c r="P46" s="383"/>
      <c r="Q46" s="514"/>
    </row>
    <row r="47" spans="1:17" s="51" customFormat="1" x14ac:dyDescent="0.2">
      <c r="A47" s="50"/>
      <c r="B47" s="763"/>
      <c r="C47" s="913"/>
      <c r="D47" s="913"/>
      <c r="E47" s="913"/>
      <c r="F47" s="913"/>
      <c r="G47" s="913"/>
      <c r="H47" s="913"/>
      <c r="I47" s="913"/>
      <c r="J47" s="913"/>
      <c r="K47" s="913"/>
      <c r="L47" s="913"/>
      <c r="M47" s="913"/>
      <c r="N47" s="1022"/>
      <c r="O47" s="380"/>
      <c r="P47" s="383"/>
      <c r="Q47" s="514"/>
    </row>
    <row r="48" spans="1:17" s="51" customFormat="1" x14ac:dyDescent="0.2">
      <c r="A48" s="50"/>
      <c r="B48" s="763"/>
      <c r="C48" s="913"/>
      <c r="D48" s="913"/>
      <c r="E48" s="913"/>
      <c r="F48" s="913"/>
      <c r="G48" s="913"/>
      <c r="H48" s="913"/>
      <c r="I48" s="913"/>
      <c r="J48" s="913"/>
      <c r="K48" s="913"/>
      <c r="L48" s="913"/>
      <c r="M48" s="913"/>
      <c r="N48" s="1022"/>
      <c r="O48" s="380"/>
      <c r="P48" s="380"/>
      <c r="Q48" s="514"/>
    </row>
    <row r="49" spans="1:17" s="51" customFormat="1" x14ac:dyDescent="0.2">
      <c r="A49" s="50"/>
      <c r="B49" s="763">
        <v>2</v>
      </c>
      <c r="C49" s="913" t="s">
        <v>542</v>
      </c>
      <c r="D49" s="913"/>
      <c r="E49" s="913"/>
      <c r="F49" s="913"/>
      <c r="G49" s="913"/>
      <c r="H49" s="913"/>
      <c r="I49" s="913"/>
      <c r="J49" s="913"/>
      <c r="K49" s="913"/>
      <c r="L49" s="913"/>
      <c r="M49" s="913"/>
      <c r="N49" s="1022"/>
      <c r="O49" s="380"/>
      <c r="P49" s="380"/>
      <c r="Q49" s="514"/>
    </row>
    <row r="50" spans="1:17" s="51" customFormat="1" x14ac:dyDescent="0.2">
      <c r="A50" s="50"/>
      <c r="B50" s="763"/>
      <c r="C50" s="913"/>
      <c r="D50" s="913"/>
      <c r="E50" s="913"/>
      <c r="F50" s="913"/>
      <c r="G50" s="913"/>
      <c r="H50" s="913"/>
      <c r="I50" s="913"/>
      <c r="J50" s="913"/>
      <c r="K50" s="913"/>
      <c r="L50" s="913"/>
      <c r="M50" s="913"/>
      <c r="N50" s="1022"/>
      <c r="O50" s="380"/>
      <c r="P50" s="380"/>
      <c r="Q50" s="514"/>
    </row>
    <row r="51" spans="1:17" s="51" customFormat="1" x14ac:dyDescent="0.2">
      <c r="A51" s="50"/>
      <c r="B51" s="763"/>
      <c r="C51" s="913"/>
      <c r="D51" s="913"/>
      <c r="E51" s="913"/>
      <c r="F51" s="913"/>
      <c r="G51" s="913"/>
      <c r="H51" s="913"/>
      <c r="I51" s="913"/>
      <c r="J51" s="913"/>
      <c r="K51" s="913"/>
      <c r="L51" s="913"/>
      <c r="M51" s="913"/>
      <c r="N51" s="1022"/>
      <c r="O51" s="386"/>
      <c r="P51" s="380"/>
      <c r="Q51" s="514"/>
    </row>
    <row r="52" spans="1:17" s="51" customFormat="1" x14ac:dyDescent="0.2">
      <c r="A52" s="50"/>
      <c r="B52" s="763"/>
      <c r="C52" s="913"/>
      <c r="D52" s="913"/>
      <c r="E52" s="913"/>
      <c r="F52" s="913"/>
      <c r="G52" s="913"/>
      <c r="H52" s="913"/>
      <c r="I52" s="913"/>
      <c r="J52" s="913"/>
      <c r="K52" s="913"/>
      <c r="L52" s="913"/>
      <c r="M52" s="913"/>
      <c r="N52" s="1022"/>
      <c r="O52" s="386"/>
      <c r="P52" s="380"/>
      <c r="Q52" s="514"/>
    </row>
    <row r="53" spans="1:17" s="51" customFormat="1" ht="12.75" customHeight="1" x14ac:dyDescent="0.2">
      <c r="A53" s="50"/>
      <c r="B53" s="763">
        <v>3</v>
      </c>
      <c r="C53" s="913" t="s">
        <v>584</v>
      </c>
      <c r="D53" s="913"/>
      <c r="E53" s="913"/>
      <c r="F53" s="913"/>
      <c r="G53" s="913"/>
      <c r="H53" s="913"/>
      <c r="I53" s="913"/>
      <c r="J53" s="913"/>
      <c r="K53" s="913"/>
      <c r="L53" s="913"/>
      <c r="M53" s="913"/>
      <c r="N53" s="913"/>
      <c r="O53" s="386"/>
      <c r="P53" s="380"/>
      <c r="Q53" s="514"/>
    </row>
    <row r="54" spans="1:17" s="51" customFormat="1" x14ac:dyDescent="0.2">
      <c r="A54" s="50"/>
      <c r="B54" s="763"/>
      <c r="C54" s="913"/>
      <c r="D54" s="913"/>
      <c r="E54" s="913"/>
      <c r="F54" s="913"/>
      <c r="G54" s="913"/>
      <c r="H54" s="913"/>
      <c r="I54" s="913"/>
      <c r="J54" s="913"/>
      <c r="K54" s="913"/>
      <c r="L54" s="913"/>
      <c r="M54" s="913"/>
      <c r="N54" s="913"/>
      <c r="O54" s="386"/>
      <c r="P54" s="380"/>
      <c r="Q54" s="514"/>
    </row>
    <row r="55" spans="1:17" s="51" customFormat="1" ht="15.75" customHeight="1" x14ac:dyDescent="0.2">
      <c r="A55" s="50"/>
      <c r="B55" s="763"/>
      <c r="C55" s="913"/>
      <c r="D55" s="913"/>
      <c r="E55" s="913"/>
      <c r="F55" s="913"/>
      <c r="G55" s="913"/>
      <c r="H55" s="913"/>
      <c r="I55" s="913"/>
      <c r="J55" s="913"/>
      <c r="K55" s="913"/>
      <c r="L55" s="913"/>
      <c r="M55" s="913"/>
      <c r="N55" s="913"/>
      <c r="O55" s="386"/>
      <c r="P55" s="380"/>
      <c r="Q55" s="514"/>
    </row>
    <row r="56" spans="1:17" s="51" customFormat="1" x14ac:dyDescent="0.2">
      <c r="A56" s="50"/>
      <c r="B56" s="763"/>
      <c r="C56" s="913"/>
      <c r="D56" s="913"/>
      <c r="E56" s="913"/>
      <c r="F56" s="913"/>
      <c r="G56" s="913"/>
      <c r="H56" s="913"/>
      <c r="I56" s="913"/>
      <c r="J56" s="913"/>
      <c r="K56" s="913"/>
      <c r="L56" s="913"/>
      <c r="M56" s="913"/>
      <c r="N56" s="913"/>
      <c r="O56" s="386"/>
      <c r="P56" s="380"/>
      <c r="Q56" s="514"/>
    </row>
    <row r="57" spans="1:17" s="51" customFormat="1" x14ac:dyDescent="0.2">
      <c r="A57" s="50"/>
      <c r="B57" s="763">
        <v>4</v>
      </c>
      <c r="C57" s="992" t="s">
        <v>543</v>
      </c>
      <c r="D57" s="993"/>
      <c r="E57" s="993"/>
      <c r="F57" s="993"/>
      <c r="G57" s="993"/>
      <c r="H57" s="993"/>
      <c r="I57" s="993"/>
      <c r="J57" s="993"/>
      <c r="K57" s="993"/>
      <c r="L57" s="993"/>
      <c r="M57" s="993"/>
      <c r="N57" s="1013"/>
      <c r="O57" s="386"/>
      <c r="P57" s="380"/>
      <c r="Q57" s="514"/>
    </row>
    <row r="58" spans="1:17" s="51" customFormat="1" x14ac:dyDescent="0.2">
      <c r="A58" s="50"/>
      <c r="B58" s="764"/>
      <c r="C58" s="995"/>
      <c r="D58" s="1014"/>
      <c r="E58" s="1014"/>
      <c r="F58" s="1014"/>
      <c r="G58" s="1014"/>
      <c r="H58" s="1014"/>
      <c r="I58" s="1014"/>
      <c r="J58" s="1014"/>
      <c r="K58" s="1014"/>
      <c r="L58" s="1014"/>
      <c r="M58" s="1014"/>
      <c r="N58" s="1015"/>
      <c r="O58" s="386"/>
      <c r="P58" s="380"/>
      <c r="Q58" s="514"/>
    </row>
    <row r="59" spans="1:17" s="51" customFormat="1" x14ac:dyDescent="0.2">
      <c r="A59" s="50"/>
      <c r="B59" s="764"/>
      <c r="C59" s="995"/>
      <c r="D59" s="1014"/>
      <c r="E59" s="1014"/>
      <c r="F59" s="1014"/>
      <c r="G59" s="1014"/>
      <c r="H59" s="1014"/>
      <c r="I59" s="1014"/>
      <c r="J59" s="1014"/>
      <c r="K59" s="1014"/>
      <c r="L59" s="1014"/>
      <c r="M59" s="1014"/>
      <c r="N59" s="1015"/>
      <c r="O59" s="386"/>
      <c r="P59" s="380"/>
      <c r="Q59" s="514"/>
    </row>
    <row r="60" spans="1:17" s="51" customFormat="1" x14ac:dyDescent="0.2">
      <c r="A60" s="50"/>
      <c r="B60" s="764"/>
      <c r="C60" s="998"/>
      <c r="D60" s="999"/>
      <c r="E60" s="999"/>
      <c r="F60" s="999"/>
      <c r="G60" s="999"/>
      <c r="H60" s="999"/>
      <c r="I60" s="999"/>
      <c r="J60" s="999"/>
      <c r="K60" s="999"/>
      <c r="L60" s="999"/>
      <c r="M60" s="999"/>
      <c r="N60" s="1016"/>
      <c r="O60" s="386"/>
      <c r="P60" s="380"/>
      <c r="Q60" s="514"/>
    </row>
    <row r="61" spans="1:17" s="51" customFormat="1" x14ac:dyDescent="0.2">
      <c r="A61" s="50"/>
      <c r="B61" s="388">
        <v>5</v>
      </c>
      <c r="C61" s="914"/>
      <c r="D61" s="914"/>
      <c r="E61" s="914"/>
      <c r="F61" s="914"/>
      <c r="G61" s="914"/>
      <c r="H61" s="914"/>
      <c r="I61" s="914"/>
      <c r="J61" s="914"/>
      <c r="K61" s="914"/>
      <c r="L61" s="914"/>
      <c r="M61" s="914"/>
      <c r="N61" s="914"/>
      <c r="O61" s="386"/>
      <c r="P61" s="380"/>
      <c r="Q61" s="514"/>
    </row>
    <row r="62" spans="1:17" s="51" customFormat="1" x14ac:dyDescent="0.2">
      <c r="A62" s="50"/>
      <c r="B62" s="388"/>
      <c r="C62" s="914"/>
      <c r="D62" s="914"/>
      <c r="E62" s="914"/>
      <c r="F62" s="914"/>
      <c r="G62" s="914"/>
      <c r="H62" s="914"/>
      <c r="I62" s="914"/>
      <c r="J62" s="914"/>
      <c r="K62" s="914"/>
      <c r="L62" s="914"/>
      <c r="M62" s="914"/>
      <c r="N62" s="914"/>
      <c r="O62" s="386"/>
      <c r="P62" s="380"/>
      <c r="Q62" s="514"/>
    </row>
    <row r="63" spans="1:17" s="51" customFormat="1" x14ac:dyDescent="0.2">
      <c r="A63" s="50"/>
      <c r="B63" s="388"/>
      <c r="C63" s="914"/>
      <c r="D63" s="914"/>
      <c r="E63" s="914"/>
      <c r="F63" s="914"/>
      <c r="G63" s="914"/>
      <c r="H63" s="914"/>
      <c r="I63" s="914"/>
      <c r="J63" s="914"/>
      <c r="K63" s="914"/>
      <c r="L63" s="914"/>
      <c r="M63" s="914"/>
      <c r="N63" s="914"/>
      <c r="O63" s="386"/>
      <c r="P63" s="380"/>
      <c r="Q63" s="514"/>
    </row>
    <row r="64" spans="1:17" s="51" customFormat="1" x14ac:dyDescent="0.2">
      <c r="A64" s="50"/>
      <c r="B64" s="388"/>
      <c r="C64" s="914"/>
      <c r="D64" s="914"/>
      <c r="E64" s="914"/>
      <c r="F64" s="914"/>
      <c r="G64" s="914"/>
      <c r="H64" s="914"/>
      <c r="I64" s="914"/>
      <c r="J64" s="914"/>
      <c r="K64" s="914"/>
      <c r="L64" s="914"/>
      <c r="M64" s="914"/>
      <c r="N64" s="914"/>
      <c r="O64" s="386"/>
      <c r="P64" s="380"/>
      <c r="Q64" s="514"/>
    </row>
    <row r="65" spans="1:17" x14ac:dyDescent="0.2">
      <c r="A65" s="397"/>
      <c r="B65" s="387"/>
      <c r="C65" s="387"/>
      <c r="D65" s="387"/>
      <c r="E65" s="387"/>
      <c r="F65" s="387"/>
      <c r="G65" s="387"/>
      <c r="H65" s="387"/>
      <c r="I65" s="387"/>
      <c r="J65" s="387"/>
      <c r="K65" s="387"/>
      <c r="L65" s="387"/>
      <c r="M65" s="387"/>
      <c r="N65" s="387"/>
      <c r="O65" s="390"/>
      <c r="P65" s="387"/>
      <c r="Q65" s="172"/>
    </row>
    <row r="66" spans="1:17" ht="13.5" thickBot="1" x14ac:dyDescent="0.25">
      <c r="A66" s="177"/>
      <c r="B66" s="62"/>
      <c r="C66" s="62"/>
      <c r="D66" s="62"/>
      <c r="E66" s="62"/>
      <c r="F66" s="62"/>
      <c r="G66" s="62"/>
      <c r="H66" s="62"/>
      <c r="I66" s="62"/>
      <c r="J66" s="62"/>
      <c r="K66" s="62"/>
      <c r="L66" s="62"/>
      <c r="M66" s="62"/>
      <c r="N66" s="62"/>
      <c r="O66" s="178"/>
      <c r="P66" s="62"/>
      <c r="Q66" s="180"/>
    </row>
  </sheetData>
  <sheetProtection algorithmName="SHA-512" hashValue="kCY3GQfs/VvDHQqHGEpfQIAiOZk6DkiDum+/WPErJN3k461vhHRrS5F1U36t5Jagzi4SDCIFCj059Q0ofrf7Kw==" saltValue="5NVuLKA/oiAy70z3oNZwHw==" spinCount="100000" sheet="1" objects="1" scenarios="1"/>
  <mergeCells count="22">
    <mergeCell ref="C49:N52"/>
    <mergeCell ref="C53:N56"/>
    <mergeCell ref="C57:N60"/>
    <mergeCell ref="C61:N64"/>
    <mergeCell ref="B25:P25"/>
    <mergeCell ref="B26:P26"/>
    <mergeCell ref="B27:P27"/>
    <mergeCell ref="B30:P30"/>
    <mergeCell ref="B31:P31"/>
    <mergeCell ref="C45:N48"/>
    <mergeCell ref="B22:P22"/>
    <mergeCell ref="D5:E5"/>
    <mergeCell ref="I5:J5"/>
    <mergeCell ref="D6:E6"/>
    <mergeCell ref="I6:J6"/>
    <mergeCell ref="H11:I12"/>
    <mergeCell ref="J11:J12"/>
    <mergeCell ref="B17:P17"/>
    <mergeCell ref="B18:P18"/>
    <mergeCell ref="B19:P19"/>
    <mergeCell ref="B20:P20"/>
    <mergeCell ref="B21:P21"/>
  </mergeCells>
  <pageMargins left="0.7" right="0.7" top="0.75" bottom="0.75" header="0.3" footer="0.3"/>
  <pageSetup scale="59" fitToHeight="0" orientation="landscape" useFirstPageNumber="1" r:id="rId1"/>
  <headerFooter scaleWithDoc="0" alignWithMargins="0">
    <oddHeader>&amp;C&amp;8 Bridge-Scour Envelope Curve Template</oddHeader>
    <oddFooter>&amp;C&amp;A&amp;RPage  &amp;P  of  &amp;N</oddFooter>
  </headerFooter>
  <rowBreaks count="1" manualBreakCount="1">
    <brk id="43"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151"/>
  <sheetViews>
    <sheetView zoomScaleNormal="100" zoomScaleSheetLayoutView="70" workbookViewId="0">
      <selection activeCell="J8" sqref="J8"/>
    </sheetView>
  </sheetViews>
  <sheetFormatPr defaultRowHeight="12.75" x14ac:dyDescent="0.2"/>
  <cols>
    <col min="1" max="1" width="10.28515625" customWidth="1"/>
    <col min="2" max="5" width="11.7109375" customWidth="1"/>
    <col min="6" max="6" width="16.85546875" style="9" customWidth="1"/>
    <col min="8" max="8" width="17.85546875" style="9" customWidth="1"/>
    <col min="10" max="10" width="11.28515625" customWidth="1"/>
    <col min="12" max="12" width="8.85546875" style="283"/>
    <col min="13" max="18" width="8.85546875" style="187"/>
  </cols>
  <sheetData>
    <row r="1" spans="1:10" ht="20.25" x14ac:dyDescent="0.3">
      <c r="A1" s="1059" t="s">
        <v>602</v>
      </c>
      <c r="B1" s="1059"/>
      <c r="C1" s="1059"/>
      <c r="D1" s="1059"/>
      <c r="E1" s="1059"/>
      <c r="F1" s="1059"/>
      <c r="G1" s="1059"/>
      <c r="H1" s="1059"/>
      <c r="I1" s="1059"/>
      <c r="J1" s="1059"/>
    </row>
    <row r="2" spans="1:10" x14ac:dyDescent="0.2">
      <c r="A2" s="1058" t="s">
        <v>557</v>
      </c>
      <c r="B2" s="1058"/>
      <c r="C2" s="1058"/>
      <c r="D2" s="1058"/>
      <c r="E2" s="1058"/>
      <c r="F2" s="1058"/>
      <c r="G2" s="1058"/>
      <c r="H2" s="1058"/>
      <c r="I2" s="1058"/>
      <c r="J2" s="1058"/>
    </row>
    <row r="3" spans="1:10" ht="15" customHeight="1" x14ac:dyDescent="0.2">
      <c r="A3" s="1058"/>
      <c r="B3" s="1058"/>
      <c r="C3" s="1058"/>
      <c r="D3" s="1058"/>
      <c r="E3" s="1058"/>
      <c r="F3" s="1058"/>
      <c r="G3" s="1058"/>
      <c r="H3" s="1058"/>
      <c r="I3" s="1058"/>
      <c r="J3" s="1058"/>
    </row>
    <row r="4" spans="1:10" ht="13.5" thickBot="1" x14ac:dyDescent="0.25"/>
    <row r="5" spans="1:10" ht="19.5" thickTop="1" thickBot="1" x14ac:dyDescent="0.3">
      <c r="A5" s="1065" t="s">
        <v>55</v>
      </c>
      <c r="B5" s="1066"/>
      <c r="C5" s="1066"/>
      <c r="D5" s="1066"/>
      <c r="E5" s="1066"/>
      <c r="F5" s="1066"/>
      <c r="G5" s="1066"/>
      <c r="H5" s="1066"/>
      <c r="I5" s="1066"/>
      <c r="J5" s="1067"/>
    </row>
    <row r="6" spans="1:10" ht="13.5" thickTop="1" x14ac:dyDescent="0.2">
      <c r="A6" s="17"/>
      <c r="B6" s="3"/>
      <c r="C6" s="3"/>
      <c r="D6" s="3"/>
      <c r="E6" s="3"/>
      <c r="F6" s="11"/>
      <c r="G6" s="3"/>
      <c r="H6" s="11"/>
      <c r="I6" s="3"/>
      <c r="J6" s="16"/>
    </row>
    <row r="7" spans="1:10" ht="30" customHeight="1" x14ac:dyDescent="0.25">
      <c r="A7" s="1063" t="s">
        <v>523</v>
      </c>
      <c r="B7" s="1061"/>
      <c r="C7" s="1061"/>
      <c r="D7" s="1061"/>
      <c r="E7" s="1061"/>
      <c r="F7" s="1061"/>
      <c r="G7" s="1061"/>
      <c r="H7" s="1061"/>
      <c r="I7" s="1061"/>
      <c r="J7" s="1064"/>
    </row>
    <row r="8" spans="1:10" x14ac:dyDescent="0.2">
      <c r="A8" s="17"/>
      <c r="B8" s="3"/>
      <c r="C8" s="3"/>
      <c r="D8" s="3"/>
      <c r="E8" s="3"/>
      <c r="F8" s="11"/>
      <c r="G8" s="3"/>
      <c r="H8" s="11"/>
      <c r="I8" s="3"/>
      <c r="J8" s="16"/>
    </row>
    <row r="9" spans="1:10" x14ac:dyDescent="0.2">
      <c r="A9" s="17"/>
      <c r="B9" s="3"/>
      <c r="C9" s="3"/>
      <c r="D9" s="3"/>
      <c r="E9" s="3"/>
      <c r="F9" s="18" t="s">
        <v>4</v>
      </c>
      <c r="G9" s="3"/>
      <c r="H9" s="18" t="s">
        <v>5</v>
      </c>
      <c r="I9" s="3"/>
      <c r="J9" s="16"/>
    </row>
    <row r="10" spans="1:10" x14ac:dyDescent="0.2">
      <c r="A10" s="17"/>
      <c r="B10" s="33"/>
      <c r="C10" s="34"/>
      <c r="D10" s="34"/>
      <c r="E10" s="34"/>
      <c r="F10" s="46"/>
      <c r="G10" s="34"/>
      <c r="H10" s="46"/>
      <c r="I10" s="36"/>
      <c r="J10" s="16"/>
    </row>
    <row r="11" spans="1:10" ht="15" customHeight="1" x14ac:dyDescent="0.25">
      <c r="A11" s="17"/>
      <c r="B11" s="37" t="s">
        <v>21</v>
      </c>
      <c r="C11" s="3"/>
      <c r="D11" s="3"/>
      <c r="E11" s="32" t="s">
        <v>79</v>
      </c>
      <c r="F11" s="15" t="str">
        <f>IF('CW Abutment Scour'!K54="No Data","N/A",IF('CW Abutment Scour'!K54&lt;=426,0.0338*'CW Abutment Scour'!K54,((0.00131*('CW Abutment Scour'!K54-426))+14.4)))</f>
        <v>N/A</v>
      </c>
      <c r="G11" s="19" t="s">
        <v>7</v>
      </c>
      <c r="H11" s="15" t="str">
        <f>IF('CW Abutment Scour'!N54="No Data","N/A",IF('CW Abutment Scour'!N54&lt;=426,0.0338*'CW Abutment Scour'!N54,((0.00131*('CW Abutment Scour'!N54-426))+14.4)))</f>
        <v>N/A</v>
      </c>
      <c r="I11" s="38" t="s">
        <v>7</v>
      </c>
      <c r="J11" s="16"/>
    </row>
    <row r="12" spans="1:10" ht="15" customHeight="1" x14ac:dyDescent="0.2">
      <c r="A12" s="17"/>
      <c r="B12" s="39"/>
      <c r="C12" s="3"/>
      <c r="D12" s="3"/>
      <c r="E12" s="32" t="s">
        <v>78</v>
      </c>
      <c r="F12" s="14" t="str">
        <f>'CW Abutment Scour'!K54</f>
        <v>No Data</v>
      </c>
      <c r="G12" s="4" t="s">
        <v>7</v>
      </c>
      <c r="H12" s="14" t="str">
        <f>'CW Abutment Scour'!N54</f>
        <v>No Data</v>
      </c>
      <c r="I12" s="47" t="s">
        <v>7</v>
      </c>
      <c r="J12" s="16"/>
    </row>
    <row r="13" spans="1:10" ht="15" customHeight="1" x14ac:dyDescent="0.2">
      <c r="A13" s="17"/>
      <c r="B13" s="39"/>
      <c r="C13" s="3"/>
      <c r="D13" s="3"/>
      <c r="E13" s="32" t="s">
        <v>75</v>
      </c>
      <c r="F13" s="15" t="str">
        <f>+IF('CW Abutment Scour'!K54&gt;7440,"OUTSIDE RANGE",IF((AND('CW Abutment Scour'!K54&gt;2000,'CW Abutment Scour'!K54&lt;=7440)),"CAUTION","OK"))</f>
        <v>OUTSIDE RANGE</v>
      </c>
      <c r="G13" s="19"/>
      <c r="H13" s="15" t="str">
        <f>+IF('CW Abutment Scour'!N54&gt;7440,"OUTSIDE RANGE",IF((AND('CW Abutment Scour'!N54&gt;2000,'CW Abutment Scour'!N54&lt;=7440)),"CAUTION","OK"))</f>
        <v>OUTSIDE RANGE</v>
      </c>
      <c r="I13" s="38"/>
      <c r="J13" s="16"/>
    </row>
    <row r="14" spans="1:10" ht="15" customHeight="1" x14ac:dyDescent="0.2">
      <c r="A14" s="17"/>
      <c r="B14" s="39"/>
      <c r="C14" s="3"/>
      <c r="D14" s="3"/>
      <c r="E14" s="3"/>
      <c r="F14" s="20"/>
      <c r="G14" s="19"/>
      <c r="H14" s="20"/>
      <c r="I14" s="38"/>
      <c r="J14" s="16"/>
    </row>
    <row r="15" spans="1:10" ht="15" customHeight="1" x14ac:dyDescent="0.2">
      <c r="A15" s="17"/>
      <c r="B15" s="39"/>
      <c r="C15" s="3"/>
      <c r="D15" s="40" t="s">
        <v>76</v>
      </c>
      <c r="E15" s="3"/>
      <c r="F15" s="20"/>
      <c r="G15" s="19"/>
      <c r="H15" s="20"/>
      <c r="I15" s="38"/>
      <c r="J15" s="16"/>
    </row>
    <row r="16" spans="1:10" ht="15" customHeight="1" x14ac:dyDescent="0.2">
      <c r="A16" s="17"/>
      <c r="B16" s="39"/>
      <c r="C16" s="3"/>
      <c r="D16" s="4" t="s">
        <v>185</v>
      </c>
      <c r="E16" s="3"/>
      <c r="F16" s="20"/>
      <c r="G16" s="19"/>
      <c r="H16" s="20"/>
      <c r="I16" s="38"/>
      <c r="J16" s="16"/>
    </row>
    <row r="17" spans="1:10" ht="15" customHeight="1" x14ac:dyDescent="0.2">
      <c r="A17" s="17"/>
      <c r="B17" s="39"/>
      <c r="C17" s="3"/>
      <c r="D17" s="4" t="s">
        <v>77</v>
      </c>
      <c r="E17" s="3"/>
      <c r="F17" s="20"/>
      <c r="G17" s="19"/>
      <c r="H17" s="20"/>
      <c r="I17" s="38"/>
      <c r="J17" s="16"/>
    </row>
    <row r="18" spans="1:10" ht="15" customHeight="1" x14ac:dyDescent="0.2">
      <c r="A18" s="17"/>
      <c r="B18" s="41"/>
      <c r="C18" s="42"/>
      <c r="D18" s="43" t="s">
        <v>190</v>
      </c>
      <c r="E18" s="42"/>
      <c r="F18" s="31"/>
      <c r="G18" s="44"/>
      <c r="H18" s="31"/>
      <c r="I18" s="45"/>
      <c r="J18" s="16"/>
    </row>
    <row r="19" spans="1:10" ht="15" customHeight="1" x14ac:dyDescent="0.2">
      <c r="A19" s="17"/>
      <c r="B19" s="3"/>
      <c r="C19" s="3"/>
      <c r="D19" s="5"/>
      <c r="E19" s="3"/>
      <c r="F19" s="20"/>
      <c r="G19" s="19"/>
      <c r="H19" s="20"/>
      <c r="I19" s="3"/>
      <c r="J19" s="16"/>
    </row>
    <row r="20" spans="1:10" ht="15" customHeight="1" x14ac:dyDescent="0.2">
      <c r="A20" s="17"/>
      <c r="B20" s="33"/>
      <c r="C20" s="34"/>
      <c r="D20" s="34"/>
      <c r="E20" s="34"/>
      <c r="F20" s="29"/>
      <c r="G20" s="35"/>
      <c r="H20" s="29"/>
      <c r="I20" s="36"/>
      <c r="J20" s="16"/>
    </row>
    <row r="21" spans="1:10" ht="15" customHeight="1" x14ac:dyDescent="0.25">
      <c r="A21" s="17"/>
      <c r="B21" s="37" t="s">
        <v>26</v>
      </c>
      <c r="C21" s="3"/>
      <c r="D21" s="3"/>
      <c r="E21" s="32" t="s">
        <v>79</v>
      </c>
      <c r="F21" s="15" t="str">
        <f>IF('CW Abutment Scour'!K54="No Data","N/A",(-0.000009*('CW Abutment Scour'!K54^2))+(0.0276*'CW Abutment Scour'!K54))</f>
        <v>N/A</v>
      </c>
      <c r="G21" s="19" t="s">
        <v>7</v>
      </c>
      <c r="H21" s="15" t="str">
        <f>IF('CW Abutment Scour'!N54="No Data","N/A",((-0.000009*('CW Abutment Scour'!N54^2))+(0.0276*'CW Abutment Scour'!N54)))</f>
        <v>N/A</v>
      </c>
      <c r="I21" s="38" t="s">
        <v>7</v>
      </c>
      <c r="J21" s="16"/>
    </row>
    <row r="22" spans="1:10" ht="15" customHeight="1" x14ac:dyDescent="0.25">
      <c r="A22" s="17"/>
      <c r="B22" s="37"/>
      <c r="C22" s="3"/>
      <c r="D22" s="3"/>
      <c r="E22" s="32" t="s">
        <v>78</v>
      </c>
      <c r="F22" s="15" t="str">
        <f>'CW Abutment Scour'!K54</f>
        <v>No Data</v>
      </c>
      <c r="G22" s="19"/>
      <c r="H22" s="15" t="str">
        <f>'CW Abutment Scour'!N54</f>
        <v>No Data</v>
      </c>
      <c r="I22" s="38"/>
      <c r="J22" s="16"/>
    </row>
    <row r="23" spans="1:10" x14ac:dyDescent="0.2">
      <c r="A23" s="17"/>
      <c r="B23" s="39"/>
      <c r="C23" s="3"/>
      <c r="D23" s="3"/>
      <c r="E23" s="32" t="s">
        <v>75</v>
      </c>
      <c r="F23" s="15" t="str">
        <f>+IF('CW Abutment Scour'!K54&gt;950,"OUTSIDE RANGE","OK")</f>
        <v>OUTSIDE RANGE</v>
      </c>
      <c r="G23" s="19"/>
      <c r="H23" s="15" t="str">
        <f>+IF('CW Abutment Scour'!N54&gt;950,"OUTSIDE RANGE","OK")</f>
        <v>OUTSIDE RANGE</v>
      </c>
      <c r="I23" s="38"/>
      <c r="J23" s="16"/>
    </row>
    <row r="24" spans="1:10" x14ac:dyDescent="0.2">
      <c r="A24" s="17"/>
      <c r="B24" s="39"/>
      <c r="C24" s="3"/>
      <c r="D24" s="3"/>
      <c r="E24" s="3"/>
      <c r="F24" s="30"/>
      <c r="G24" s="19"/>
      <c r="H24" s="30"/>
      <c r="I24" s="38"/>
      <c r="J24" s="16"/>
    </row>
    <row r="25" spans="1:10" x14ac:dyDescent="0.2">
      <c r="A25" s="17"/>
      <c r="B25" s="39"/>
      <c r="C25" s="3"/>
      <c r="D25" s="40" t="s">
        <v>76</v>
      </c>
      <c r="E25" s="3"/>
      <c r="F25" s="20"/>
      <c r="G25" s="19"/>
      <c r="H25" s="20"/>
      <c r="I25" s="38"/>
      <c r="J25" s="16"/>
    </row>
    <row r="26" spans="1:10" x14ac:dyDescent="0.2">
      <c r="A26" s="17"/>
      <c r="B26" s="39"/>
      <c r="C26" s="3"/>
      <c r="D26" s="4" t="s">
        <v>186</v>
      </c>
      <c r="E26" s="3"/>
      <c r="F26" s="20"/>
      <c r="G26" s="19"/>
      <c r="H26" s="20"/>
      <c r="I26" s="38"/>
      <c r="J26" s="16"/>
    </row>
    <row r="27" spans="1:10" x14ac:dyDescent="0.2">
      <c r="A27" s="17"/>
      <c r="B27" s="41"/>
      <c r="C27" s="42"/>
      <c r="D27" s="43" t="s">
        <v>189</v>
      </c>
      <c r="E27" s="42"/>
      <c r="F27" s="31"/>
      <c r="G27" s="44"/>
      <c r="H27" s="31"/>
      <c r="I27" s="45"/>
      <c r="J27" s="16"/>
    </row>
    <row r="28" spans="1:10" x14ac:dyDescent="0.2">
      <c r="A28" s="17"/>
      <c r="B28" s="3"/>
      <c r="C28" s="3"/>
      <c r="D28" s="5"/>
      <c r="E28" s="3"/>
      <c r="F28" s="20"/>
      <c r="G28" s="19"/>
      <c r="H28" s="20"/>
      <c r="I28" s="3"/>
      <c r="J28" s="16"/>
    </row>
    <row r="29" spans="1:10" x14ac:dyDescent="0.2">
      <c r="A29" s="17"/>
      <c r="B29" s="3"/>
      <c r="C29" s="3"/>
      <c r="D29" s="5"/>
      <c r="E29" s="3"/>
      <c r="F29" s="20"/>
      <c r="G29" s="19"/>
      <c r="H29" s="20"/>
      <c r="I29" s="3"/>
      <c r="J29" s="16"/>
    </row>
    <row r="30" spans="1:10" x14ac:dyDescent="0.2">
      <c r="A30" s="17"/>
      <c r="B30" s="3"/>
      <c r="C30" s="3"/>
      <c r="D30" s="3"/>
      <c r="E30" s="3"/>
      <c r="F30" s="20"/>
      <c r="G30" s="19"/>
      <c r="H30" s="20"/>
      <c r="I30" s="3"/>
      <c r="J30" s="16"/>
    </row>
    <row r="31" spans="1:10" ht="30" customHeight="1" x14ac:dyDescent="0.25">
      <c r="A31" s="1063" t="s">
        <v>637</v>
      </c>
      <c r="B31" s="1061"/>
      <c r="C31" s="1061"/>
      <c r="D31" s="1061"/>
      <c r="E31" s="1061"/>
      <c r="F31" s="1061"/>
      <c r="G31" s="1061"/>
      <c r="H31" s="1061"/>
      <c r="I31" s="1061"/>
      <c r="J31" s="1064"/>
    </row>
    <row r="32" spans="1:10" x14ac:dyDescent="0.2">
      <c r="A32" s="17"/>
      <c r="B32" s="3"/>
      <c r="C32" s="3"/>
      <c r="D32" s="3"/>
      <c r="E32" s="3"/>
      <c r="F32" s="20"/>
      <c r="G32" s="19"/>
      <c r="H32" s="20"/>
      <c r="I32" s="3"/>
      <c r="J32" s="16"/>
    </row>
    <row r="33" spans="1:10" x14ac:dyDescent="0.2">
      <c r="A33" s="17"/>
      <c r="B33" s="3"/>
      <c r="C33" s="3"/>
      <c r="D33" s="3"/>
      <c r="E33" s="3"/>
      <c r="F33" s="18" t="s">
        <v>4</v>
      </c>
      <c r="G33" s="3"/>
      <c r="H33" s="18" t="s">
        <v>5</v>
      </c>
      <c r="I33" s="3"/>
      <c r="J33" s="16"/>
    </row>
    <row r="34" spans="1:10" x14ac:dyDescent="0.2">
      <c r="A34" s="17"/>
      <c r="B34" s="33"/>
      <c r="C34" s="34"/>
      <c r="D34" s="34"/>
      <c r="E34" s="34"/>
      <c r="F34" s="30"/>
      <c r="G34" s="35"/>
      <c r="H34" s="30"/>
      <c r="I34" s="36"/>
      <c r="J34" s="16"/>
    </row>
    <row r="35" spans="1:10" ht="15" customHeight="1" x14ac:dyDescent="0.25">
      <c r="A35" s="17"/>
      <c r="B35" s="37" t="s">
        <v>21</v>
      </c>
      <c r="C35" s="3"/>
      <c r="D35" s="3"/>
      <c r="E35" s="32" t="s">
        <v>79</v>
      </c>
      <c r="F35" s="15" t="str">
        <f>IF('CW Abutment Scour'!J25="No Data","N/A",((29.62*('CW Abutment Scour'!J25^3))-(10.182*('CW Abutment Scour'!J25^2))+(5.538*'CW Abutment Scour'!J25)))</f>
        <v>N/A</v>
      </c>
      <c r="G35" s="19" t="s">
        <v>7</v>
      </c>
      <c r="H35" s="15" t="str">
        <f>IF('CW Abutment Scour'!J25="No Data","N/A",((29.62*('CW Abutment Scour'!J25^3))-(10.182*('CW Abutment Scour'!J25^2))+(5.538*'CW Abutment Scour'!J25)))</f>
        <v>N/A</v>
      </c>
      <c r="I35" s="38" t="s">
        <v>7</v>
      </c>
      <c r="J35" s="16"/>
    </row>
    <row r="36" spans="1:10" ht="15" customHeight="1" x14ac:dyDescent="0.2">
      <c r="A36" s="17"/>
      <c r="B36" s="39"/>
      <c r="C36" s="3"/>
      <c r="D36" s="3"/>
      <c r="E36" s="32" t="s">
        <v>81</v>
      </c>
      <c r="F36" s="13" t="str">
        <f>'CW Abutment Scour'!J25</f>
        <v>No Data</v>
      </c>
      <c r="G36" s="48"/>
      <c r="H36" s="13" t="str">
        <f>'CW Abutment Scour'!J25</f>
        <v>No Data</v>
      </c>
      <c r="I36" s="38"/>
      <c r="J36" s="16"/>
    </row>
    <row r="37" spans="1:10" ht="15" customHeight="1" x14ac:dyDescent="0.2">
      <c r="A37" s="17"/>
      <c r="B37" s="39"/>
      <c r="C37" s="3"/>
      <c r="D37" s="3"/>
      <c r="E37" s="32" t="s">
        <v>80</v>
      </c>
      <c r="F37" s="15" t="str">
        <f>+IF('CW Abutment Scour'!J25&gt;0.98,"OUTSIDE RANGE",IF((AND('CW Abutment Scour'!J25&gt;0.9,'CW Abutment Scour'!J25&lt;=0.98)),"CAUTION","OK"))</f>
        <v>OUTSIDE RANGE</v>
      </c>
      <c r="G37" s="19"/>
      <c r="H37" s="15" t="str">
        <f>+IF('CW Abutment Scour'!J25&gt;0.98,"OUTSIDE RANGE",IF((AND('CW Abutment Scour'!J25&gt;0.9,'CW Abutment Scour'!J25&lt;=0.98)),"CAUTION","OK"))</f>
        <v>OUTSIDE RANGE</v>
      </c>
      <c r="I37" s="38"/>
      <c r="J37" s="16"/>
    </row>
    <row r="38" spans="1:10" ht="15" customHeight="1" x14ac:dyDescent="0.2">
      <c r="A38" s="17"/>
      <c r="B38" s="39"/>
      <c r="C38" s="3"/>
      <c r="D38" s="3"/>
      <c r="E38" s="3"/>
      <c r="F38" s="30"/>
      <c r="G38" s="19"/>
      <c r="H38" s="30"/>
      <c r="I38" s="38"/>
      <c r="J38" s="16"/>
    </row>
    <row r="39" spans="1:10" ht="15" customHeight="1" x14ac:dyDescent="0.2">
      <c r="A39" s="17"/>
      <c r="B39" s="39"/>
      <c r="C39" s="3"/>
      <c r="D39" s="40" t="s">
        <v>76</v>
      </c>
      <c r="E39" s="3"/>
      <c r="F39" s="20"/>
      <c r="G39" s="19"/>
      <c r="H39" s="20"/>
      <c r="I39" s="38"/>
      <c r="J39" s="16"/>
    </row>
    <row r="40" spans="1:10" ht="15" customHeight="1" x14ac:dyDescent="0.2">
      <c r="A40" s="17"/>
      <c r="B40" s="39"/>
      <c r="C40" s="3"/>
      <c r="D40" s="4" t="s">
        <v>187</v>
      </c>
      <c r="E40" s="3"/>
      <c r="F40" s="20"/>
      <c r="G40" s="19"/>
      <c r="H40" s="20"/>
      <c r="I40" s="38"/>
      <c r="J40" s="16"/>
    </row>
    <row r="41" spans="1:10" ht="15" customHeight="1" x14ac:dyDescent="0.2">
      <c r="A41" s="17"/>
      <c r="B41" s="39"/>
      <c r="C41" s="3"/>
      <c r="D41" s="4" t="s">
        <v>82</v>
      </c>
      <c r="E41" s="3"/>
      <c r="F41" s="20"/>
      <c r="G41" s="19"/>
      <c r="H41" s="20"/>
      <c r="I41" s="38"/>
      <c r="J41" s="16"/>
    </row>
    <row r="42" spans="1:10" ht="15" customHeight="1" x14ac:dyDescent="0.2">
      <c r="A42" s="17"/>
      <c r="B42" s="41"/>
      <c r="C42" s="42"/>
      <c r="D42" s="43" t="s">
        <v>188</v>
      </c>
      <c r="E42" s="42"/>
      <c r="F42" s="31"/>
      <c r="G42" s="44"/>
      <c r="H42" s="31"/>
      <c r="I42" s="45"/>
      <c r="J42" s="16"/>
    </row>
    <row r="43" spans="1:10" ht="15" customHeight="1" x14ac:dyDescent="0.2">
      <c r="A43" s="17"/>
      <c r="B43" s="3"/>
      <c r="C43" s="3"/>
      <c r="D43" s="3"/>
      <c r="E43" s="3"/>
      <c r="F43" s="20"/>
      <c r="G43" s="19"/>
      <c r="H43" s="20"/>
      <c r="I43" s="3"/>
      <c r="J43" s="16"/>
    </row>
    <row r="44" spans="1:10" ht="15" customHeight="1" x14ac:dyDescent="0.2">
      <c r="A44" s="17"/>
      <c r="B44" s="33"/>
      <c r="C44" s="34"/>
      <c r="D44" s="34"/>
      <c r="E44" s="34"/>
      <c r="F44" s="29"/>
      <c r="G44" s="35"/>
      <c r="H44" s="29"/>
      <c r="I44" s="36"/>
      <c r="J44" s="16"/>
    </row>
    <row r="45" spans="1:10" ht="15" customHeight="1" x14ac:dyDescent="0.25">
      <c r="A45" s="17"/>
      <c r="B45" s="37" t="s">
        <v>26</v>
      </c>
      <c r="C45" s="3"/>
      <c r="D45" s="3"/>
      <c r="E45" s="32" t="s">
        <v>79</v>
      </c>
      <c r="F45" s="15" t="str">
        <f>IF('CW Abutment Scour'!J25="No Data","N/A",(19.96*('CW Abutment Scour'!J25^2))+(6.163*'CW Abutment Scour'!J25))</f>
        <v>N/A</v>
      </c>
      <c r="G45" s="19" t="s">
        <v>7</v>
      </c>
      <c r="H45" s="15" t="str">
        <f>IF('CW Abutment Scour'!J25="No Data","N/A",(19.96*('CW Abutment Scour'!J25^2))+(6.163*'CW Abutment Scour'!J25))</f>
        <v>N/A</v>
      </c>
      <c r="I45" s="38" t="s">
        <v>7</v>
      </c>
      <c r="J45" s="16"/>
    </row>
    <row r="46" spans="1:10" ht="15" customHeight="1" x14ac:dyDescent="0.2">
      <c r="A46" s="17"/>
      <c r="B46" s="39"/>
      <c r="C46" s="3"/>
      <c r="D46" s="3"/>
      <c r="E46" s="32" t="s">
        <v>81</v>
      </c>
      <c r="F46" s="13" t="str">
        <f>'CW Abutment Scour'!J25</f>
        <v>No Data</v>
      </c>
      <c r="G46" s="48"/>
      <c r="H46" s="13" t="str">
        <f>'CW Abutment Scour'!J25</f>
        <v>No Data</v>
      </c>
      <c r="I46" s="38"/>
      <c r="J46" s="16"/>
    </row>
    <row r="47" spans="1:10" ht="15" customHeight="1" x14ac:dyDescent="0.2">
      <c r="A47" s="17"/>
      <c r="B47" s="39"/>
      <c r="C47" s="3"/>
      <c r="D47" s="3"/>
      <c r="E47" s="32" t="s">
        <v>80</v>
      </c>
      <c r="F47" s="15" t="str">
        <f>+IF('CW Abutment Scour'!J25&gt;0.86,"OUTSIDE RANGE",IF((AND('CW Abutment Scour'!J25&gt;0.82,'CW Abutment Scour'!J25&lt;=0.86)),"CAUTION","OK"))</f>
        <v>OUTSIDE RANGE</v>
      </c>
      <c r="G47" s="19"/>
      <c r="H47" s="15" t="str">
        <f>+IF('CW Abutment Scour'!J25&gt;0.86,"OUTSIDE RANGE",IF((AND('CW Abutment Scour'!J25&gt;0.82,'CW Abutment Scour'!J25&lt;=0.86)),"CAUTION","OK"))</f>
        <v>OUTSIDE RANGE</v>
      </c>
      <c r="I47" s="38"/>
      <c r="J47" s="16"/>
    </row>
    <row r="48" spans="1:10" ht="15" customHeight="1" x14ac:dyDescent="0.2">
      <c r="A48" s="17"/>
      <c r="B48" s="39"/>
      <c r="C48" s="3"/>
      <c r="D48" s="3"/>
      <c r="E48" s="3"/>
      <c r="F48" s="30"/>
      <c r="G48" s="19"/>
      <c r="H48" s="30"/>
      <c r="I48" s="38"/>
      <c r="J48" s="16"/>
    </row>
    <row r="49" spans="1:17" ht="15" customHeight="1" x14ac:dyDescent="0.2">
      <c r="A49" s="17"/>
      <c r="B49" s="39"/>
      <c r="C49" s="3"/>
      <c r="D49" s="40" t="s">
        <v>76</v>
      </c>
      <c r="E49" s="3"/>
      <c r="F49" s="20"/>
      <c r="G49" s="19"/>
      <c r="H49" s="20"/>
      <c r="I49" s="38"/>
      <c r="J49" s="16"/>
    </row>
    <row r="50" spans="1:17" ht="15" customHeight="1" x14ac:dyDescent="0.2">
      <c r="A50" s="17"/>
      <c r="B50" s="39"/>
      <c r="C50" s="3"/>
      <c r="D50" s="4" t="s">
        <v>191</v>
      </c>
      <c r="E50" s="3"/>
      <c r="F50" s="20"/>
      <c r="G50" s="19"/>
      <c r="H50" s="20"/>
      <c r="I50" s="38"/>
      <c r="J50" s="16"/>
    </row>
    <row r="51" spans="1:17" ht="15" customHeight="1" x14ac:dyDescent="0.2">
      <c r="A51" s="17"/>
      <c r="B51" s="39"/>
      <c r="C51" s="3"/>
      <c r="D51" s="4" t="s">
        <v>83</v>
      </c>
      <c r="E51" s="3"/>
      <c r="F51" s="20"/>
      <c r="G51" s="19"/>
      <c r="H51" s="20"/>
      <c r="I51" s="38"/>
      <c r="J51" s="16"/>
    </row>
    <row r="52" spans="1:17" ht="15" customHeight="1" x14ac:dyDescent="0.2">
      <c r="A52" s="17"/>
      <c r="B52" s="41"/>
      <c r="C52" s="42"/>
      <c r="D52" s="43" t="s">
        <v>192</v>
      </c>
      <c r="E52" s="42"/>
      <c r="F52" s="31"/>
      <c r="G52" s="44"/>
      <c r="H52" s="31"/>
      <c r="I52" s="45"/>
      <c r="J52" s="16"/>
    </row>
    <row r="53" spans="1:17" ht="15" customHeight="1" thickBot="1" x14ac:dyDescent="0.25">
      <c r="A53" s="325"/>
      <c r="B53" s="323"/>
      <c r="C53" s="323"/>
      <c r="D53" s="323"/>
      <c r="E53" s="323"/>
      <c r="F53" s="326"/>
      <c r="G53" s="327"/>
      <c r="H53" s="326"/>
      <c r="I53" s="323"/>
      <c r="J53" s="328"/>
    </row>
    <row r="54" spans="1:17" x14ac:dyDescent="0.2">
      <c r="A54" s="329"/>
      <c r="B54" s="330"/>
      <c r="C54" s="330"/>
      <c r="D54" s="330"/>
      <c r="E54" s="330"/>
      <c r="F54" s="331"/>
      <c r="G54" s="332"/>
      <c r="H54" s="331"/>
      <c r="I54" s="330"/>
      <c r="J54" s="333"/>
    </row>
    <row r="55" spans="1:17" ht="30" customHeight="1" x14ac:dyDescent="0.25">
      <c r="A55" s="1060" t="s">
        <v>524</v>
      </c>
      <c r="B55" s="1061"/>
      <c r="C55" s="1061"/>
      <c r="D55" s="1061"/>
      <c r="E55" s="1061"/>
      <c r="F55" s="1061"/>
      <c r="G55" s="1061"/>
      <c r="H55" s="1061"/>
      <c r="I55" s="1061"/>
      <c r="J55" s="1062"/>
    </row>
    <row r="56" spans="1:17" x14ac:dyDescent="0.2">
      <c r="A56" s="321"/>
      <c r="B56" s="3"/>
      <c r="C56" s="3"/>
      <c r="D56" s="3"/>
      <c r="E56" s="3"/>
      <c r="F56" s="20"/>
      <c r="G56" s="19"/>
      <c r="H56" s="20"/>
      <c r="I56" s="3"/>
      <c r="J56" s="320"/>
    </row>
    <row r="57" spans="1:17" x14ac:dyDescent="0.2">
      <c r="A57" s="321"/>
      <c r="B57" s="3"/>
      <c r="C57" s="3"/>
      <c r="D57" s="3"/>
      <c r="E57" s="3"/>
      <c r="F57" s="18" t="s">
        <v>4</v>
      </c>
      <c r="G57" s="3"/>
      <c r="H57" s="18" t="s">
        <v>5</v>
      </c>
      <c r="I57" s="3"/>
      <c r="J57" s="320"/>
      <c r="O57" s="284"/>
      <c r="Q57" s="284"/>
    </row>
    <row r="58" spans="1:17" x14ac:dyDescent="0.2">
      <c r="A58" s="321"/>
      <c r="B58" s="33"/>
      <c r="C58" s="34"/>
      <c r="D58" s="34"/>
      <c r="E58" s="34"/>
      <c r="F58" s="46"/>
      <c r="G58" s="34"/>
      <c r="H58" s="46"/>
      <c r="I58" s="36"/>
      <c r="J58" s="320"/>
    </row>
    <row r="59" spans="1:17" ht="15.75" x14ac:dyDescent="0.25">
      <c r="A59" s="321"/>
      <c r="B59" s="37" t="s">
        <v>21</v>
      </c>
      <c r="C59" s="3"/>
      <c r="D59" s="3"/>
      <c r="E59" s="3"/>
      <c r="F59" s="11"/>
      <c r="G59" s="19"/>
      <c r="H59" s="11"/>
      <c r="I59" s="375"/>
      <c r="J59" s="320"/>
    </row>
    <row r="60" spans="1:17" x14ac:dyDescent="0.2">
      <c r="A60" s="321"/>
      <c r="B60" s="39"/>
      <c r="C60" s="3"/>
      <c r="D60" s="3"/>
      <c r="E60" s="376" t="s">
        <v>296</v>
      </c>
      <c r="F60" s="13" t="str">
        <f>IF(F64&gt;500,"N/A",IF(F66&gt;0.9,"N/A",IF(AND(F64&gt;=0,F64&lt;=100),H73,IF(AND(F64&gt;100,F64&lt;=200),H74,IF(AND(F64&gt;200,F64&lt;=300),H75,IF(AND(F64&gt;300,F64&lt;=400),H76,IF(AND(F64&gt;400,F64&lt;=500),H77)))))))</f>
        <v>N/A</v>
      </c>
      <c r="G60" s="48" t="s">
        <v>7</v>
      </c>
      <c r="H60" s="13" t="str">
        <f>IF(H64&gt;500,"N/A",IF(F66&gt;0.9,"N/A",IF(AND(H64&gt;=0,H64&lt;=100),H73,IF(AND(H64&gt;100,H64&lt;=200),H74,IF(AND(H64&gt;200,H64&lt;=300),H75,IF(AND(H64&gt;300,H64&lt;=400),H76,IF(AND(H64&gt;400,H64&lt;=500),H77)))))))</f>
        <v>N/A</v>
      </c>
      <c r="I60" s="375" t="s">
        <v>7</v>
      </c>
      <c r="J60" s="320"/>
    </row>
    <row r="61" spans="1:17" ht="15" customHeight="1" x14ac:dyDescent="0.2">
      <c r="A61" s="321"/>
      <c r="B61" s="39"/>
      <c r="C61" s="3"/>
      <c r="D61" s="3"/>
      <c r="E61" s="376" t="s">
        <v>297</v>
      </c>
      <c r="F61" s="15" t="str">
        <f>IF(F60="N/A",F60,IF(F60&lt;=F35,F60,F35))</f>
        <v>N/A</v>
      </c>
      <c r="G61" s="19" t="s">
        <v>7</v>
      </c>
      <c r="H61" s="15" t="str">
        <f>IF(H60="N/A",H60,IF(H60&lt;=H35,H60,H35))</f>
        <v>N/A</v>
      </c>
      <c r="I61" s="375" t="s">
        <v>7</v>
      </c>
      <c r="J61" s="320"/>
      <c r="L61" s="188"/>
    </row>
    <row r="62" spans="1:17" ht="15" customHeight="1" x14ac:dyDescent="0.25">
      <c r="A62" s="321"/>
      <c r="B62" s="37"/>
      <c r="C62" s="3"/>
      <c r="D62" s="3"/>
      <c r="E62" s="376" t="s">
        <v>298</v>
      </c>
      <c r="F62" s="15" t="str">
        <f>IF(F64&gt;500,"N/A",IF(F66&gt;0.9,"N/A",IF(F64=500,H77,IF(F64&lt;500,INDEX(E72:H77,MATCH(F64,E72:E77,1),4)+(F64-INDEX(E72:H77,MATCH(F64,E72:E77,1),1))*(INDEX(E72:H77,MATCH(F64,E72:E77,1)+1,4)-INDEX(E72:H77,MATCH(F64,E72:E77,1),4))/(INDEX(E72:H77,MATCH(F64,E72:E77,1)+1,1)-INDEX(E72:H77,MATCH(F64,E72:E77,1),1))))))</f>
        <v>N/A</v>
      </c>
      <c r="G62" s="19" t="s">
        <v>7</v>
      </c>
      <c r="H62" s="15" t="str">
        <f>IF(H64&gt;500,"N/A",IF(F66&gt;0.9,"N/A",IF(H64=500,H77,IF(H64&lt;500,INDEX(E72:H77,MATCH(H64,E72:E77,1),4)+(H64-INDEX(E72:H77,MATCH(H64,E72:E77,1),1))*(INDEX(E72:H77,MATCH(H64,E72:E77,1)+1,4)-INDEX(E72:H77,MATCH(H64,E72:E77,1),4))/(INDEX(E72:H77,MATCH(H64,E72:E77,1)+1,1)-INDEX(E72:H77,MATCH(H64,E72:E77,1),1))))))</f>
        <v>N/A</v>
      </c>
      <c r="I62" s="374" t="s">
        <v>7</v>
      </c>
      <c r="J62" s="320"/>
      <c r="L62" s="188"/>
    </row>
    <row r="63" spans="1:17" ht="15" customHeight="1" x14ac:dyDescent="0.25">
      <c r="A63" s="321"/>
      <c r="B63" s="37"/>
      <c r="C63" s="3"/>
      <c r="D63" s="3"/>
      <c r="E63" s="376" t="s">
        <v>299</v>
      </c>
      <c r="F63" s="15" t="str">
        <f>IF(F62="N/A",F62,IF(F62&lt;=F35,F62,F35))</f>
        <v>N/A</v>
      </c>
      <c r="G63" s="19" t="s">
        <v>7</v>
      </c>
      <c r="H63" s="15" t="str">
        <f>IF(H62="N/A",H62,IF(H62&lt;=H35,H62,H35))</f>
        <v>N/A</v>
      </c>
      <c r="I63" s="375" t="s">
        <v>7</v>
      </c>
      <c r="J63" s="320"/>
    </row>
    <row r="64" spans="1:17" ht="15" customHeight="1" x14ac:dyDescent="0.2">
      <c r="A64" s="321"/>
      <c r="B64" s="39"/>
      <c r="C64" s="3"/>
      <c r="D64" s="3"/>
      <c r="E64" s="32" t="s">
        <v>78</v>
      </c>
      <c r="F64" s="14" t="str">
        <f>'CW Abutment Scour'!K54</f>
        <v>No Data</v>
      </c>
      <c r="G64" s="19" t="s">
        <v>7</v>
      </c>
      <c r="H64" s="14" t="str">
        <f>'CW Abutment Scour'!N54</f>
        <v>No Data</v>
      </c>
      <c r="I64" s="375" t="s">
        <v>7</v>
      </c>
      <c r="J64" s="320"/>
      <c r="L64" s="371"/>
      <c r="M64" s="284"/>
      <c r="N64" s="189"/>
    </row>
    <row r="65" spans="1:22" ht="15" customHeight="1" x14ac:dyDescent="0.2">
      <c r="A65" s="321"/>
      <c r="B65" s="39"/>
      <c r="C65" s="3"/>
      <c r="D65" s="3"/>
      <c r="E65" s="32" t="s">
        <v>75</v>
      </c>
      <c r="F65" s="15" t="str">
        <f>+IF(F64&gt;500,"OUTSIDE RANGE","OK")</f>
        <v>OUTSIDE RANGE</v>
      </c>
      <c r="G65" s="19"/>
      <c r="H65" s="15" t="str">
        <f>+IF(H64&gt;500,"OUTSIDE RANGE","OK")</f>
        <v>OUTSIDE RANGE</v>
      </c>
      <c r="I65" s="38"/>
      <c r="J65" s="320"/>
    </row>
    <row r="66" spans="1:22" ht="15" customHeight="1" x14ac:dyDescent="0.2">
      <c r="A66" s="321"/>
      <c r="B66" s="39"/>
      <c r="C66" s="3"/>
      <c r="D66" s="3"/>
      <c r="E66" s="32" t="s">
        <v>81</v>
      </c>
      <c r="F66" s="13" t="str">
        <f>'CW Abutment Scour'!J25</f>
        <v>No Data</v>
      </c>
      <c r="G66" s="48"/>
      <c r="H66" s="13" t="str">
        <f>'CW Abutment Scour'!J25</f>
        <v>No Data</v>
      </c>
      <c r="I66" s="38"/>
      <c r="J66" s="320"/>
      <c r="O66" s="285"/>
    </row>
    <row r="67" spans="1:22" ht="15" customHeight="1" x14ac:dyDescent="0.2">
      <c r="A67" s="321"/>
      <c r="B67" s="39"/>
      <c r="C67" s="3"/>
      <c r="D67" s="3"/>
      <c r="E67" s="32" t="s">
        <v>80</v>
      </c>
      <c r="F67" s="15" t="str">
        <f>+IF(F66&gt;0.9,"OUTSIDE RANGE","OK")</f>
        <v>OUTSIDE RANGE</v>
      </c>
      <c r="G67" s="19"/>
      <c r="H67" s="15" t="str">
        <f>+IF(H66&gt;0.9,"OUTSIDE RANGE","OK")</f>
        <v>OUTSIDE RANGE</v>
      </c>
      <c r="I67" s="38"/>
      <c r="J67" s="320"/>
      <c r="O67" s="285"/>
      <c r="V67" s="2"/>
    </row>
    <row r="68" spans="1:22" ht="15" customHeight="1" x14ac:dyDescent="0.2">
      <c r="A68" s="321"/>
      <c r="B68" s="39"/>
      <c r="C68" s="3"/>
      <c r="D68" s="3"/>
      <c r="E68" s="32"/>
      <c r="F68" s="20"/>
      <c r="G68" s="19"/>
      <c r="H68" s="20"/>
      <c r="I68" s="38"/>
      <c r="J68" s="320"/>
      <c r="O68" s="285"/>
      <c r="V68" s="2"/>
    </row>
    <row r="69" spans="1:22" ht="15" customHeight="1" x14ac:dyDescent="0.2">
      <c r="A69" s="321"/>
      <c r="B69" s="39"/>
      <c r="C69" s="3"/>
      <c r="D69" s="3"/>
      <c r="E69" s="3"/>
      <c r="F69" s="20"/>
      <c r="G69" s="19"/>
      <c r="H69" s="20"/>
      <c r="I69" s="38"/>
      <c r="J69" s="320"/>
      <c r="O69" s="285"/>
      <c r="V69" s="2"/>
    </row>
    <row r="70" spans="1:22" ht="15" customHeight="1" thickBot="1" x14ac:dyDescent="0.25">
      <c r="A70" s="321"/>
      <c r="B70" s="39"/>
      <c r="C70" s="3"/>
      <c r="D70" s="3"/>
      <c r="E70" s="7" t="s">
        <v>199</v>
      </c>
      <c r="F70" s="19"/>
      <c r="G70" s="3"/>
      <c r="H70" s="20"/>
      <c r="I70" s="38"/>
      <c r="J70" s="320"/>
      <c r="O70" s="285"/>
    </row>
    <row r="71" spans="1:22" ht="39" thickBot="1" x14ac:dyDescent="0.25">
      <c r="A71" s="321"/>
      <c r="B71" s="39"/>
      <c r="C71" s="3"/>
      <c r="D71" s="3"/>
      <c r="E71" s="279" t="s">
        <v>201</v>
      </c>
      <c r="F71" s="280" t="s">
        <v>659</v>
      </c>
      <c r="G71" s="282" t="s">
        <v>660</v>
      </c>
      <c r="H71" s="281" t="s">
        <v>200</v>
      </c>
      <c r="I71" s="38"/>
      <c r="J71" s="320"/>
    </row>
    <row r="72" spans="1:22" x14ac:dyDescent="0.2">
      <c r="A72" s="321"/>
      <c r="B72" s="39"/>
      <c r="C72" s="3"/>
      <c r="D72" s="3"/>
      <c r="E72" s="272">
        <v>0</v>
      </c>
      <c r="F72" s="852">
        <v>0</v>
      </c>
      <c r="G72" s="854">
        <v>0</v>
      </c>
      <c r="H72" s="273">
        <v>0</v>
      </c>
      <c r="I72" s="38"/>
      <c r="J72" s="320"/>
    </row>
    <row r="73" spans="1:22" ht="15" customHeight="1" x14ac:dyDescent="0.2">
      <c r="A73" s="321"/>
      <c r="B73" s="39"/>
      <c r="C73" s="3"/>
      <c r="D73" s="4"/>
      <c r="E73" s="274">
        <v>100</v>
      </c>
      <c r="F73" s="13">
        <v>0.252033536</v>
      </c>
      <c r="G73" s="13" t="str">
        <f>IF($F$66&gt;=F73,$F$66,F73)</f>
        <v>No Data</v>
      </c>
      <c r="H73" s="275" t="str">
        <f>IF(G73="No Data","N/A",4.64*(G73^2)-1.99*G73+1.43)</f>
        <v>N/A</v>
      </c>
      <c r="I73" s="38"/>
      <c r="J73" s="320"/>
    </row>
    <row r="74" spans="1:22" ht="15" customHeight="1" x14ac:dyDescent="0.2">
      <c r="A74" s="321"/>
      <c r="B74" s="39"/>
      <c r="C74" s="3"/>
      <c r="D74" s="4"/>
      <c r="E74" s="274">
        <v>200</v>
      </c>
      <c r="F74" s="13">
        <v>0.49633337799999999</v>
      </c>
      <c r="G74" s="13" t="str">
        <f t="shared" ref="G74:G77" si="0">IF($F$66&gt;=F74,$F$66,F74)</f>
        <v>No Data</v>
      </c>
      <c r="H74" s="275" t="str">
        <f>IF(G74="No Data","N/A",9.12*(G74^2)-5.55*G74+4.37)</f>
        <v>N/A</v>
      </c>
      <c r="I74" s="38"/>
      <c r="J74" s="320"/>
    </row>
    <row r="75" spans="1:22" ht="15" customHeight="1" x14ac:dyDescent="0.2">
      <c r="A75" s="321"/>
      <c r="B75" s="39"/>
      <c r="C75" s="3"/>
      <c r="D75" s="4"/>
      <c r="E75" s="274">
        <v>300</v>
      </c>
      <c r="F75" s="13">
        <v>0.64860682599999997</v>
      </c>
      <c r="G75" s="13" t="str">
        <f t="shared" si="0"/>
        <v>No Data</v>
      </c>
      <c r="H75" s="275" t="str">
        <f>IF(G75="No Data","N/A",13.14*(G75^2)-9.57*G75+8.07)</f>
        <v>N/A</v>
      </c>
      <c r="I75" s="38"/>
      <c r="J75" s="320"/>
    </row>
    <row r="76" spans="1:22" ht="15" customHeight="1" x14ac:dyDescent="0.2">
      <c r="A76" s="321"/>
      <c r="B76" s="39"/>
      <c r="C76" s="3"/>
      <c r="D76" s="3"/>
      <c r="E76" s="276">
        <v>400</v>
      </c>
      <c r="F76" s="13">
        <v>0.75663660399999999</v>
      </c>
      <c r="G76" s="13" t="str">
        <f t="shared" si="0"/>
        <v>No Data</v>
      </c>
      <c r="H76" s="275" t="str">
        <f>IF(G76="No Data","N/A",21.3*(G76^2)-19.22*G76+13.54)</f>
        <v>N/A</v>
      </c>
      <c r="I76" s="38"/>
      <c r="J76" s="320"/>
    </row>
    <row r="77" spans="1:22" ht="15" customHeight="1" thickBot="1" x14ac:dyDescent="0.25">
      <c r="A77" s="321"/>
      <c r="B77" s="39"/>
      <c r="C77" s="3"/>
      <c r="D77" s="3"/>
      <c r="E77" s="277">
        <v>500</v>
      </c>
      <c r="F77" s="853">
        <v>0.83730087099999995</v>
      </c>
      <c r="G77" s="853" t="str">
        <f t="shared" si="0"/>
        <v>No Data</v>
      </c>
      <c r="H77" s="278" t="str">
        <f>IF(G77="No Data","N/A",57.6*(G77^2)-77.53*G77+39.42)</f>
        <v>N/A</v>
      </c>
      <c r="I77" s="38"/>
      <c r="J77" s="320"/>
    </row>
    <row r="78" spans="1:22" ht="15" customHeight="1" x14ac:dyDescent="0.2">
      <c r="A78" s="321"/>
      <c r="B78" s="39"/>
      <c r="C78" s="3"/>
      <c r="D78" s="3"/>
      <c r="E78" s="3"/>
      <c r="F78" s="20"/>
      <c r="G78" s="19"/>
      <c r="H78" s="20"/>
      <c r="I78" s="38"/>
      <c r="J78" s="320"/>
    </row>
    <row r="79" spans="1:22" ht="15" customHeight="1" x14ac:dyDescent="0.2">
      <c r="A79" s="321"/>
      <c r="B79" s="39"/>
      <c r="C79" s="3"/>
      <c r="D79" s="40" t="s">
        <v>76</v>
      </c>
      <c r="E79" s="3"/>
      <c r="F79" s="20"/>
      <c r="G79" s="19"/>
      <c r="H79" s="20"/>
      <c r="I79" s="38"/>
      <c r="J79" s="320"/>
    </row>
    <row r="80" spans="1:22" ht="15" customHeight="1" x14ac:dyDescent="0.2">
      <c r="A80" s="321"/>
      <c r="B80" s="39"/>
      <c r="C80" s="3"/>
      <c r="D80" s="4" t="s">
        <v>193</v>
      </c>
      <c r="E80" s="3"/>
      <c r="F80" s="20"/>
      <c r="G80" s="19"/>
      <c r="H80" s="20"/>
      <c r="I80" s="38"/>
      <c r="J80" s="320"/>
    </row>
    <row r="81" spans="1:22" ht="15" customHeight="1" x14ac:dyDescent="0.2">
      <c r="A81" s="321"/>
      <c r="B81" s="39"/>
      <c r="C81" s="3"/>
      <c r="D81" s="5" t="s">
        <v>194</v>
      </c>
      <c r="E81" s="3"/>
      <c r="F81" s="20"/>
      <c r="G81" s="19"/>
      <c r="H81" s="20"/>
      <c r="I81" s="38"/>
      <c r="J81" s="320"/>
    </row>
    <row r="82" spans="1:22" ht="15" customHeight="1" x14ac:dyDescent="0.2">
      <c r="A82" s="321"/>
      <c r="B82" s="39"/>
      <c r="C82" s="3"/>
      <c r="D82" s="4" t="s">
        <v>195</v>
      </c>
      <c r="E82" s="3"/>
      <c r="F82" s="20"/>
      <c r="G82" s="19"/>
      <c r="H82" s="20"/>
      <c r="I82" s="38"/>
      <c r="J82" s="320"/>
    </row>
    <row r="83" spans="1:22" ht="15" customHeight="1" x14ac:dyDescent="0.2">
      <c r="A83" s="321"/>
      <c r="B83" s="41"/>
      <c r="C83" s="42"/>
      <c r="D83" s="43" t="s">
        <v>188</v>
      </c>
      <c r="E83" s="42"/>
      <c r="F83" s="31"/>
      <c r="G83" s="44"/>
      <c r="H83" s="31"/>
      <c r="I83" s="45"/>
      <c r="J83" s="320"/>
    </row>
    <row r="84" spans="1:22" ht="15" customHeight="1" x14ac:dyDescent="0.2">
      <c r="A84" s="321"/>
      <c r="B84" s="3"/>
      <c r="C84" s="3"/>
      <c r="D84" s="5"/>
      <c r="E84" s="3"/>
      <c r="F84" s="20"/>
      <c r="G84" s="19"/>
      <c r="H84" s="20"/>
      <c r="I84" s="3"/>
      <c r="J84" s="320"/>
    </row>
    <row r="85" spans="1:22" ht="15" customHeight="1" x14ac:dyDescent="0.2">
      <c r="A85" s="321"/>
      <c r="B85" s="33"/>
      <c r="C85" s="34"/>
      <c r="D85" s="34"/>
      <c r="E85" s="34"/>
      <c r="F85" s="30"/>
      <c r="G85" s="35"/>
      <c r="H85" s="30"/>
      <c r="I85" s="36"/>
      <c r="J85" s="320"/>
    </row>
    <row r="86" spans="1:22" ht="15" customHeight="1" x14ac:dyDescent="0.25">
      <c r="A86" s="321"/>
      <c r="B86" s="37" t="s">
        <v>26</v>
      </c>
      <c r="C86" s="3"/>
      <c r="D86" s="3"/>
      <c r="E86" s="3"/>
      <c r="F86" s="20"/>
      <c r="G86" s="19"/>
      <c r="H86" s="20"/>
      <c r="I86" s="38"/>
      <c r="J86" s="320"/>
    </row>
    <row r="87" spans="1:22" ht="15" customHeight="1" x14ac:dyDescent="0.2">
      <c r="A87" s="321"/>
      <c r="B87" s="39"/>
      <c r="C87" s="3"/>
      <c r="D87" s="3"/>
      <c r="E87" s="376" t="s">
        <v>296</v>
      </c>
      <c r="F87" s="15" t="str">
        <f>IF(F91&gt;500,"N/A",IF(F93&gt;0.85,"N/A",IF(AND(F91&gt;=0,F91&lt;=100),H100,IF(AND(F91&gt;100,F91&lt;=200),H101,IF(AND(F91&gt;200,F91&lt;=300),H102,IF(AND(F91&gt;300,F91&lt;=400),H103,IF(AND(F91&gt;400,F91&lt;=500),H104)))))))</f>
        <v>N/A</v>
      </c>
      <c r="G87" s="19" t="s">
        <v>7</v>
      </c>
      <c r="H87" s="15" t="str">
        <f>IF(H91&gt;500,"N/A",IF(F93&gt;0.85,"N/A",IF(AND(H91&gt;=0,H91&lt;=100),H100,IF(AND(H91&gt;100,H91&lt;=200),H101,IF(AND(H91&gt;200,H91&lt;=300),H102,IF(AND(H91&gt;300,H91&lt;=400),H103,IF(AND(H91&gt;400,H91&lt;=500),H104)))))))</f>
        <v>N/A</v>
      </c>
      <c r="I87" s="375" t="s">
        <v>7</v>
      </c>
      <c r="J87" s="320"/>
    </row>
    <row r="88" spans="1:22" ht="15" customHeight="1" x14ac:dyDescent="0.2">
      <c r="A88" s="321"/>
      <c r="B88" s="39"/>
      <c r="C88" s="3"/>
      <c r="D88" s="3"/>
      <c r="E88" s="376" t="s">
        <v>297</v>
      </c>
      <c r="F88" s="15" t="str">
        <f>IF(F87="N/A",F87,IF(F87&lt;=F45,F87,F45))</f>
        <v>N/A</v>
      </c>
      <c r="G88" s="19" t="s">
        <v>7</v>
      </c>
      <c r="H88" s="15" t="str">
        <f>IF(H87="N/A",H87,IF(H87&lt;=H45,H87,H45))</f>
        <v>N/A</v>
      </c>
      <c r="I88" s="375" t="s">
        <v>7</v>
      </c>
      <c r="J88" s="320"/>
      <c r="L88" s="188"/>
    </row>
    <row r="89" spans="1:22" ht="15" customHeight="1" x14ac:dyDescent="0.2">
      <c r="A89" s="321"/>
      <c r="B89" s="39"/>
      <c r="C89" s="3"/>
      <c r="D89" s="3"/>
      <c r="E89" s="376" t="s">
        <v>298</v>
      </c>
      <c r="F89" s="15" t="str">
        <f>IF(F91&gt;500,"N/A",IF(F93&gt;0.85,"N/A",IF(F91=500,H104,IF(F91&lt;500,INDEX(E99:H104,MATCH(F91,E99:E104,1),4)+(F91-INDEX(E99:H104,MATCH(F91,E99:E104,1),1))*(INDEX(E99:H104,MATCH(F91,E99:E104,1)+1,4)-INDEX(E99:H104,MATCH(F91,E99:E104,1),4))/(INDEX(E99:H104,MATCH(F91,E99:E104,1)+1,1)-INDEX(E99:H104,MATCH(F91,E99:E104,1),1))))))</f>
        <v>N/A</v>
      </c>
      <c r="G89" s="19" t="s">
        <v>7</v>
      </c>
      <c r="H89" s="15" t="str">
        <f>IF(H91&gt;500,"N/A",IF(F93&gt;0.85,"N/A",IF(H91=500,H104,IF(H91&lt;500,INDEX(E99:H104,MATCH(H91,E99:E104,1),4)+(H91-INDEX(E99:H104,MATCH(H91,E99:E104,1),1))*(INDEX(E99:H104,MATCH(H91,E99:E104,1)+1,4)-INDEX(E99:H104,MATCH(H91,E99:E104,1),4))/(INDEX(E99:H104,MATCH(H91,E99:E104,1)+1,1)-INDEX(E99:H104,MATCH(H91,E99:E104,1),1))))))</f>
        <v>N/A</v>
      </c>
      <c r="I89" s="375" t="s">
        <v>7</v>
      </c>
      <c r="J89" s="320"/>
      <c r="L89" s="188"/>
    </row>
    <row r="90" spans="1:22" ht="15" customHeight="1" x14ac:dyDescent="0.25">
      <c r="A90" s="321"/>
      <c r="B90" s="37"/>
      <c r="C90" s="3"/>
      <c r="D90" s="3"/>
      <c r="E90" s="376" t="s">
        <v>299</v>
      </c>
      <c r="F90" s="15" t="str">
        <f>IF(F89="N/A",F89,IF(F89&lt;=F45,F89,F45))</f>
        <v>N/A</v>
      </c>
      <c r="G90" s="19" t="s">
        <v>7</v>
      </c>
      <c r="H90" s="15" t="str">
        <f>IF(H89="N/A",H89,IF(H89&lt;=H45,H89,H45))</f>
        <v>N/A</v>
      </c>
      <c r="I90" s="375" t="s">
        <v>7</v>
      </c>
      <c r="J90" s="320"/>
    </row>
    <row r="91" spans="1:22" ht="15" customHeight="1" x14ac:dyDescent="0.2">
      <c r="A91" s="321"/>
      <c r="B91" s="39"/>
      <c r="C91" s="3"/>
      <c r="D91" s="3"/>
      <c r="E91" s="32" t="s">
        <v>78</v>
      </c>
      <c r="F91" s="14" t="str">
        <f>'CW Abutment Scour'!K54</f>
        <v>No Data</v>
      </c>
      <c r="G91" s="19" t="s">
        <v>7</v>
      </c>
      <c r="H91" s="14" t="str">
        <f>'CW Abutment Scour'!N54</f>
        <v>No Data</v>
      </c>
      <c r="I91" s="375" t="s">
        <v>7</v>
      </c>
      <c r="J91" s="320"/>
      <c r="N91" s="189"/>
    </row>
    <row r="92" spans="1:22" ht="15" customHeight="1" x14ac:dyDescent="0.2">
      <c r="A92" s="321"/>
      <c r="B92" s="39"/>
      <c r="C92" s="3"/>
      <c r="D92" s="3"/>
      <c r="E92" s="32" t="s">
        <v>75</v>
      </c>
      <c r="F92" s="15" t="str">
        <f>+IF(F91&gt;500,"OUTSIDE RANGE","OK")</f>
        <v>OUTSIDE RANGE</v>
      </c>
      <c r="G92" s="19"/>
      <c r="H92" s="15" t="str">
        <f>+IF(H91&gt;500,"OUTSIDE RANGE","OK")</f>
        <v>OUTSIDE RANGE</v>
      </c>
      <c r="I92" s="38"/>
      <c r="J92" s="320"/>
    </row>
    <row r="93" spans="1:22" ht="15" customHeight="1" x14ac:dyDescent="0.2">
      <c r="A93" s="321"/>
      <c r="B93" s="39"/>
      <c r="C93" s="3"/>
      <c r="D93" s="3"/>
      <c r="E93" s="32" t="s">
        <v>81</v>
      </c>
      <c r="F93" s="13" t="str">
        <f>'CW Abutment Scour'!J25</f>
        <v>No Data</v>
      </c>
      <c r="G93" s="48"/>
      <c r="H93" s="13" t="str">
        <f>'CW Abutment Scour'!J25</f>
        <v>No Data</v>
      </c>
      <c r="I93" s="38"/>
      <c r="J93" s="320"/>
      <c r="O93" s="285"/>
    </row>
    <row r="94" spans="1:22" ht="15" customHeight="1" x14ac:dyDescent="0.2">
      <c r="A94" s="321"/>
      <c r="B94" s="39"/>
      <c r="C94" s="3"/>
      <c r="D94" s="3"/>
      <c r="E94" s="32" t="s">
        <v>80</v>
      </c>
      <c r="F94" s="15" t="str">
        <f>+IF(F93&gt;0.85,"OUTSIDE RANGE","OK")</f>
        <v>OUTSIDE RANGE</v>
      </c>
      <c r="G94" s="19"/>
      <c r="H94" s="15" t="str">
        <f>+IF(H93&gt;0.85,"OUTSIDE RANGE","OK")</f>
        <v>OUTSIDE RANGE</v>
      </c>
      <c r="I94" s="38"/>
      <c r="J94" s="320"/>
      <c r="O94" s="285"/>
      <c r="V94" s="2"/>
    </row>
    <row r="95" spans="1:22" ht="15" customHeight="1" x14ac:dyDescent="0.2">
      <c r="A95" s="321"/>
      <c r="B95" s="39"/>
      <c r="C95" s="3"/>
      <c r="D95" s="3"/>
      <c r="E95" s="32"/>
      <c r="F95" s="20"/>
      <c r="G95" s="19"/>
      <c r="H95" s="20"/>
      <c r="I95" s="38"/>
      <c r="J95" s="320"/>
      <c r="O95" s="285"/>
      <c r="V95" s="2"/>
    </row>
    <row r="96" spans="1:22" ht="15" customHeight="1" x14ac:dyDescent="0.2">
      <c r="A96" s="321"/>
      <c r="B96" s="39"/>
      <c r="C96" s="3"/>
      <c r="D96" s="3"/>
      <c r="E96" s="3"/>
      <c r="F96" s="20"/>
      <c r="G96" s="19"/>
      <c r="H96" s="20"/>
      <c r="I96" s="38"/>
      <c r="J96" s="320"/>
      <c r="O96" s="285"/>
      <c r="V96" s="2"/>
    </row>
    <row r="97" spans="1:15" ht="15" customHeight="1" thickBot="1" x14ac:dyDescent="0.25">
      <c r="A97" s="321"/>
      <c r="B97" s="39"/>
      <c r="C97" s="3"/>
      <c r="D97" s="3"/>
      <c r="E97" s="7" t="s">
        <v>199</v>
      </c>
      <c r="F97" s="19"/>
      <c r="G97" s="3"/>
      <c r="H97" s="20"/>
      <c r="I97" s="38"/>
      <c r="J97" s="320"/>
      <c r="O97" s="285"/>
    </row>
    <row r="98" spans="1:15" ht="39" thickBot="1" x14ac:dyDescent="0.25">
      <c r="A98" s="321"/>
      <c r="B98" s="39"/>
      <c r="C98" s="3"/>
      <c r="D98" s="3"/>
      <c r="E98" s="279" t="s">
        <v>201</v>
      </c>
      <c r="F98" s="280" t="s">
        <v>659</v>
      </c>
      <c r="G98" s="282" t="s">
        <v>660</v>
      </c>
      <c r="H98" s="281" t="s">
        <v>200</v>
      </c>
      <c r="I98" s="38"/>
      <c r="J98" s="320"/>
    </row>
    <row r="99" spans="1:15" x14ac:dyDescent="0.2">
      <c r="A99" s="321"/>
      <c r="B99" s="39"/>
      <c r="C99" s="3"/>
      <c r="D99" s="3"/>
      <c r="E99" s="272">
        <v>0</v>
      </c>
      <c r="F99" s="852">
        <v>0</v>
      </c>
      <c r="G99" s="854">
        <v>0</v>
      </c>
      <c r="H99" s="273">
        <v>0</v>
      </c>
      <c r="I99" s="38"/>
      <c r="J99" s="320"/>
    </row>
    <row r="100" spans="1:15" ht="15" customHeight="1" x14ac:dyDescent="0.2">
      <c r="A100" s="321"/>
      <c r="B100" s="39"/>
      <c r="C100" s="3"/>
      <c r="D100" s="4"/>
      <c r="E100" s="274">
        <v>100</v>
      </c>
      <c r="F100" s="13">
        <v>0.135752821</v>
      </c>
      <c r="G100" s="13" t="str">
        <f>IF($F$66&gt;=F100,$F$66,F100)</f>
        <v>No Data</v>
      </c>
      <c r="H100" s="275" t="str">
        <f>IF(G100="No Data","N/A",3.27*(G100^2)-1.12*G100+1.29)</f>
        <v>N/A</v>
      </c>
      <c r="I100" s="38"/>
      <c r="J100" s="320"/>
    </row>
    <row r="101" spans="1:15" ht="15" customHeight="1" x14ac:dyDescent="0.2">
      <c r="A101" s="321"/>
      <c r="B101" s="39"/>
      <c r="C101" s="3"/>
      <c r="D101" s="4"/>
      <c r="E101" s="274">
        <v>200</v>
      </c>
      <c r="F101" s="13">
        <v>0.25491753499999997</v>
      </c>
      <c r="G101" s="13" t="str">
        <f t="shared" ref="G101:G104" si="1">IF($F$66&gt;=F101,$F$66,F101)</f>
        <v>No Data</v>
      </c>
      <c r="H101" s="275" t="str">
        <f>IF(G100="No Data","N/A",6.27*(G101^2)-2.83*G101+3.16)</f>
        <v>N/A</v>
      </c>
      <c r="I101" s="38"/>
      <c r="J101" s="320"/>
    </row>
    <row r="102" spans="1:15" ht="15" customHeight="1" x14ac:dyDescent="0.2">
      <c r="A102" s="321"/>
      <c r="B102" s="39"/>
      <c r="C102" s="3"/>
      <c r="D102" s="4"/>
      <c r="E102" s="274">
        <v>300</v>
      </c>
      <c r="F102" s="13">
        <v>0.34329210100000002</v>
      </c>
      <c r="G102" s="13" t="str">
        <f t="shared" si="1"/>
        <v>No Data</v>
      </c>
      <c r="H102" s="275" t="str">
        <f>IF(G100="No Data","N/A",8.33*(G102^2)-4.06*G102+4.84)</f>
        <v>N/A</v>
      </c>
      <c r="I102" s="38"/>
      <c r="J102" s="320"/>
    </row>
    <row r="103" spans="1:15" ht="15" customHeight="1" x14ac:dyDescent="0.2">
      <c r="A103" s="321"/>
      <c r="B103" s="39"/>
      <c r="C103" s="3"/>
      <c r="D103" s="3"/>
      <c r="E103" s="276">
        <v>400</v>
      </c>
      <c r="F103" s="13">
        <v>0.42347301900000001</v>
      </c>
      <c r="G103" s="13" t="str">
        <f t="shared" si="1"/>
        <v>No Data</v>
      </c>
      <c r="H103" s="275" t="str">
        <f>IF(G100="No Data","N/A",11.54*(G103^2)-6.78*G103+6.93)</f>
        <v>N/A</v>
      </c>
      <c r="I103" s="38"/>
      <c r="J103" s="320"/>
    </row>
    <row r="104" spans="1:15" ht="15" customHeight="1" thickBot="1" x14ac:dyDescent="0.25">
      <c r="A104" s="321"/>
      <c r="B104" s="39"/>
      <c r="C104" s="3"/>
      <c r="D104" s="3"/>
      <c r="E104" s="277">
        <v>500</v>
      </c>
      <c r="F104" s="853">
        <v>0.50251833000000001</v>
      </c>
      <c r="G104" s="853" t="str">
        <f t="shared" si="1"/>
        <v>No Data</v>
      </c>
      <c r="H104" s="278" t="str">
        <f>IF(G100="No Data","N/A",15.38*(G104^2)-10.83*G104+9.61)</f>
        <v>N/A</v>
      </c>
      <c r="I104" s="38"/>
      <c r="J104" s="320"/>
    </row>
    <row r="105" spans="1:15" ht="15" customHeight="1" x14ac:dyDescent="0.2">
      <c r="A105" s="321"/>
      <c r="B105" s="39"/>
      <c r="C105" s="3"/>
      <c r="D105" s="3"/>
      <c r="E105" s="3"/>
      <c r="F105" s="20"/>
      <c r="G105" s="19"/>
      <c r="H105" s="20"/>
      <c r="I105" s="38"/>
      <c r="J105" s="320"/>
    </row>
    <row r="106" spans="1:15" x14ac:dyDescent="0.2">
      <c r="A106" s="321"/>
      <c r="B106" s="39"/>
      <c r="C106" s="3"/>
      <c r="D106" s="40" t="s">
        <v>76</v>
      </c>
      <c r="E106" s="3"/>
      <c r="F106" s="20"/>
      <c r="G106" s="19"/>
      <c r="H106" s="20"/>
      <c r="I106" s="38"/>
      <c r="J106" s="320"/>
    </row>
    <row r="107" spans="1:15" x14ac:dyDescent="0.2">
      <c r="A107" s="321"/>
      <c r="B107" s="39"/>
      <c r="C107" s="3"/>
      <c r="D107" s="4" t="s">
        <v>193</v>
      </c>
      <c r="E107" s="3"/>
      <c r="F107" s="20"/>
      <c r="G107" s="19"/>
      <c r="H107" s="20"/>
      <c r="I107" s="38"/>
      <c r="J107" s="320"/>
    </row>
    <row r="108" spans="1:15" ht="15" customHeight="1" x14ac:dyDescent="0.2">
      <c r="A108" s="321"/>
      <c r="B108" s="39"/>
      <c r="C108" s="3"/>
      <c r="D108" s="5" t="s">
        <v>194</v>
      </c>
      <c r="E108" s="3"/>
      <c r="F108" s="20"/>
      <c r="G108" s="19"/>
      <c r="H108" s="20"/>
      <c r="I108" s="38"/>
      <c r="J108" s="320"/>
    </row>
    <row r="109" spans="1:15" ht="15" customHeight="1" x14ac:dyDescent="0.2">
      <c r="A109" s="321"/>
      <c r="B109" s="39"/>
      <c r="C109" s="3"/>
      <c r="D109" s="4" t="s">
        <v>198</v>
      </c>
      <c r="E109" s="3"/>
      <c r="F109" s="20"/>
      <c r="G109" s="19"/>
      <c r="H109" s="20"/>
      <c r="I109" s="38"/>
      <c r="J109" s="320"/>
    </row>
    <row r="110" spans="1:15" ht="15" customHeight="1" x14ac:dyDescent="0.2">
      <c r="A110" s="321"/>
      <c r="B110" s="41"/>
      <c r="C110" s="42"/>
      <c r="D110" s="43" t="s">
        <v>197</v>
      </c>
      <c r="E110" s="42"/>
      <c r="F110" s="31"/>
      <c r="G110" s="44"/>
      <c r="H110" s="31"/>
      <c r="I110" s="45"/>
      <c r="J110" s="320"/>
    </row>
    <row r="111" spans="1:15" x14ac:dyDescent="0.2">
      <c r="A111" s="321"/>
      <c r="B111" s="3"/>
      <c r="C111" s="3"/>
      <c r="D111" s="5"/>
      <c r="E111" s="3"/>
      <c r="F111" s="20"/>
      <c r="G111" s="19"/>
      <c r="H111" s="20"/>
      <c r="I111" s="3"/>
      <c r="J111" s="320"/>
    </row>
    <row r="112" spans="1:15" ht="15" customHeight="1" x14ac:dyDescent="0.2">
      <c r="A112" s="321"/>
      <c r="B112" s="3"/>
      <c r="C112" s="3"/>
      <c r="D112" s="3"/>
      <c r="E112" s="3"/>
      <c r="F112" s="20"/>
      <c r="G112" s="19"/>
      <c r="H112" s="20"/>
      <c r="I112" s="3"/>
      <c r="J112" s="320"/>
    </row>
    <row r="113" spans="1:12" ht="13.5" thickBot="1" x14ac:dyDescent="0.25">
      <c r="A113" s="322"/>
      <c r="B113" s="323"/>
      <c r="C113" s="323"/>
      <c r="D113" s="323"/>
      <c r="E113" s="323"/>
      <c r="F113" s="326"/>
      <c r="G113" s="327"/>
      <c r="H113" s="326"/>
      <c r="I113" s="323"/>
      <c r="J113" s="324"/>
    </row>
    <row r="114" spans="1:12" x14ac:dyDescent="0.2">
      <c r="F114" s="12"/>
      <c r="G114" s="10"/>
      <c r="H114" s="12"/>
      <c r="L114" s="188"/>
    </row>
    <row r="115" spans="1:12" ht="13.5" thickBot="1" x14ac:dyDescent="0.25">
      <c r="F115" s="12"/>
      <c r="G115" s="10"/>
      <c r="H115" s="12"/>
      <c r="L115" s="188"/>
    </row>
    <row r="116" spans="1:12" ht="33" customHeight="1" thickTop="1" thickBot="1" x14ac:dyDescent="0.3">
      <c r="A116" s="1047" t="s">
        <v>525</v>
      </c>
      <c r="B116" s="1048"/>
      <c r="C116" s="1048"/>
      <c r="D116" s="1048"/>
      <c r="E116" s="1048"/>
      <c r="F116" s="1048"/>
      <c r="G116" s="1048"/>
      <c r="H116" s="1048"/>
      <c r="I116" s="1048"/>
      <c r="J116" s="1049"/>
    </row>
    <row r="117" spans="1:12" ht="12.95" customHeight="1" thickTop="1" x14ac:dyDescent="0.25">
      <c r="A117" s="335"/>
      <c r="B117" s="26"/>
      <c r="C117" s="26"/>
      <c r="D117" s="26"/>
      <c r="E117" s="26"/>
      <c r="F117" s="26"/>
      <c r="G117" s="26"/>
      <c r="H117" s="26"/>
      <c r="I117" s="26"/>
      <c r="J117" s="336"/>
    </row>
    <row r="118" spans="1:12" ht="15.75" x14ac:dyDescent="0.25">
      <c r="A118" s="337" t="s">
        <v>256</v>
      </c>
      <c r="B118" s="3"/>
      <c r="C118" s="3"/>
      <c r="D118" s="3"/>
      <c r="E118" s="3"/>
      <c r="F118" s="20"/>
      <c r="G118" s="19"/>
      <c r="H118" s="20"/>
      <c r="I118" s="3"/>
      <c r="J118" s="16"/>
    </row>
    <row r="119" spans="1:12" x14ac:dyDescent="0.2">
      <c r="A119" s="17"/>
      <c r="B119" s="3"/>
      <c r="C119" s="3"/>
      <c r="D119" s="3"/>
      <c r="E119" s="3"/>
      <c r="F119" s="27"/>
      <c r="G119" s="19"/>
      <c r="H119" s="27"/>
      <c r="I119" s="3"/>
      <c r="J119" s="16"/>
    </row>
    <row r="120" spans="1:12" x14ac:dyDescent="0.2">
      <c r="A120" s="17"/>
      <c r="B120" s="3"/>
      <c r="C120" s="3"/>
      <c r="D120" s="3"/>
      <c r="E120" s="3"/>
      <c r="F120" s="18" t="s">
        <v>4</v>
      </c>
      <c r="G120" s="7"/>
      <c r="H120" s="18" t="s">
        <v>5</v>
      </c>
      <c r="I120" s="3"/>
      <c r="J120" s="16"/>
    </row>
    <row r="121" spans="1:12" x14ac:dyDescent="0.2">
      <c r="A121" s="17"/>
      <c r="B121" s="3"/>
      <c r="C121" s="3"/>
      <c r="D121" s="3"/>
      <c r="E121" s="3"/>
      <c r="F121" s="20"/>
      <c r="G121" s="19"/>
      <c r="H121" s="20"/>
      <c r="I121" s="3"/>
      <c r="J121" s="16"/>
    </row>
    <row r="122" spans="1:12" ht="15" customHeight="1" x14ac:dyDescent="0.2">
      <c r="A122" s="17"/>
      <c r="B122" s="383" t="s">
        <v>120</v>
      </c>
      <c r="C122" s="3"/>
      <c r="D122" s="3"/>
      <c r="E122" s="3"/>
      <c r="F122" s="15" t="str">
        <f>IF('CW Abutment Scour'!J99="N/A","N/A",IF('CW Abutment Scour'!J99&lt;=0.4,(35*'CW Abutment Scour'!J99)+6,IF((AND('CW Abutment Scour'!J99&lt;=1.2,'CW Abutment Scour'!J99&gt;0.4)),(('CW Abutment Scour'!J99-0.4)*25)+20,IF((AND('CW Abutment Scour'!J99&lt;=2.6,'CW Abutment Scour'!J99&gt;1.2)),(('CW Abutment Scour'!J99-1.2)*14.28571)+40,IF((AND('CW Abutment Scour'!J99&lt;=5.2,'CW Abutment Scour'!J99&gt;2.6)),(('CW Abutment Scour'!J99-2.6)*1.923077)+60,IF((AND('CW Abutment Scour'!J99&lt;=13.2,'CW Abutment Scour'!J99&gt;5.2)),(('CW Abutment Scour'!J99-5.2)*0.625)+65,IF((AND('CW Abutment Scour'!J99&lt;=18,'CW Abutment Scour'!J99&gt;13.2)),70,IF('CW Abutment Scour'!J99&gt;18,70))))))))</f>
        <v>N/A</v>
      </c>
      <c r="G122" s="19" t="s">
        <v>7</v>
      </c>
      <c r="H122" s="15" t="str">
        <f>IF('CW Abutment Scour'!M99="N/A","N/A",IF('CW Abutment Scour'!M99&lt;=0.4,(35*'CW Abutment Scour'!M99)+6,IF((AND('CW Abutment Scour'!M99&lt;=1.2,'CW Abutment Scour'!M99&gt;0.4)),(('CW Abutment Scour'!M99-0.4)*25)+20,IF((AND('CW Abutment Scour'!M99&lt;=2.6,'CW Abutment Scour'!M99&gt;1.2)),(('CW Abutment Scour'!M99-1.2)*14.28571)+40,IF((AND('CW Abutment Scour'!M99&lt;=5.2,'CW Abutment Scour'!M99&gt;2.6)),(('CW Abutment Scour'!M99-2.6)*1.923077)+60,IF((AND('CW Abutment Scour'!M99&lt;=13.2,'CW Abutment Scour'!M99&gt;5.2)),(('CW Abutment Scour'!M99-5.2)*0.625)+65,IF((AND('CW Abutment Scour'!M99&lt;=18,'CW Abutment Scour'!M99&gt;13.2)),70,IF('CW Abutment Scour'!M99&gt;18,70))))))))</f>
        <v>N/A</v>
      </c>
      <c r="I122" s="3" t="s">
        <v>7</v>
      </c>
      <c r="J122" s="16"/>
    </row>
    <row r="123" spans="1:12" ht="15" customHeight="1" x14ac:dyDescent="0.2">
      <c r="A123" s="17"/>
      <c r="B123" s="1050" t="s">
        <v>267</v>
      </c>
      <c r="C123" s="1051"/>
      <c r="D123" s="1051"/>
      <c r="E123" s="341"/>
      <c r="F123" s="1054" t="str">
        <f>IF('CW Abutment Scour'!J99&gt;18,"Yes","No")</f>
        <v>Yes</v>
      </c>
      <c r="G123" s="19"/>
      <c r="H123" s="1056" t="str">
        <f>IF('CW Abutment Scour'!J99&gt;18,"Yes","No")</f>
        <v>Yes</v>
      </c>
      <c r="I123" s="3"/>
      <c r="J123" s="16"/>
    </row>
    <row r="124" spans="1:12" ht="15" customHeight="1" x14ac:dyDescent="0.2">
      <c r="A124" s="17"/>
      <c r="B124" s="1052"/>
      <c r="C124" s="1053"/>
      <c r="D124" s="1053"/>
      <c r="E124" s="342"/>
      <c r="F124" s="1055"/>
      <c r="G124" s="19"/>
      <c r="H124" s="1057"/>
      <c r="I124" s="3"/>
      <c r="J124" s="16"/>
    </row>
    <row r="125" spans="1:12" ht="15" customHeight="1" x14ac:dyDescent="0.2">
      <c r="A125" s="17"/>
      <c r="B125" s="383"/>
      <c r="C125" s="3"/>
      <c r="D125" s="3"/>
      <c r="E125" s="3"/>
      <c r="F125" s="31"/>
      <c r="G125" s="19"/>
      <c r="H125" s="31"/>
      <c r="I125" s="3"/>
      <c r="J125" s="16"/>
    </row>
    <row r="126" spans="1:12" ht="15" customHeight="1" x14ac:dyDescent="0.2">
      <c r="A126" s="17"/>
      <c r="B126" s="383" t="s">
        <v>121</v>
      </c>
      <c r="C126" s="3"/>
      <c r="D126" s="3"/>
      <c r="E126" s="3"/>
      <c r="F126" s="15" t="str">
        <f>IF('CW Abutment Scour'!J99="N/A","N/A",IF('CW Abutment Scour'!J99&lt;=0.4,(35*'CW Abutment Scour'!J99)+6,IF((AND('CW Abutment Scour'!J99&lt;=1.2,'CW Abutment Scour'!J99&gt;0.4)),(('CW Abutment Scour'!J99-0.4)*25)+20,IF((AND('CW Abutment Scour'!J99&lt;=2.6,'CW Abutment Scour'!J99&gt;1.2)),(('CW Abutment Scour'!J99-1.2)*14.28571)+40,IF((AND('CW Abutment Scour'!J99&lt;=13.7,'CW Abutment Scour'!J99&gt;2.6)),(('CW Abutment Scour'!J99-2.6)*3.603604)+60,IF((AND('CW Abutment Scour'!J99&lt;=23.6,'CW Abutment Scour'!J99&gt;13.7)),(3.0303*('CW Abutment Scour'!J99-13.7))+100,IF((AND('CW Abutment Scour'!J99&lt;=26,'CW Abutment Scour'!J99&gt;23.6)),(3.0303*('CW Abutment Scour'!J99-13.7))+100)))))))</f>
        <v>N/A</v>
      </c>
      <c r="G126" s="3" t="s">
        <v>7</v>
      </c>
      <c r="H126" s="15" t="str">
        <f>IF('CW Abutment Scour'!M99="N/A","N/A",IF('CW Abutment Scour'!M99&lt;=0.4,(35*'CW Abutment Scour'!M99)+6,IF((AND('CW Abutment Scour'!M99&lt;=1.2,'CW Abutment Scour'!M99&gt;0.4)),(('CW Abutment Scour'!M99-0.4)*25)+20,IF((AND('CW Abutment Scour'!M99&lt;=2.6,'CW Abutment Scour'!M99&gt;1.2)),(('CW Abutment Scour'!M99-1.2)*14.28571)+40,IF((AND('CW Abutment Scour'!M99&lt;=13.7,'CW Abutment Scour'!M99&gt;2.6)),(('CW Abutment Scour'!M99-2.6)*3.603604)+60,IF((AND('CW Abutment Scour'!M99&lt;=23.6,'CW Abutment Scour'!M99&gt;13.7)),(3.0303*('CW Abutment Scour'!M99-13.7))+100,IF((AND('CW Abutment Scour'!M99&lt;=26,'CW Abutment Scour'!M99&gt;23.6)),(3.0303*('CW Abutment Scour'!M99-13.7))+100)))))))</f>
        <v>N/A</v>
      </c>
      <c r="I126" s="3" t="s">
        <v>7</v>
      </c>
      <c r="J126" s="16"/>
    </row>
    <row r="127" spans="1:12" ht="15" customHeight="1" x14ac:dyDescent="0.2">
      <c r="A127" s="17"/>
      <c r="B127" s="1050" t="s">
        <v>270</v>
      </c>
      <c r="C127" s="1051"/>
      <c r="D127" s="1051"/>
      <c r="E127" s="341"/>
      <c r="F127" s="1054" t="str">
        <f>IF('CW Abutment Scour'!J99&gt;23.6,"Yes","No")</f>
        <v>Yes</v>
      </c>
      <c r="G127" s="19"/>
      <c r="H127" s="1056" t="str">
        <f>IF('CW Abutment Scour'!J99&gt;23.6,"Yes","No")</f>
        <v>Yes</v>
      </c>
      <c r="I127" s="3"/>
      <c r="J127" s="16"/>
    </row>
    <row r="128" spans="1:12" ht="15" customHeight="1" x14ac:dyDescent="0.2">
      <c r="A128" s="17"/>
      <c r="B128" s="1052"/>
      <c r="C128" s="1053"/>
      <c r="D128" s="1053"/>
      <c r="E128" s="342"/>
      <c r="F128" s="1055"/>
      <c r="G128" s="19"/>
      <c r="H128" s="1057"/>
      <c r="I128" s="3"/>
      <c r="J128" s="16"/>
    </row>
    <row r="129" spans="1:12" x14ac:dyDescent="0.2">
      <c r="A129" s="17"/>
      <c r="B129" s="3"/>
      <c r="C129" s="3"/>
      <c r="D129" s="3"/>
      <c r="E129" s="3"/>
      <c r="F129" s="11"/>
      <c r="G129" s="3"/>
      <c r="H129" s="11"/>
      <c r="I129" s="3"/>
      <c r="J129" s="16"/>
    </row>
    <row r="130" spans="1:12" ht="15" customHeight="1" x14ac:dyDescent="0.2">
      <c r="A130" s="17"/>
      <c r="B130" s="3"/>
      <c r="C130" s="3"/>
      <c r="D130" s="40" t="s">
        <v>76</v>
      </c>
      <c r="E130" s="3"/>
      <c r="F130" s="20"/>
      <c r="G130" s="19"/>
      <c r="H130" s="20"/>
      <c r="I130" s="3"/>
      <c r="J130" s="16"/>
    </row>
    <row r="131" spans="1:12" ht="15" customHeight="1" x14ac:dyDescent="0.2">
      <c r="A131" s="17"/>
      <c r="B131" s="3"/>
      <c r="C131" s="3"/>
      <c r="D131" s="4" t="s">
        <v>269</v>
      </c>
      <c r="E131" s="3"/>
      <c r="F131" s="20"/>
      <c r="G131" s="19"/>
      <c r="H131" s="20"/>
      <c r="I131" s="3"/>
      <c r="J131" s="16"/>
    </row>
    <row r="132" spans="1:12" ht="15" customHeight="1" x14ac:dyDescent="0.2">
      <c r="A132" s="17"/>
      <c r="B132" s="3"/>
      <c r="C132" s="3"/>
      <c r="D132" s="4" t="s">
        <v>268</v>
      </c>
      <c r="E132" s="3"/>
      <c r="F132" s="20"/>
      <c r="G132" s="19"/>
      <c r="H132" s="20"/>
      <c r="I132" s="3"/>
      <c r="J132" s="16"/>
    </row>
    <row r="133" spans="1:12" ht="13.5" thickBot="1" x14ac:dyDescent="0.25">
      <c r="A133" s="21"/>
      <c r="B133" s="22"/>
      <c r="C133" s="22"/>
      <c r="D133" s="22"/>
      <c r="E133" s="22"/>
      <c r="F133" s="338"/>
      <c r="G133" s="22"/>
      <c r="H133" s="338"/>
      <c r="I133" s="22"/>
      <c r="J133" s="25"/>
      <c r="L133" s="188"/>
    </row>
    <row r="134" spans="1:12" ht="13.5" thickTop="1" x14ac:dyDescent="0.2"/>
    <row r="135" spans="1:12" ht="13.5" thickBot="1" x14ac:dyDescent="0.25"/>
    <row r="136" spans="1:12" ht="33" customHeight="1" thickTop="1" thickBot="1" x14ac:dyDescent="0.3">
      <c r="A136" s="1047" t="s">
        <v>526</v>
      </c>
      <c r="B136" s="1048"/>
      <c r="C136" s="1048"/>
      <c r="D136" s="1048"/>
      <c r="E136" s="1048"/>
      <c r="F136" s="1048"/>
      <c r="G136" s="1048"/>
      <c r="H136" s="1048"/>
      <c r="I136" s="1048"/>
      <c r="J136" s="1049"/>
    </row>
    <row r="137" spans="1:12" ht="13.5" thickTop="1" x14ac:dyDescent="0.2">
      <c r="A137" s="17"/>
      <c r="B137" s="3"/>
      <c r="C137" s="3"/>
      <c r="D137" s="3"/>
      <c r="E137" s="3"/>
      <c r="F137" s="11"/>
      <c r="G137" s="3"/>
      <c r="H137" s="11"/>
      <c r="I137" s="3"/>
      <c r="J137" s="16"/>
    </row>
    <row r="138" spans="1:12" x14ac:dyDescent="0.2">
      <c r="A138" s="17"/>
      <c r="B138" s="3"/>
      <c r="C138" s="3"/>
      <c r="D138" s="3"/>
      <c r="E138" s="3"/>
      <c r="F138" s="18" t="s">
        <v>18</v>
      </c>
      <c r="G138" s="7"/>
      <c r="H138" s="18" t="s">
        <v>19</v>
      </c>
      <c r="I138" s="3"/>
      <c r="J138" s="16"/>
    </row>
    <row r="139" spans="1:12" x14ac:dyDescent="0.2">
      <c r="A139" s="17"/>
      <c r="B139" s="33"/>
      <c r="C139" s="34"/>
      <c r="D139" s="34"/>
      <c r="E139" s="34"/>
      <c r="F139" s="30"/>
      <c r="G139" s="35"/>
      <c r="H139" s="30"/>
      <c r="I139" s="36"/>
      <c r="J139" s="16"/>
    </row>
    <row r="140" spans="1:12" ht="15" customHeight="1" x14ac:dyDescent="0.2">
      <c r="A140" s="17"/>
      <c r="B140" s="39"/>
      <c r="C140" s="3"/>
      <c r="D140" s="3"/>
      <c r="E140" s="32" t="s">
        <v>79</v>
      </c>
      <c r="F140" s="15" t="str">
        <f>IF('CW Contraction Scour'!I22="No Data","N/A",-6*'CW Contraction Scour'!I22^2+10*'CW Contraction Scour'!I22+0.6)</f>
        <v>N/A</v>
      </c>
      <c r="G140" s="19" t="s">
        <v>7</v>
      </c>
      <c r="H140" s="15" t="str">
        <f>IF('CW Contraction Scour'!I22="No Data","N/A",-6*'CW Contraction Scour'!I22^2+10*'CW Contraction Scour'!I22+0.6)</f>
        <v>N/A</v>
      </c>
      <c r="I140" s="38" t="s">
        <v>7</v>
      </c>
      <c r="J140" s="16"/>
    </row>
    <row r="141" spans="1:12" ht="15" customHeight="1" x14ac:dyDescent="0.2">
      <c r="A141" s="17"/>
      <c r="B141" s="39"/>
      <c r="C141" s="3"/>
      <c r="D141" s="3"/>
      <c r="E141" s="32" t="s">
        <v>81</v>
      </c>
      <c r="F141" s="13" t="str">
        <f>'CW Contraction Scour'!I22</f>
        <v>No Data</v>
      </c>
      <c r="G141" s="48"/>
      <c r="H141" s="13" t="str">
        <f>'CW Contraction Scour'!I22</f>
        <v>No Data</v>
      </c>
      <c r="I141" s="38"/>
      <c r="J141" s="16"/>
    </row>
    <row r="142" spans="1:12" ht="15" customHeight="1" x14ac:dyDescent="0.2">
      <c r="A142" s="17"/>
      <c r="B142" s="39"/>
      <c r="C142" s="3"/>
      <c r="D142" s="3"/>
      <c r="E142" s="32" t="s">
        <v>80</v>
      </c>
      <c r="F142" s="15" t="str">
        <f>+IF('CW Contraction Scour'!I22&gt;0.95,"OUTSIDE RANGE",IF((AND('CW Contraction Scour'!I22&gt;0.85,'CW Contraction Scour'!I22&lt;=0.95)),"CAUTION","OK"))</f>
        <v>OUTSIDE RANGE</v>
      </c>
      <c r="G142" s="19"/>
      <c r="H142" s="15" t="str">
        <f>+IF('CW Contraction Scour'!I22&gt;0.95,"OUTSIDE RANGE",IF((AND('CW Contraction Scour'!I22&gt;0.85,'CW Contraction Scour'!I22&lt;=0.95)),"CAUTION","OK"))</f>
        <v>OUTSIDE RANGE</v>
      </c>
      <c r="I142" s="38"/>
      <c r="J142" s="16"/>
    </row>
    <row r="143" spans="1:12" ht="15" customHeight="1" x14ac:dyDescent="0.2">
      <c r="A143" s="17"/>
      <c r="B143" s="39"/>
      <c r="C143" s="3"/>
      <c r="D143" s="3"/>
      <c r="E143" s="3"/>
      <c r="F143" s="30"/>
      <c r="G143" s="19"/>
      <c r="H143" s="30"/>
      <c r="I143" s="38"/>
      <c r="J143" s="16"/>
    </row>
    <row r="144" spans="1:12" ht="15" customHeight="1" x14ac:dyDescent="0.2">
      <c r="A144" s="17"/>
      <c r="B144" s="39"/>
      <c r="C144" s="3"/>
      <c r="D144" s="40" t="s">
        <v>76</v>
      </c>
      <c r="E144" s="3"/>
      <c r="F144" s="20"/>
      <c r="G144" s="19"/>
      <c r="H144" s="20"/>
      <c r="I144" s="38"/>
      <c r="J144" s="16"/>
    </row>
    <row r="145" spans="1:10" ht="15" customHeight="1" x14ac:dyDescent="0.2">
      <c r="A145" s="17"/>
      <c r="B145" s="39"/>
      <c r="C145" s="3"/>
      <c r="D145" s="4" t="s">
        <v>196</v>
      </c>
      <c r="E145" s="3"/>
      <c r="F145" s="20"/>
      <c r="G145" s="19"/>
      <c r="H145" s="20"/>
      <c r="I145" s="38"/>
      <c r="J145" s="16"/>
    </row>
    <row r="146" spans="1:10" ht="15" customHeight="1" x14ac:dyDescent="0.2">
      <c r="A146" s="17"/>
      <c r="B146" s="39"/>
      <c r="C146" s="3"/>
      <c r="D146" s="4" t="s">
        <v>84</v>
      </c>
      <c r="E146" s="3"/>
      <c r="F146" s="20"/>
      <c r="G146" s="19"/>
      <c r="H146" s="20"/>
      <c r="I146" s="38"/>
      <c r="J146" s="16"/>
    </row>
    <row r="147" spans="1:10" ht="15" customHeight="1" x14ac:dyDescent="0.2">
      <c r="A147" s="17"/>
      <c r="B147" s="41"/>
      <c r="C147" s="42"/>
      <c r="D147" s="43" t="s">
        <v>197</v>
      </c>
      <c r="E147" s="42"/>
      <c r="F147" s="31"/>
      <c r="G147" s="44"/>
      <c r="H147" s="31"/>
      <c r="I147" s="45"/>
      <c r="J147" s="16"/>
    </row>
    <row r="148" spans="1:10" ht="13.5" thickBot="1" x14ac:dyDescent="0.25">
      <c r="A148" s="21"/>
      <c r="B148" s="22"/>
      <c r="C148" s="22"/>
      <c r="D148" s="22"/>
      <c r="E148" s="22"/>
      <c r="F148" s="23"/>
      <c r="G148" s="24"/>
      <c r="H148" s="23"/>
      <c r="I148" s="22"/>
      <c r="J148" s="25"/>
    </row>
    <row r="149" spans="1:10" ht="13.5" thickTop="1" x14ac:dyDescent="0.2">
      <c r="F149" s="12"/>
      <c r="G149" s="10"/>
      <c r="H149" s="12"/>
    </row>
    <row r="151" spans="1:10" x14ac:dyDescent="0.2">
      <c r="F151" s="12"/>
      <c r="H151" s="12"/>
    </row>
  </sheetData>
  <sheetProtection algorithmName="SHA-512" hashValue="zLcFOM2ML9AzqD+SARllBlfdtKSjVRV+ttcAqtXOzralEzfxk/aVuHVnnHKF8084E4sMlDl+FmvkX8VL1lXc4Q==" saltValue="RDxOvqqZ+P5DAByXGi/aPA==" spinCount="100000" sheet="1" objects="1" scenarios="1"/>
  <customSheetViews>
    <customSheetView guid="{1D46CCF0-D0A9-4A4B-AB32-CC50C778381E}" showPageBreaks="1" printArea="1">
      <selection sqref="A1:J1"/>
      <rowBreaks count="2" manualBreakCount="2">
        <brk id="53" max="11" man="1"/>
        <brk id="114" max="16383" man="1"/>
      </rowBreaks>
      <pageMargins left="0.75" right="0.75" top="1" bottom="1" header="0.5" footer="0.5"/>
      <pageSetup scale="63" orientation="portrait" r:id="rId1"/>
      <headerFooter alignWithMargins="0">
        <oddHeader>&amp;C&amp;8 Bridge-Scour Envelope Curve Template</oddHeader>
        <oddFooter>&amp;C&amp;A&amp;RPage &amp;P of &amp;N</oddFooter>
      </headerFooter>
    </customSheetView>
  </customSheetViews>
  <mergeCells count="14">
    <mergeCell ref="A2:J3"/>
    <mergeCell ref="A1:J1"/>
    <mergeCell ref="A55:J55"/>
    <mergeCell ref="A31:J31"/>
    <mergeCell ref="A7:J7"/>
    <mergeCell ref="A5:J5"/>
    <mergeCell ref="A116:J116"/>
    <mergeCell ref="A136:J136"/>
    <mergeCell ref="B127:D128"/>
    <mergeCell ref="B123:D124"/>
    <mergeCell ref="F127:F128"/>
    <mergeCell ref="H127:H128"/>
    <mergeCell ref="F123:F124"/>
    <mergeCell ref="H123:H124"/>
  </mergeCells>
  <phoneticPr fontId="0" type="noConversion"/>
  <conditionalFormatting sqref="F13 H13 F23 H23 F37 H37 F47 H47 F142 H142">
    <cfRule type="cellIs" dxfId="26" priority="42" stopIfTrue="1" operator="equal">
      <formula>"CAUTION"</formula>
    </cfRule>
    <cfRule type="cellIs" dxfId="25" priority="43" stopIfTrue="1" operator="equal">
      <formula>"OUTSIDE RANGE"</formula>
    </cfRule>
    <cfRule type="cellIs" dxfId="24" priority="44" stopIfTrue="1" operator="equal">
      <formula>"OK"</formula>
    </cfRule>
  </conditionalFormatting>
  <conditionalFormatting sqref="F65 H65">
    <cfRule type="cellIs" dxfId="23" priority="21" stopIfTrue="1" operator="equal">
      <formula>"CAUTION"</formula>
    </cfRule>
    <cfRule type="cellIs" dxfId="22" priority="22" stopIfTrue="1" operator="equal">
      <formula>"OUTSIDE RANGE"</formula>
    </cfRule>
    <cfRule type="cellIs" dxfId="21" priority="23" stopIfTrue="1" operator="equal">
      <formula>"OK"</formula>
    </cfRule>
  </conditionalFormatting>
  <conditionalFormatting sqref="F67:F68 H67:H68">
    <cfRule type="cellIs" dxfId="20" priority="18" stopIfTrue="1" operator="equal">
      <formula>"CAUTION"</formula>
    </cfRule>
    <cfRule type="cellIs" dxfId="19" priority="19" stopIfTrue="1" operator="equal">
      <formula>"OUTSIDE RANGE"</formula>
    </cfRule>
    <cfRule type="cellIs" dxfId="18" priority="20" stopIfTrue="1" operator="equal">
      <formula>"OK"</formula>
    </cfRule>
  </conditionalFormatting>
  <conditionalFormatting sqref="F92 H92">
    <cfRule type="cellIs" dxfId="17" priority="12" stopIfTrue="1" operator="equal">
      <formula>"CAUTION"</formula>
    </cfRule>
    <cfRule type="cellIs" dxfId="16" priority="13" stopIfTrue="1" operator="equal">
      <formula>"OUTSIDE RANGE"</formula>
    </cfRule>
    <cfRule type="cellIs" dxfId="15" priority="14" stopIfTrue="1" operator="equal">
      <formula>"OK"</formula>
    </cfRule>
  </conditionalFormatting>
  <conditionalFormatting sqref="F94:F95 H94:H95">
    <cfRule type="cellIs" dxfId="14" priority="9" stopIfTrue="1" operator="equal">
      <formula>"CAUTION"</formula>
    </cfRule>
    <cfRule type="cellIs" dxfId="13" priority="10" stopIfTrue="1" operator="equal">
      <formula>"OUTSIDE RANGE"</formula>
    </cfRule>
    <cfRule type="cellIs" dxfId="12" priority="11" stopIfTrue="1" operator="equal">
      <formula>"OK"</formula>
    </cfRule>
  </conditionalFormatting>
  <conditionalFormatting sqref="F123">
    <cfRule type="cellIs" dxfId="11" priority="6" operator="equal">
      <formula>"No"</formula>
    </cfRule>
    <cfRule type="cellIs" dxfId="10" priority="8" operator="equal">
      <formula>"Yes"</formula>
    </cfRule>
  </conditionalFormatting>
  <conditionalFormatting sqref="H123">
    <cfRule type="cellIs" dxfId="9" priority="5" operator="equal">
      <formula>"No"</formula>
    </cfRule>
    <cfRule type="cellIs" dxfId="8" priority="7" operator="equal">
      <formula>"Yes"</formula>
    </cfRule>
  </conditionalFormatting>
  <conditionalFormatting sqref="F127">
    <cfRule type="cellIs" dxfId="7" priority="2" operator="equal">
      <formula>"No"</formula>
    </cfRule>
    <cfRule type="cellIs" dxfId="6" priority="4" operator="equal">
      <formula>"Yes"</formula>
    </cfRule>
  </conditionalFormatting>
  <conditionalFormatting sqref="H127">
    <cfRule type="cellIs" dxfId="5" priority="1" operator="equal">
      <formula>"No"</formula>
    </cfRule>
    <cfRule type="cellIs" dxfId="4" priority="3" operator="equal">
      <formula>"Yes"</formula>
    </cfRule>
  </conditionalFormatting>
  <pageMargins left="0.75" right="0.75" top="1" bottom="1" header="0.5" footer="0.5"/>
  <pageSetup scale="63" orientation="portrait" r:id="rId2"/>
  <headerFooter alignWithMargins="0">
    <oddHeader>&amp;C&amp;8 Bridge-Scour Envelope Curve Template</oddHeader>
    <oddFooter>&amp;C&amp;A&amp;RPage &amp;P of &amp;N</oddFooter>
  </headerFooter>
  <rowBreaks count="2" manualBreakCount="2">
    <brk id="53" max="11" man="1"/>
    <brk id="1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vt:lpstr>
      <vt:lpstr>Site Info</vt:lpstr>
      <vt:lpstr>CW Abutment Scour</vt:lpstr>
      <vt:lpstr>CW Contraction Scour</vt:lpstr>
      <vt:lpstr>LB Contraction Scour</vt:lpstr>
      <vt:lpstr>Pier Scour</vt:lpstr>
      <vt:lpstr>Penetration Table</vt:lpstr>
      <vt:lpstr>Penetration Table (K500)</vt:lpstr>
      <vt:lpstr>EQUATIONS</vt:lpstr>
      <vt:lpstr>GRAPHS</vt:lpstr>
      <vt:lpstr>Graph Data</vt:lpstr>
      <vt:lpstr>Data Base</vt:lpstr>
      <vt:lpstr>Introduction!_Toc503705814</vt:lpstr>
      <vt:lpstr>'CW Contraction Scour'!Print_Area</vt:lpstr>
      <vt:lpstr>'Data Base'!Print_Area</vt:lpstr>
      <vt:lpstr>EQUATIONS!Print_Area</vt:lpstr>
      <vt:lpstr>'Graph Data'!Print_Area</vt:lpstr>
      <vt:lpstr>Introduction!Print_Area</vt:lpstr>
      <vt:lpstr>'Penetration Table'!Print_Area</vt:lpstr>
      <vt:lpstr>'Penetration Table (K500)'!Print_Area</vt:lpstr>
      <vt:lpstr>'Site Info'!Print_Area</vt:lpstr>
    </vt:vector>
  </TitlesOfParts>
  <Company>SC Department of Transportation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Cadwell</dc:creator>
  <cp:lastModifiedBy>Petkewich, Matthew D.</cp:lastModifiedBy>
  <cp:lastPrinted>2017-03-30T17:45:18Z</cp:lastPrinted>
  <dcterms:created xsi:type="dcterms:W3CDTF">2001-05-22T12:53:13Z</dcterms:created>
  <dcterms:modified xsi:type="dcterms:W3CDTF">2017-07-13T11:38:47Z</dcterms:modified>
</cp:coreProperties>
</file>